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60" yWindow="0" windowWidth="19392" windowHeight="10992" tabRatio="745" firstSheet="4" activeTab="5"/>
  </bookViews>
  <sheets>
    <sheet name="Population Definitions" sheetId="1" r:id="rId1"/>
    <sheet name="Population Contacts" sheetId="2" r:id="rId2"/>
    <sheet name="Transfer Definitions" sheetId="3" r:id="rId3"/>
    <sheet name="Transfer Details" sheetId="4" r:id="rId4"/>
    <sheet name="Program Definitions" sheetId="34" r:id="rId5"/>
    <sheet name="Program Details" sheetId="33" r:id="rId6"/>
    <sheet name="General Demographics" sheetId="7" r:id="rId7"/>
    <sheet name="Working copy General Demograph" sheetId="18" r:id="rId8"/>
    <sheet name="Active TB Prevalence" sheetId="8" r:id="rId9"/>
    <sheet name="Latent TB Prevalence" sheetId="9" r:id="rId10"/>
    <sheet name="Notified Cases" sheetId="10" r:id="rId11"/>
    <sheet name="Infection Susceptibility" sheetId="11" r:id="rId12"/>
    <sheet name="Latent Testing and Treatment" sheetId="12" r:id="rId13"/>
    <sheet name="Latent Progression Rates" sheetId="13" r:id="rId14"/>
    <sheet name="Active TB Testing and Treatment" sheetId="19" r:id="rId15"/>
    <sheet name="Active TB Progression Rates" sheetId="23" r:id="rId16"/>
    <sheet name="Active TB Death Rates" sheetId="24" r:id="rId17"/>
  </sheets>
  <externalReferences>
    <externalReference r:id="rId18"/>
    <externalReference r:id="rId19"/>
    <externalReference r:id="rId20"/>
    <externalReference r:id="rId21"/>
    <externalReference r:id="rId22"/>
  </externalReferenc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V312" i="33" l="1"/>
  <c r="V301" i="33"/>
  <c r="V15" i="33"/>
  <c r="V323" i="33"/>
  <c r="V48" i="33"/>
  <c r="V59" i="33"/>
  <c r="V336" i="33"/>
  <c r="V334" i="33"/>
  <c r="V70" i="33"/>
  <c r="V333" i="33"/>
  <c r="U117" i="33"/>
  <c r="U213" i="33"/>
  <c r="U147" i="33"/>
  <c r="D148" i="33"/>
  <c r="U194" i="33"/>
  <c r="U106" i="33"/>
  <c r="U94" i="33"/>
  <c r="D181" i="33"/>
  <c r="D192" i="33"/>
  <c r="D104" i="33"/>
  <c r="D93" i="33"/>
  <c r="U103" i="33"/>
  <c r="U92" i="33"/>
  <c r="U83" i="33"/>
  <c r="U171" i="33"/>
  <c r="D170" i="33"/>
  <c r="D82" i="33"/>
  <c r="U81" i="33"/>
  <c r="B190" i="33"/>
  <c r="C190" i="33"/>
  <c r="B192" i="33"/>
  <c r="U192" i="33"/>
  <c r="N16" i="12"/>
  <c r="M16" i="12"/>
  <c r="L16" i="12"/>
  <c r="K16" i="12"/>
  <c r="J16" i="12"/>
  <c r="I16" i="12"/>
  <c r="H16" i="12"/>
  <c r="G16" i="12"/>
  <c r="F16" i="12"/>
  <c r="E16" i="12"/>
  <c r="V17" i="33"/>
  <c r="V322" i="33"/>
  <c r="V72" i="33"/>
  <c r="B329" i="33"/>
  <c r="D329" i="33"/>
  <c r="V52" i="33"/>
  <c r="V63" i="33"/>
  <c r="V74" i="33"/>
  <c r="V75" i="33"/>
  <c r="V28" i="33"/>
  <c r="V39" i="33"/>
  <c r="V50" i="33"/>
  <c r="V61" i="33"/>
  <c r="A89" i="33"/>
  <c r="A100" i="33"/>
  <c r="A111" i="33"/>
  <c r="A122" i="33"/>
  <c r="A133" i="33"/>
  <c r="A144" i="33"/>
  <c r="A155" i="33"/>
  <c r="A166" i="33"/>
  <c r="A177" i="33"/>
  <c r="A188" i="33"/>
  <c r="A199" i="33"/>
  <c r="A210" i="33"/>
  <c r="A221" i="33"/>
  <c r="A232" i="33"/>
  <c r="A243" i="33"/>
  <c r="A254" i="33"/>
  <c r="A265" i="33"/>
  <c r="A276" i="33"/>
  <c r="A287" i="33"/>
  <c r="A298" i="33"/>
  <c r="A309" i="33"/>
  <c r="A320" i="33"/>
  <c r="N1" i="34"/>
  <c r="M1" i="34"/>
  <c r="L1" i="34"/>
  <c r="K1" i="34"/>
  <c r="J1" i="34"/>
  <c r="I1" i="34"/>
  <c r="H1" i="34"/>
  <c r="G1" i="34"/>
  <c r="F1" i="34"/>
  <c r="E1" i="34"/>
  <c r="D1" i="34"/>
  <c r="C1" i="34"/>
  <c r="A331" i="33"/>
  <c r="A78" i="33"/>
  <c r="A67" i="33"/>
  <c r="A56" i="33"/>
  <c r="A45" i="33"/>
  <c r="A34" i="33"/>
  <c r="A23" i="33"/>
  <c r="A12" i="33"/>
  <c r="A1" i="33"/>
  <c r="B340" i="33"/>
  <c r="E340" i="33"/>
  <c r="D340" i="33"/>
  <c r="C340" i="33"/>
  <c r="B339" i="33"/>
  <c r="E339" i="33"/>
  <c r="D339" i="33"/>
  <c r="C339" i="33"/>
  <c r="B338" i="33"/>
  <c r="E338" i="33"/>
  <c r="D338" i="33"/>
  <c r="C338" i="33"/>
  <c r="B337" i="33"/>
  <c r="E337" i="33"/>
  <c r="D337" i="33"/>
  <c r="C337" i="33"/>
  <c r="B336" i="33"/>
  <c r="E336" i="33"/>
  <c r="D336" i="33"/>
  <c r="C336" i="33"/>
  <c r="B333" i="33"/>
  <c r="C333" i="33"/>
  <c r="B335" i="33"/>
  <c r="V335" i="33"/>
  <c r="U335" i="33"/>
  <c r="T335" i="33"/>
  <c r="S335" i="33"/>
  <c r="R335" i="33"/>
  <c r="Q335" i="33"/>
  <c r="P335" i="33"/>
  <c r="O335" i="33"/>
  <c r="N335" i="33"/>
  <c r="M335" i="33"/>
  <c r="L335" i="33"/>
  <c r="K335" i="33"/>
  <c r="J335" i="33"/>
  <c r="I335" i="33"/>
  <c r="H335" i="33"/>
  <c r="G335" i="33"/>
  <c r="F335" i="33"/>
  <c r="E335" i="33"/>
  <c r="C335" i="33"/>
  <c r="E333" i="33"/>
  <c r="D333" i="33"/>
  <c r="E329" i="33"/>
  <c r="C329" i="33"/>
  <c r="B328" i="33"/>
  <c r="E328" i="33"/>
  <c r="D328" i="33"/>
  <c r="C328" i="33"/>
  <c r="B327" i="33"/>
  <c r="E327" i="33"/>
  <c r="D327" i="33"/>
  <c r="C327" i="33"/>
  <c r="B326" i="33"/>
  <c r="E326" i="33"/>
  <c r="D326" i="33"/>
  <c r="C326" i="33"/>
  <c r="B325" i="33"/>
  <c r="E325" i="33"/>
  <c r="D325" i="33"/>
  <c r="C325" i="33"/>
  <c r="B322" i="33"/>
  <c r="C322" i="33"/>
  <c r="B324" i="33"/>
  <c r="V324" i="33"/>
  <c r="U324" i="33"/>
  <c r="T324" i="33"/>
  <c r="S324" i="33"/>
  <c r="R324" i="33"/>
  <c r="Q324" i="33"/>
  <c r="P324" i="33"/>
  <c r="O324" i="33"/>
  <c r="N324" i="33"/>
  <c r="M324" i="33"/>
  <c r="L324" i="33"/>
  <c r="K324" i="33"/>
  <c r="J324" i="33"/>
  <c r="I324" i="33"/>
  <c r="H324" i="33"/>
  <c r="G324" i="33"/>
  <c r="F324" i="33"/>
  <c r="E324" i="33"/>
  <c r="C324" i="33"/>
  <c r="D323" i="33"/>
  <c r="E322" i="33"/>
  <c r="D322" i="33"/>
  <c r="B318" i="33"/>
  <c r="E318" i="33"/>
  <c r="D318" i="33"/>
  <c r="C318" i="33"/>
  <c r="B317" i="33"/>
  <c r="E317" i="33"/>
  <c r="D317" i="33"/>
  <c r="C317" i="33"/>
  <c r="B316" i="33"/>
  <c r="E316" i="33"/>
  <c r="D316" i="33"/>
  <c r="C316" i="33"/>
  <c r="B315" i="33"/>
  <c r="E315" i="33"/>
  <c r="D315" i="33"/>
  <c r="C315" i="33"/>
  <c r="B314" i="33"/>
  <c r="E314" i="33"/>
  <c r="D314" i="33"/>
  <c r="C314" i="33"/>
  <c r="B313" i="33"/>
  <c r="V313" i="33"/>
  <c r="U313" i="33"/>
  <c r="T313" i="33"/>
  <c r="S313" i="33"/>
  <c r="R313" i="33"/>
  <c r="Q313" i="33"/>
  <c r="P313" i="33"/>
  <c r="O313" i="33"/>
  <c r="N313" i="33"/>
  <c r="M313" i="33"/>
  <c r="L313" i="33"/>
  <c r="K313" i="33"/>
  <c r="J313" i="33"/>
  <c r="I313" i="33"/>
  <c r="H313" i="33"/>
  <c r="G313" i="33"/>
  <c r="F313" i="33"/>
  <c r="E313" i="33"/>
  <c r="D313" i="33"/>
  <c r="C313" i="33"/>
  <c r="D312" i="33"/>
  <c r="B311" i="33"/>
  <c r="E311" i="33"/>
  <c r="D311" i="33"/>
  <c r="C311" i="33"/>
  <c r="B307" i="33"/>
  <c r="E307" i="33"/>
  <c r="D307" i="33"/>
  <c r="C307" i="33"/>
  <c r="B306" i="33"/>
  <c r="E306" i="33"/>
  <c r="D306" i="33"/>
  <c r="C306" i="33"/>
  <c r="B305" i="33"/>
  <c r="E305" i="33"/>
  <c r="D305" i="33"/>
  <c r="C305" i="33"/>
  <c r="B304" i="33"/>
  <c r="E304" i="33"/>
  <c r="D304" i="33"/>
  <c r="C304" i="33"/>
  <c r="B303" i="33"/>
  <c r="E303" i="33"/>
  <c r="D303" i="33"/>
  <c r="C303" i="33"/>
  <c r="B302" i="33"/>
  <c r="V302" i="33"/>
  <c r="U302" i="33"/>
  <c r="T302" i="33"/>
  <c r="S302" i="33"/>
  <c r="R302" i="33"/>
  <c r="Q302" i="33"/>
  <c r="P302" i="33"/>
  <c r="O302" i="33"/>
  <c r="N302" i="33"/>
  <c r="M302" i="33"/>
  <c r="L302" i="33"/>
  <c r="K302" i="33"/>
  <c r="J302" i="33"/>
  <c r="I302" i="33"/>
  <c r="H302" i="33"/>
  <c r="G302" i="33"/>
  <c r="F302" i="33"/>
  <c r="E302" i="33"/>
  <c r="D302" i="33"/>
  <c r="C302" i="33"/>
  <c r="D301" i="33"/>
  <c r="B300" i="33"/>
  <c r="E300" i="33"/>
  <c r="D300" i="33"/>
  <c r="C300" i="33"/>
  <c r="B296" i="33"/>
  <c r="E296" i="33"/>
  <c r="D296" i="33"/>
  <c r="C296" i="33"/>
  <c r="B295" i="33"/>
  <c r="E295" i="33"/>
  <c r="D295" i="33"/>
  <c r="C295" i="33"/>
  <c r="B294" i="33"/>
  <c r="E294" i="33"/>
  <c r="D294" i="33"/>
  <c r="C294" i="33"/>
  <c r="B293" i="33"/>
  <c r="E293" i="33"/>
  <c r="D293" i="33"/>
  <c r="C293" i="33"/>
  <c r="B292" i="33"/>
  <c r="E292" i="33"/>
  <c r="D292" i="33"/>
  <c r="C292" i="33"/>
  <c r="B289" i="33"/>
  <c r="C289" i="33"/>
  <c r="B291" i="33"/>
  <c r="V291" i="33"/>
  <c r="U291" i="33"/>
  <c r="T291" i="33"/>
  <c r="S291" i="33"/>
  <c r="R291" i="33"/>
  <c r="Q291" i="33"/>
  <c r="P291" i="33"/>
  <c r="O291" i="33"/>
  <c r="N291" i="33"/>
  <c r="M291" i="33"/>
  <c r="L291" i="33"/>
  <c r="K291" i="33"/>
  <c r="J291" i="33"/>
  <c r="I291" i="33"/>
  <c r="H291" i="33"/>
  <c r="G291" i="33"/>
  <c r="F291" i="33"/>
  <c r="E291" i="33"/>
  <c r="C291" i="33"/>
  <c r="D290" i="33"/>
  <c r="E289" i="33"/>
  <c r="D289" i="33"/>
  <c r="B285" i="33"/>
  <c r="E285" i="33"/>
  <c r="D285" i="33"/>
  <c r="C285" i="33"/>
  <c r="B284" i="33"/>
  <c r="E284" i="33"/>
  <c r="D284" i="33"/>
  <c r="C284" i="33"/>
  <c r="B283" i="33"/>
  <c r="E283" i="33"/>
  <c r="D283" i="33"/>
  <c r="C283" i="33"/>
  <c r="B282" i="33"/>
  <c r="E282" i="33"/>
  <c r="D282" i="33"/>
  <c r="C282" i="33"/>
  <c r="B281" i="33"/>
  <c r="E281" i="33"/>
  <c r="D281" i="33"/>
  <c r="C281" i="33"/>
  <c r="B278" i="33"/>
  <c r="C278" i="33"/>
  <c r="B280" i="33"/>
  <c r="V280" i="33"/>
  <c r="U280" i="33"/>
  <c r="T280" i="33"/>
  <c r="S280" i="33"/>
  <c r="R280" i="33"/>
  <c r="Q280" i="33"/>
  <c r="P280" i="33"/>
  <c r="O280" i="33"/>
  <c r="N280" i="33"/>
  <c r="M280" i="33"/>
  <c r="L280" i="33"/>
  <c r="K280" i="33"/>
  <c r="J280" i="33"/>
  <c r="I280" i="33"/>
  <c r="H280" i="33"/>
  <c r="G280" i="33"/>
  <c r="F280" i="33"/>
  <c r="E280" i="33"/>
  <c r="C280" i="33"/>
  <c r="D279" i="33"/>
  <c r="E278" i="33"/>
  <c r="D278" i="33"/>
  <c r="B274" i="33"/>
  <c r="E274" i="33"/>
  <c r="D274" i="33"/>
  <c r="C274" i="33"/>
  <c r="B273" i="33"/>
  <c r="E273" i="33"/>
  <c r="D273" i="33"/>
  <c r="C273" i="33"/>
  <c r="B272" i="33"/>
  <c r="E272" i="33"/>
  <c r="D272" i="33"/>
  <c r="C272" i="33"/>
  <c r="B271" i="33"/>
  <c r="E271" i="33"/>
  <c r="D271" i="33"/>
  <c r="C271" i="33"/>
  <c r="B270" i="33"/>
  <c r="E270" i="33"/>
  <c r="D270" i="33"/>
  <c r="C270" i="33"/>
  <c r="B267" i="33"/>
  <c r="C267" i="33"/>
  <c r="B269" i="33"/>
  <c r="V269" i="33"/>
  <c r="U269" i="33"/>
  <c r="T269" i="33"/>
  <c r="S269" i="33"/>
  <c r="R269" i="33"/>
  <c r="Q269" i="33"/>
  <c r="P269" i="33"/>
  <c r="O269" i="33"/>
  <c r="N269" i="33"/>
  <c r="M269" i="33"/>
  <c r="L269" i="33"/>
  <c r="K269" i="33"/>
  <c r="J269" i="33"/>
  <c r="I269" i="33"/>
  <c r="H269" i="33"/>
  <c r="G269" i="33"/>
  <c r="F269" i="33"/>
  <c r="E269" i="33"/>
  <c r="C269" i="33"/>
  <c r="D268" i="33"/>
  <c r="E267" i="33"/>
  <c r="D267" i="33"/>
  <c r="B263" i="33"/>
  <c r="E263" i="33"/>
  <c r="D263" i="33"/>
  <c r="C263" i="33"/>
  <c r="B262" i="33"/>
  <c r="E262" i="33"/>
  <c r="D262" i="33"/>
  <c r="C262" i="33"/>
  <c r="B261" i="33"/>
  <c r="E261" i="33"/>
  <c r="D261" i="33"/>
  <c r="C261" i="33"/>
  <c r="B260" i="33"/>
  <c r="E260" i="33"/>
  <c r="D260" i="33"/>
  <c r="C260" i="33"/>
  <c r="B259" i="33"/>
  <c r="E259" i="33"/>
  <c r="D259" i="33"/>
  <c r="C259" i="33"/>
  <c r="B256" i="33"/>
  <c r="C256" i="33"/>
  <c r="B258" i="33"/>
  <c r="V258" i="33"/>
  <c r="U258" i="33"/>
  <c r="T258" i="33"/>
  <c r="S258" i="33"/>
  <c r="R258" i="33"/>
  <c r="Q258" i="33"/>
  <c r="P258" i="33"/>
  <c r="O258" i="33"/>
  <c r="N258" i="33"/>
  <c r="M258" i="33"/>
  <c r="L258" i="33"/>
  <c r="K258" i="33"/>
  <c r="J258" i="33"/>
  <c r="I258" i="33"/>
  <c r="H258" i="33"/>
  <c r="G258" i="33"/>
  <c r="F258" i="33"/>
  <c r="E258" i="33"/>
  <c r="C258" i="33"/>
  <c r="D257" i="33"/>
  <c r="E256" i="33"/>
  <c r="D256" i="33"/>
  <c r="B252" i="33"/>
  <c r="E252" i="33"/>
  <c r="D252" i="33"/>
  <c r="C252" i="33"/>
  <c r="B251" i="33"/>
  <c r="E251" i="33"/>
  <c r="D251" i="33"/>
  <c r="C251" i="33"/>
  <c r="B250" i="33"/>
  <c r="E250" i="33"/>
  <c r="D250" i="33"/>
  <c r="C250" i="33"/>
  <c r="B249" i="33"/>
  <c r="E249" i="33"/>
  <c r="D249" i="33"/>
  <c r="C249" i="33"/>
  <c r="B248" i="33"/>
  <c r="E248" i="33"/>
  <c r="D248" i="33"/>
  <c r="C248" i="33"/>
  <c r="B245" i="33"/>
  <c r="C245" i="33"/>
  <c r="B247" i="33"/>
  <c r="V247" i="33"/>
  <c r="U247" i="33"/>
  <c r="T247" i="33"/>
  <c r="S247" i="33"/>
  <c r="R247" i="33"/>
  <c r="Q247" i="33"/>
  <c r="P247" i="33"/>
  <c r="O247" i="33"/>
  <c r="N247" i="33"/>
  <c r="M247" i="33"/>
  <c r="L247" i="33"/>
  <c r="K247" i="33"/>
  <c r="J247" i="33"/>
  <c r="I247" i="33"/>
  <c r="H247" i="33"/>
  <c r="G247" i="33"/>
  <c r="F247" i="33"/>
  <c r="E247" i="33"/>
  <c r="C247" i="33"/>
  <c r="D246" i="33"/>
  <c r="E245" i="33"/>
  <c r="D245" i="33"/>
  <c r="B241" i="33"/>
  <c r="E241" i="33"/>
  <c r="D241" i="33"/>
  <c r="C241" i="33"/>
  <c r="B240" i="33"/>
  <c r="E240" i="33"/>
  <c r="D240" i="33"/>
  <c r="C240" i="33"/>
  <c r="B239" i="33"/>
  <c r="E239" i="33"/>
  <c r="D239" i="33"/>
  <c r="C239" i="33"/>
  <c r="U238" i="33"/>
  <c r="B238" i="33"/>
  <c r="E238" i="33"/>
  <c r="D238" i="33"/>
  <c r="C238" i="33"/>
  <c r="B237" i="33"/>
  <c r="E237" i="33"/>
  <c r="D237" i="33"/>
  <c r="C237" i="33"/>
  <c r="B234" i="33"/>
  <c r="C234" i="33"/>
  <c r="B236" i="33"/>
  <c r="V236" i="33"/>
  <c r="U236" i="33"/>
  <c r="T236" i="33"/>
  <c r="S236" i="33"/>
  <c r="R236" i="33"/>
  <c r="Q236" i="33"/>
  <c r="P236" i="33"/>
  <c r="O236" i="33"/>
  <c r="N236" i="33"/>
  <c r="M236" i="33"/>
  <c r="L236" i="33"/>
  <c r="K236" i="33"/>
  <c r="J236" i="33"/>
  <c r="I236" i="33"/>
  <c r="H236" i="33"/>
  <c r="G236" i="33"/>
  <c r="F236" i="33"/>
  <c r="E236" i="33"/>
  <c r="C236" i="33"/>
  <c r="D235" i="33"/>
  <c r="E234" i="33"/>
  <c r="D234" i="33"/>
  <c r="B230" i="33"/>
  <c r="E230" i="33"/>
  <c r="D230" i="33"/>
  <c r="C230" i="33"/>
  <c r="B229" i="33"/>
  <c r="E229" i="33"/>
  <c r="D229" i="33"/>
  <c r="C229" i="33"/>
  <c r="B228" i="33"/>
  <c r="E228" i="33"/>
  <c r="D228" i="33"/>
  <c r="C228" i="33"/>
  <c r="U227" i="33"/>
  <c r="B227" i="33"/>
  <c r="E227" i="33"/>
  <c r="D227" i="33"/>
  <c r="C227" i="33"/>
  <c r="B226" i="33"/>
  <c r="E226" i="33"/>
  <c r="D226" i="33"/>
  <c r="C226" i="33"/>
  <c r="B223" i="33"/>
  <c r="C223" i="33"/>
  <c r="B225" i="33"/>
  <c r="V225" i="33"/>
  <c r="U225" i="33"/>
  <c r="T225" i="33"/>
  <c r="S225" i="33"/>
  <c r="R225" i="33"/>
  <c r="Q225" i="33"/>
  <c r="P225" i="33"/>
  <c r="O225" i="33"/>
  <c r="N225" i="33"/>
  <c r="M225" i="33"/>
  <c r="L225" i="33"/>
  <c r="K225" i="33"/>
  <c r="J225" i="33"/>
  <c r="I225" i="33"/>
  <c r="H225" i="33"/>
  <c r="G225" i="33"/>
  <c r="F225" i="33"/>
  <c r="E225" i="33"/>
  <c r="C225" i="33"/>
  <c r="D224" i="33"/>
  <c r="E223" i="33"/>
  <c r="D223" i="33"/>
  <c r="B219" i="33"/>
  <c r="E219" i="33"/>
  <c r="D219" i="33"/>
  <c r="C219" i="33"/>
  <c r="B218" i="33"/>
  <c r="E218" i="33"/>
  <c r="D218" i="33"/>
  <c r="C218" i="33"/>
  <c r="B217" i="33"/>
  <c r="E217" i="33"/>
  <c r="D217" i="33"/>
  <c r="C217" i="33"/>
  <c r="U216" i="33"/>
  <c r="B216" i="33"/>
  <c r="E216" i="33"/>
  <c r="D216" i="33"/>
  <c r="C216" i="33"/>
  <c r="B215" i="33"/>
  <c r="E215" i="33"/>
  <c r="D215" i="33"/>
  <c r="C215" i="33"/>
  <c r="B212" i="33"/>
  <c r="C212" i="33"/>
  <c r="B214" i="33"/>
  <c r="V214" i="33"/>
  <c r="U214" i="33"/>
  <c r="T214" i="33"/>
  <c r="S214" i="33"/>
  <c r="R214" i="33"/>
  <c r="Q214" i="33"/>
  <c r="P214" i="33"/>
  <c r="O214" i="33"/>
  <c r="N214" i="33"/>
  <c r="M214" i="33"/>
  <c r="L214" i="33"/>
  <c r="K214" i="33"/>
  <c r="J214" i="33"/>
  <c r="I214" i="33"/>
  <c r="H214" i="33"/>
  <c r="G214" i="33"/>
  <c r="F214" i="33"/>
  <c r="E214" i="33"/>
  <c r="C214" i="33"/>
  <c r="D213" i="33"/>
  <c r="U212" i="33"/>
  <c r="E212" i="33"/>
  <c r="D212" i="33"/>
  <c r="B208" i="33"/>
  <c r="E208" i="33"/>
  <c r="D208" i="33"/>
  <c r="C208" i="33"/>
  <c r="B207" i="33"/>
  <c r="E207" i="33"/>
  <c r="D207" i="33"/>
  <c r="C207" i="33"/>
  <c r="B206" i="33"/>
  <c r="E206" i="33"/>
  <c r="D206" i="33"/>
  <c r="C206" i="33"/>
  <c r="B205" i="33"/>
  <c r="E205" i="33"/>
  <c r="D205" i="33"/>
  <c r="C205" i="33"/>
  <c r="B204" i="33"/>
  <c r="E204" i="33"/>
  <c r="D204" i="33"/>
  <c r="C204" i="33"/>
  <c r="B201" i="33"/>
  <c r="C201" i="33"/>
  <c r="B203" i="33"/>
  <c r="V203" i="33"/>
  <c r="U203" i="33"/>
  <c r="T203" i="33"/>
  <c r="S203" i="33"/>
  <c r="R203" i="33"/>
  <c r="Q203" i="33"/>
  <c r="P203" i="33"/>
  <c r="O203" i="33"/>
  <c r="N203" i="33"/>
  <c r="M203" i="33"/>
  <c r="L203" i="33"/>
  <c r="K203" i="33"/>
  <c r="J203" i="33"/>
  <c r="I203" i="33"/>
  <c r="H203" i="33"/>
  <c r="G203" i="33"/>
  <c r="F203" i="33"/>
  <c r="E203" i="33"/>
  <c r="C203" i="33"/>
  <c r="D202" i="33"/>
  <c r="E201" i="33"/>
  <c r="D201" i="33"/>
  <c r="B197" i="33"/>
  <c r="E197" i="33"/>
  <c r="D197" i="33"/>
  <c r="C197" i="33"/>
  <c r="B196" i="33"/>
  <c r="E196" i="33"/>
  <c r="D196" i="33"/>
  <c r="C196" i="33"/>
  <c r="B195" i="33"/>
  <c r="E195" i="33"/>
  <c r="D195" i="33"/>
  <c r="C195" i="33"/>
  <c r="B194" i="33"/>
  <c r="E194" i="33"/>
  <c r="D194" i="33"/>
  <c r="C194" i="33"/>
  <c r="B193" i="33"/>
  <c r="E193" i="33"/>
  <c r="D193" i="33"/>
  <c r="C193" i="33"/>
  <c r="V192" i="33"/>
  <c r="T192" i="33"/>
  <c r="S192" i="33"/>
  <c r="R192" i="33"/>
  <c r="Q192" i="33"/>
  <c r="P192" i="33"/>
  <c r="O192" i="33"/>
  <c r="N192" i="33"/>
  <c r="M192" i="33"/>
  <c r="L192" i="33"/>
  <c r="K192" i="33"/>
  <c r="J192" i="33"/>
  <c r="I192" i="33"/>
  <c r="H192" i="33"/>
  <c r="G192" i="33"/>
  <c r="F192" i="33"/>
  <c r="E192" i="33"/>
  <c r="C192" i="33"/>
  <c r="D191" i="33"/>
  <c r="U190" i="33"/>
  <c r="E190" i="33"/>
  <c r="D190" i="33"/>
  <c r="B186" i="33"/>
  <c r="E186" i="33"/>
  <c r="D186" i="33"/>
  <c r="C186" i="33"/>
  <c r="B185" i="33"/>
  <c r="E185" i="33"/>
  <c r="D185" i="33"/>
  <c r="C185" i="33"/>
  <c r="B184" i="33"/>
  <c r="E184" i="33"/>
  <c r="D184" i="33"/>
  <c r="C184" i="33"/>
  <c r="B183" i="33"/>
  <c r="E183" i="33"/>
  <c r="D183" i="33"/>
  <c r="C183" i="33"/>
  <c r="B182" i="33"/>
  <c r="E182" i="33"/>
  <c r="D182" i="33"/>
  <c r="C182" i="33"/>
  <c r="B179" i="33"/>
  <c r="C179" i="33"/>
  <c r="B181" i="33"/>
  <c r="V181" i="33"/>
  <c r="U181" i="33"/>
  <c r="T181" i="33"/>
  <c r="S181" i="33"/>
  <c r="R181" i="33"/>
  <c r="Q181" i="33"/>
  <c r="P181" i="33"/>
  <c r="O181" i="33"/>
  <c r="N181" i="33"/>
  <c r="M181" i="33"/>
  <c r="L181" i="33"/>
  <c r="K181" i="33"/>
  <c r="J181" i="33"/>
  <c r="I181" i="33"/>
  <c r="H181" i="33"/>
  <c r="G181" i="33"/>
  <c r="F181" i="33"/>
  <c r="E181" i="33"/>
  <c r="C181" i="33"/>
  <c r="D180" i="33"/>
  <c r="U179" i="33"/>
  <c r="E179" i="33"/>
  <c r="D179" i="33"/>
  <c r="B175" i="33"/>
  <c r="E175" i="33"/>
  <c r="D175" i="33"/>
  <c r="C175" i="33"/>
  <c r="B174" i="33"/>
  <c r="E174" i="33"/>
  <c r="D174" i="33"/>
  <c r="C174" i="33"/>
  <c r="B173" i="33"/>
  <c r="E173" i="33"/>
  <c r="D173" i="33"/>
  <c r="C173" i="33"/>
  <c r="B172" i="33"/>
  <c r="E172" i="33"/>
  <c r="D172" i="33"/>
  <c r="C172" i="33"/>
  <c r="B171" i="33"/>
  <c r="E171" i="33"/>
  <c r="D171" i="33"/>
  <c r="C171" i="33"/>
  <c r="B168" i="33"/>
  <c r="C168" i="33"/>
  <c r="B170" i="33"/>
  <c r="V170" i="33"/>
  <c r="U170" i="33"/>
  <c r="T170" i="33"/>
  <c r="S170" i="33"/>
  <c r="R170" i="33"/>
  <c r="Q170" i="33"/>
  <c r="P170" i="33"/>
  <c r="O170" i="33"/>
  <c r="N170" i="33"/>
  <c r="M170" i="33"/>
  <c r="L170" i="33"/>
  <c r="K170" i="33"/>
  <c r="J170" i="33"/>
  <c r="I170" i="33"/>
  <c r="H170" i="33"/>
  <c r="G170" i="33"/>
  <c r="F170" i="33"/>
  <c r="E170" i="33"/>
  <c r="C170" i="33"/>
  <c r="D169" i="33"/>
  <c r="U168" i="33"/>
  <c r="E168" i="33"/>
  <c r="D168" i="33"/>
  <c r="B164" i="33"/>
  <c r="E164" i="33"/>
  <c r="D164" i="33"/>
  <c r="C164" i="33"/>
  <c r="B163" i="33"/>
  <c r="E163" i="33"/>
  <c r="D163" i="33"/>
  <c r="C163" i="33"/>
  <c r="B162" i="33"/>
  <c r="E162" i="33"/>
  <c r="D162" i="33"/>
  <c r="C162" i="33"/>
  <c r="U161" i="33"/>
  <c r="B161" i="33"/>
  <c r="E161" i="33"/>
  <c r="D161" i="33"/>
  <c r="C161" i="33"/>
  <c r="B160" i="33"/>
  <c r="E160" i="33"/>
  <c r="D160" i="33"/>
  <c r="C160" i="33"/>
  <c r="B157" i="33"/>
  <c r="C157" i="33"/>
  <c r="B159" i="33"/>
  <c r="V159" i="33"/>
  <c r="U159" i="33"/>
  <c r="T159" i="33"/>
  <c r="S159" i="33"/>
  <c r="R159" i="33"/>
  <c r="Q159" i="33"/>
  <c r="P159" i="33"/>
  <c r="O159" i="33"/>
  <c r="N159" i="33"/>
  <c r="M159" i="33"/>
  <c r="L159" i="33"/>
  <c r="K159" i="33"/>
  <c r="J159" i="33"/>
  <c r="I159" i="33"/>
  <c r="H159" i="33"/>
  <c r="G159" i="33"/>
  <c r="F159" i="33"/>
  <c r="E159" i="33"/>
  <c r="C159" i="33"/>
  <c r="D158" i="33"/>
  <c r="E157" i="33"/>
  <c r="D157" i="33"/>
  <c r="B153" i="33"/>
  <c r="E153" i="33"/>
  <c r="D153" i="33"/>
  <c r="C153" i="33"/>
  <c r="B152" i="33"/>
  <c r="E152" i="33"/>
  <c r="D152" i="33"/>
  <c r="C152" i="33"/>
  <c r="B151" i="33"/>
  <c r="E151" i="33"/>
  <c r="D151" i="33"/>
  <c r="C151" i="33"/>
  <c r="U150" i="33"/>
  <c r="B150" i="33"/>
  <c r="E150" i="33"/>
  <c r="D150" i="33"/>
  <c r="C150" i="33"/>
  <c r="B149" i="33"/>
  <c r="E149" i="33"/>
  <c r="D149" i="33"/>
  <c r="C149" i="33"/>
  <c r="B146" i="33"/>
  <c r="C146" i="33"/>
  <c r="B148" i="33"/>
  <c r="V148" i="33"/>
  <c r="U148" i="33"/>
  <c r="T148" i="33"/>
  <c r="S148" i="33"/>
  <c r="R148" i="33"/>
  <c r="Q148" i="33"/>
  <c r="P148" i="33"/>
  <c r="O148" i="33"/>
  <c r="N148" i="33"/>
  <c r="M148" i="33"/>
  <c r="L148" i="33"/>
  <c r="K148" i="33"/>
  <c r="J148" i="33"/>
  <c r="I148" i="33"/>
  <c r="H148" i="33"/>
  <c r="G148" i="33"/>
  <c r="F148" i="33"/>
  <c r="E148" i="33"/>
  <c r="C148" i="33"/>
  <c r="D147" i="33"/>
  <c r="U146" i="33"/>
  <c r="E146" i="33"/>
  <c r="D146" i="33"/>
  <c r="B142" i="33"/>
  <c r="E142" i="33"/>
  <c r="D142" i="33"/>
  <c r="C142" i="33"/>
  <c r="B141" i="33"/>
  <c r="E141" i="33"/>
  <c r="D141" i="33"/>
  <c r="C141" i="33"/>
  <c r="B140" i="33"/>
  <c r="E140" i="33"/>
  <c r="D140" i="33"/>
  <c r="C140" i="33"/>
  <c r="B139" i="33"/>
  <c r="E139" i="33"/>
  <c r="D139" i="33"/>
  <c r="C139" i="33"/>
  <c r="B138" i="33"/>
  <c r="E138" i="33"/>
  <c r="D138" i="33"/>
  <c r="C138" i="33"/>
  <c r="B135" i="33"/>
  <c r="C135" i="33"/>
  <c r="B137" i="33"/>
  <c r="V137" i="33"/>
  <c r="U137" i="33"/>
  <c r="T137" i="33"/>
  <c r="S137" i="33"/>
  <c r="R137" i="33"/>
  <c r="Q137" i="33"/>
  <c r="P137" i="33"/>
  <c r="O137" i="33"/>
  <c r="N137" i="33"/>
  <c r="M137" i="33"/>
  <c r="L137" i="33"/>
  <c r="K137" i="33"/>
  <c r="J137" i="33"/>
  <c r="I137" i="33"/>
  <c r="H137" i="33"/>
  <c r="G137" i="33"/>
  <c r="F137" i="33"/>
  <c r="E137" i="33"/>
  <c r="C137" i="33"/>
  <c r="D136" i="33"/>
  <c r="E135" i="33"/>
  <c r="D135" i="33"/>
  <c r="B131" i="33"/>
  <c r="E131" i="33"/>
  <c r="D131" i="33"/>
  <c r="C131" i="33"/>
  <c r="B130" i="33"/>
  <c r="E130" i="33"/>
  <c r="D130" i="33"/>
  <c r="C130" i="33"/>
  <c r="B129" i="33"/>
  <c r="E129" i="33"/>
  <c r="D129" i="33"/>
  <c r="C129" i="33"/>
  <c r="B128" i="33"/>
  <c r="E128" i="33"/>
  <c r="D128" i="33"/>
  <c r="C128" i="33"/>
  <c r="B127" i="33"/>
  <c r="E127" i="33"/>
  <c r="D127" i="33"/>
  <c r="C127" i="33"/>
  <c r="B124" i="33"/>
  <c r="C124" i="33"/>
  <c r="B126" i="33"/>
  <c r="V126" i="33"/>
  <c r="U126" i="33"/>
  <c r="T126" i="33"/>
  <c r="S126" i="33"/>
  <c r="R126" i="33"/>
  <c r="Q126" i="33"/>
  <c r="P126" i="33"/>
  <c r="O126" i="33"/>
  <c r="N126" i="33"/>
  <c r="M126" i="33"/>
  <c r="L126" i="33"/>
  <c r="K126" i="33"/>
  <c r="J126" i="33"/>
  <c r="I126" i="33"/>
  <c r="H126" i="33"/>
  <c r="G126" i="33"/>
  <c r="F126" i="33"/>
  <c r="E126" i="33"/>
  <c r="C126" i="33"/>
  <c r="D125" i="33"/>
  <c r="E124" i="33"/>
  <c r="D124" i="33"/>
  <c r="B120" i="33"/>
  <c r="E120" i="33"/>
  <c r="D120" i="33"/>
  <c r="C120" i="33"/>
  <c r="B119" i="33"/>
  <c r="E119" i="33"/>
  <c r="D119" i="33"/>
  <c r="C119" i="33"/>
  <c r="B118" i="33"/>
  <c r="E118" i="33"/>
  <c r="D118" i="33"/>
  <c r="C118" i="33"/>
  <c r="B117" i="33"/>
  <c r="E117" i="33"/>
  <c r="D117" i="33"/>
  <c r="C117" i="33"/>
  <c r="B116" i="33"/>
  <c r="E116" i="33"/>
  <c r="D116" i="33"/>
  <c r="C116" i="33"/>
  <c r="B113" i="33"/>
  <c r="C113" i="33"/>
  <c r="B115" i="33"/>
  <c r="V115" i="33"/>
  <c r="U115" i="33"/>
  <c r="T115" i="33"/>
  <c r="S115" i="33"/>
  <c r="R115" i="33"/>
  <c r="Q115" i="33"/>
  <c r="P115" i="33"/>
  <c r="O115" i="33"/>
  <c r="N115" i="33"/>
  <c r="M115" i="33"/>
  <c r="L115" i="33"/>
  <c r="K115" i="33"/>
  <c r="J115" i="33"/>
  <c r="I115" i="33"/>
  <c r="H115" i="33"/>
  <c r="G115" i="33"/>
  <c r="F115" i="33"/>
  <c r="E115" i="33"/>
  <c r="C115" i="33"/>
  <c r="D114" i="33"/>
  <c r="E113" i="33"/>
  <c r="D113" i="33"/>
  <c r="B109" i="33"/>
  <c r="E109" i="33"/>
  <c r="D109" i="33"/>
  <c r="C109" i="33"/>
  <c r="B108" i="33"/>
  <c r="E108" i="33"/>
  <c r="D108" i="33"/>
  <c r="C108" i="33"/>
  <c r="B107" i="33"/>
  <c r="E107" i="33"/>
  <c r="D107" i="33"/>
  <c r="C107" i="33"/>
  <c r="B106" i="33"/>
  <c r="E106" i="33"/>
  <c r="D106" i="33"/>
  <c r="C106" i="33"/>
  <c r="B105" i="33"/>
  <c r="E105" i="33"/>
  <c r="D105" i="33"/>
  <c r="C105" i="33"/>
  <c r="B102" i="33"/>
  <c r="C102" i="33"/>
  <c r="B104" i="33"/>
  <c r="V104" i="33"/>
  <c r="U104" i="33"/>
  <c r="T104" i="33"/>
  <c r="S104" i="33"/>
  <c r="R104" i="33"/>
  <c r="Q104" i="33"/>
  <c r="P104" i="33"/>
  <c r="O104" i="33"/>
  <c r="N104" i="33"/>
  <c r="M104" i="33"/>
  <c r="L104" i="33"/>
  <c r="K104" i="33"/>
  <c r="J104" i="33"/>
  <c r="I104" i="33"/>
  <c r="H104" i="33"/>
  <c r="G104" i="33"/>
  <c r="F104" i="33"/>
  <c r="E104" i="33"/>
  <c r="C104" i="33"/>
  <c r="D103" i="33"/>
  <c r="U102" i="33"/>
  <c r="E102" i="33"/>
  <c r="D102" i="33"/>
  <c r="B98" i="33"/>
  <c r="E98" i="33"/>
  <c r="D98" i="33"/>
  <c r="C98" i="33"/>
  <c r="B97" i="33"/>
  <c r="E97" i="33"/>
  <c r="D97" i="33"/>
  <c r="C97" i="33"/>
  <c r="B96" i="33"/>
  <c r="E96" i="33"/>
  <c r="D96" i="33"/>
  <c r="C96" i="33"/>
  <c r="B95" i="33"/>
  <c r="E95" i="33"/>
  <c r="D95" i="33"/>
  <c r="C95" i="33"/>
  <c r="B94" i="33"/>
  <c r="E94" i="33"/>
  <c r="D94" i="33"/>
  <c r="C94" i="33"/>
  <c r="B91" i="33"/>
  <c r="C91" i="33"/>
  <c r="B93" i="33"/>
  <c r="V93" i="33"/>
  <c r="U93" i="33"/>
  <c r="T93" i="33"/>
  <c r="S93" i="33"/>
  <c r="R93" i="33"/>
  <c r="Q93" i="33"/>
  <c r="P93" i="33"/>
  <c r="O93" i="33"/>
  <c r="N93" i="33"/>
  <c r="M93" i="33"/>
  <c r="L93" i="33"/>
  <c r="K93" i="33"/>
  <c r="J93" i="33"/>
  <c r="I93" i="33"/>
  <c r="H93" i="33"/>
  <c r="G93" i="33"/>
  <c r="F93" i="33"/>
  <c r="E93" i="33"/>
  <c r="C93" i="33"/>
  <c r="D92" i="33"/>
  <c r="U91" i="33"/>
  <c r="E91" i="33"/>
  <c r="D91" i="33"/>
  <c r="B87" i="33"/>
  <c r="E87" i="33"/>
  <c r="D87" i="33"/>
  <c r="C87" i="33"/>
  <c r="B86" i="33"/>
  <c r="E86" i="33"/>
  <c r="D86" i="33"/>
  <c r="C86" i="33"/>
  <c r="B85" i="33"/>
  <c r="E85" i="33"/>
  <c r="D85" i="33"/>
  <c r="C85" i="33"/>
  <c r="B84" i="33"/>
  <c r="E84" i="33"/>
  <c r="D84" i="33"/>
  <c r="C84" i="33"/>
  <c r="B83" i="33"/>
  <c r="E83" i="33"/>
  <c r="D83" i="33"/>
  <c r="C83" i="33"/>
  <c r="B80" i="33"/>
  <c r="C80" i="33"/>
  <c r="B82" i="33"/>
  <c r="V82" i="33"/>
  <c r="U82" i="33"/>
  <c r="T82" i="33"/>
  <c r="S82" i="33"/>
  <c r="R82" i="33"/>
  <c r="Q82" i="33"/>
  <c r="P82" i="33"/>
  <c r="O82" i="33"/>
  <c r="N82" i="33"/>
  <c r="M82" i="33"/>
  <c r="L82" i="33"/>
  <c r="K82" i="33"/>
  <c r="J82" i="33"/>
  <c r="I82" i="33"/>
  <c r="H82" i="33"/>
  <c r="G82" i="33"/>
  <c r="F82" i="33"/>
  <c r="E82" i="33"/>
  <c r="C82" i="33"/>
  <c r="D81" i="33"/>
  <c r="U80" i="33"/>
  <c r="E80" i="33"/>
  <c r="D80" i="33"/>
  <c r="B76" i="33"/>
  <c r="E76" i="33"/>
  <c r="D76" i="33"/>
  <c r="C76" i="33"/>
  <c r="B75" i="33"/>
  <c r="E75" i="33"/>
  <c r="D75" i="33"/>
  <c r="C75" i="33"/>
  <c r="B74" i="33"/>
  <c r="E74" i="33"/>
  <c r="D74" i="33"/>
  <c r="C74" i="33"/>
  <c r="B73" i="33"/>
  <c r="E73" i="33"/>
  <c r="D73" i="33"/>
  <c r="C73" i="33"/>
  <c r="B72" i="33"/>
  <c r="E72" i="33"/>
  <c r="D72" i="33"/>
  <c r="C72" i="33"/>
  <c r="B69" i="33"/>
  <c r="C69" i="33"/>
  <c r="B71" i="33"/>
  <c r="V71" i="33"/>
  <c r="U71" i="33"/>
  <c r="T71" i="33"/>
  <c r="S71" i="33"/>
  <c r="R71" i="33"/>
  <c r="Q71" i="33"/>
  <c r="P71" i="33"/>
  <c r="O71" i="33"/>
  <c r="N71" i="33"/>
  <c r="M71" i="33"/>
  <c r="L71" i="33"/>
  <c r="K71" i="33"/>
  <c r="J71" i="33"/>
  <c r="I71" i="33"/>
  <c r="H71" i="33"/>
  <c r="G71" i="33"/>
  <c r="F71" i="33"/>
  <c r="E71" i="33"/>
  <c r="C71" i="33"/>
  <c r="D70" i="33"/>
  <c r="E69" i="33"/>
  <c r="D69" i="33"/>
  <c r="B65" i="33"/>
  <c r="E65" i="33"/>
  <c r="D65" i="33"/>
  <c r="C65" i="33"/>
  <c r="B64" i="33"/>
  <c r="E64" i="33"/>
  <c r="D64" i="33"/>
  <c r="C64" i="33"/>
  <c r="B63" i="33"/>
  <c r="E63" i="33"/>
  <c r="D63" i="33"/>
  <c r="C63" i="33"/>
  <c r="B62" i="33"/>
  <c r="E62" i="33"/>
  <c r="D62" i="33"/>
  <c r="C62" i="33"/>
  <c r="B61" i="33"/>
  <c r="E61" i="33"/>
  <c r="D61" i="33"/>
  <c r="C61" i="33"/>
  <c r="B58" i="33"/>
  <c r="C58" i="33"/>
  <c r="B60" i="33"/>
  <c r="V60" i="33"/>
  <c r="U60" i="33"/>
  <c r="T60" i="33"/>
  <c r="S60" i="33"/>
  <c r="R60" i="33"/>
  <c r="Q60" i="33"/>
  <c r="P60" i="33"/>
  <c r="O60" i="33"/>
  <c r="N60" i="33"/>
  <c r="M60" i="33"/>
  <c r="L60" i="33"/>
  <c r="K60" i="33"/>
  <c r="J60" i="33"/>
  <c r="I60" i="33"/>
  <c r="H60" i="33"/>
  <c r="G60" i="33"/>
  <c r="F60" i="33"/>
  <c r="E60" i="33"/>
  <c r="C60" i="33"/>
  <c r="D59" i="33"/>
  <c r="E58" i="33"/>
  <c r="D58" i="33"/>
  <c r="B54" i="33"/>
  <c r="E54" i="33"/>
  <c r="D54" i="33"/>
  <c r="C54" i="33"/>
  <c r="B53" i="33"/>
  <c r="E53" i="33"/>
  <c r="D53" i="33"/>
  <c r="C53" i="33"/>
  <c r="B52" i="33"/>
  <c r="E52" i="33"/>
  <c r="D52" i="33"/>
  <c r="C52" i="33"/>
  <c r="B51" i="33"/>
  <c r="E51" i="33"/>
  <c r="D51" i="33"/>
  <c r="C51" i="33"/>
  <c r="B50" i="33"/>
  <c r="E50" i="33"/>
  <c r="D50" i="33"/>
  <c r="C50" i="33"/>
  <c r="B47" i="33"/>
  <c r="C47" i="33"/>
  <c r="B49" i="33"/>
  <c r="V49" i="33"/>
  <c r="U49" i="33"/>
  <c r="T49" i="33"/>
  <c r="S49" i="33"/>
  <c r="R49" i="33"/>
  <c r="Q49" i="33"/>
  <c r="P49" i="33"/>
  <c r="O49" i="33"/>
  <c r="N49" i="33"/>
  <c r="M49" i="33"/>
  <c r="L49" i="33"/>
  <c r="K49" i="33"/>
  <c r="J49" i="33"/>
  <c r="I49" i="33"/>
  <c r="H49" i="33"/>
  <c r="G49" i="33"/>
  <c r="F49" i="33"/>
  <c r="E49" i="33"/>
  <c r="C49" i="33"/>
  <c r="D48" i="33"/>
  <c r="E47" i="33"/>
  <c r="D47" i="33"/>
  <c r="B43" i="33"/>
  <c r="E43" i="33"/>
  <c r="D43" i="33"/>
  <c r="C43" i="33"/>
  <c r="B42" i="33"/>
  <c r="E42" i="33"/>
  <c r="D42" i="33"/>
  <c r="C42" i="33"/>
  <c r="B41" i="33"/>
  <c r="E41" i="33"/>
  <c r="D41" i="33"/>
  <c r="C41" i="33"/>
  <c r="B40" i="33"/>
  <c r="E40" i="33"/>
  <c r="D40" i="33"/>
  <c r="C40" i="33"/>
  <c r="B39" i="33"/>
  <c r="E39" i="33"/>
  <c r="D39" i="33"/>
  <c r="C39" i="33"/>
  <c r="B36" i="33"/>
  <c r="C36" i="33"/>
  <c r="B38" i="33"/>
  <c r="V38" i="33"/>
  <c r="U38" i="33"/>
  <c r="T38" i="33"/>
  <c r="S38" i="33"/>
  <c r="R38" i="33"/>
  <c r="Q38" i="33"/>
  <c r="P38" i="33"/>
  <c r="O38" i="33"/>
  <c r="N38" i="33"/>
  <c r="M38" i="33"/>
  <c r="L38" i="33"/>
  <c r="K38" i="33"/>
  <c r="J38" i="33"/>
  <c r="I38" i="33"/>
  <c r="H38" i="33"/>
  <c r="G38" i="33"/>
  <c r="F38" i="33"/>
  <c r="E38" i="33"/>
  <c r="C38" i="33"/>
  <c r="D37" i="33"/>
  <c r="E36" i="33"/>
  <c r="D36" i="33"/>
  <c r="B32" i="33"/>
  <c r="E32" i="33"/>
  <c r="D32" i="33"/>
  <c r="C32" i="33"/>
  <c r="B31" i="33"/>
  <c r="E31" i="33"/>
  <c r="D31" i="33"/>
  <c r="C31" i="33"/>
  <c r="B30" i="33"/>
  <c r="E30" i="33"/>
  <c r="D30" i="33"/>
  <c r="C30" i="33"/>
  <c r="B29" i="33"/>
  <c r="E29" i="33"/>
  <c r="D29" i="33"/>
  <c r="C29" i="33"/>
  <c r="B28" i="33"/>
  <c r="E28" i="33"/>
  <c r="D28" i="33"/>
  <c r="C28" i="33"/>
  <c r="B25" i="33"/>
  <c r="C25" i="33"/>
  <c r="B27" i="33"/>
  <c r="V27" i="33"/>
  <c r="U27" i="33"/>
  <c r="T27" i="33"/>
  <c r="S27" i="33"/>
  <c r="R27" i="33"/>
  <c r="Q27" i="33"/>
  <c r="P27" i="33"/>
  <c r="O27" i="33"/>
  <c r="N27" i="33"/>
  <c r="M27" i="33"/>
  <c r="L27" i="33"/>
  <c r="K27" i="33"/>
  <c r="J27" i="33"/>
  <c r="I27" i="33"/>
  <c r="H27" i="33"/>
  <c r="G27" i="33"/>
  <c r="F27" i="33"/>
  <c r="E27" i="33"/>
  <c r="C27" i="33"/>
  <c r="D26" i="33"/>
  <c r="E25" i="33"/>
  <c r="D25" i="33"/>
  <c r="B21" i="33"/>
  <c r="E21" i="33"/>
  <c r="D21" i="33"/>
  <c r="C21" i="33"/>
  <c r="B20" i="33"/>
  <c r="E20" i="33"/>
  <c r="D20" i="33"/>
  <c r="C20" i="33"/>
  <c r="B19" i="33"/>
  <c r="E19" i="33"/>
  <c r="D19" i="33"/>
  <c r="C19" i="33"/>
  <c r="B18" i="33"/>
  <c r="E18" i="33"/>
  <c r="D18" i="33"/>
  <c r="C18" i="33"/>
  <c r="B17" i="33"/>
  <c r="E17" i="33"/>
  <c r="D17" i="33"/>
  <c r="C17" i="33"/>
  <c r="B14" i="33"/>
  <c r="C14" i="33"/>
  <c r="B16" i="33"/>
  <c r="V16" i="33"/>
  <c r="U16" i="33"/>
  <c r="T16" i="33"/>
  <c r="S16" i="33"/>
  <c r="R16" i="33"/>
  <c r="Q16" i="33"/>
  <c r="P16" i="33"/>
  <c r="O16" i="33"/>
  <c r="N16" i="33"/>
  <c r="M16" i="33"/>
  <c r="L16" i="33"/>
  <c r="K16" i="33"/>
  <c r="J16" i="33"/>
  <c r="I16" i="33"/>
  <c r="H16" i="33"/>
  <c r="G16" i="33"/>
  <c r="F16" i="33"/>
  <c r="E16" i="33"/>
  <c r="C16" i="33"/>
  <c r="D15" i="33"/>
  <c r="E14" i="33"/>
  <c r="D14" i="33"/>
  <c r="B10" i="33"/>
  <c r="E10" i="33"/>
  <c r="D10" i="33"/>
  <c r="C10" i="33"/>
  <c r="B9" i="33"/>
  <c r="E9" i="33"/>
  <c r="D9" i="33"/>
  <c r="C9" i="33"/>
  <c r="B8" i="33"/>
  <c r="E8" i="33"/>
  <c r="D8" i="33"/>
  <c r="C8" i="33"/>
  <c r="B7" i="33"/>
  <c r="E7" i="33"/>
  <c r="D7" i="33"/>
  <c r="C7" i="33"/>
  <c r="B6" i="33"/>
  <c r="E6" i="33"/>
  <c r="D6" i="33"/>
  <c r="C6" i="33"/>
  <c r="B3" i="33"/>
  <c r="C3" i="33"/>
  <c r="B5" i="33"/>
  <c r="V5" i="33"/>
  <c r="U5" i="33"/>
  <c r="T5" i="33"/>
  <c r="S5" i="33"/>
  <c r="R5" i="33"/>
  <c r="Q5" i="33"/>
  <c r="P5" i="33"/>
  <c r="O5" i="33"/>
  <c r="N5" i="33"/>
  <c r="M5" i="33"/>
  <c r="L5" i="33"/>
  <c r="K5" i="33"/>
  <c r="J5" i="33"/>
  <c r="I5" i="33"/>
  <c r="H5" i="33"/>
  <c r="G5" i="33"/>
  <c r="F5" i="33"/>
  <c r="E5" i="33"/>
  <c r="C5" i="33"/>
  <c r="D4" i="33"/>
  <c r="V3" i="33"/>
  <c r="E3" i="33"/>
  <c r="D3" i="33"/>
  <c r="T13" i="10"/>
  <c r="T104" i="10"/>
  <c r="T55" i="10"/>
  <c r="T88" i="10"/>
  <c r="T12" i="10"/>
  <c r="T69" i="10"/>
  <c r="T27" i="10"/>
  <c r="T6" i="10"/>
  <c r="T7" i="10"/>
  <c r="T20" i="10"/>
  <c r="T21" i="10"/>
  <c r="T34" i="10"/>
  <c r="T48" i="10"/>
  <c r="T49" i="10"/>
  <c r="T51" i="10"/>
  <c r="T9" i="10"/>
  <c r="T62" i="10"/>
  <c r="T63" i="10"/>
  <c r="T76" i="10"/>
  <c r="C69" i="12"/>
  <c r="C68" i="12"/>
  <c r="C67" i="12"/>
  <c r="C66" i="12"/>
  <c r="C65" i="12"/>
  <c r="C64" i="12"/>
  <c r="C63" i="12"/>
  <c r="C62" i="12"/>
  <c r="C61" i="12"/>
  <c r="C60" i="12"/>
  <c r="C59" i="12"/>
  <c r="C58" i="12"/>
  <c r="C55" i="12"/>
  <c r="C54" i="12"/>
  <c r="C53" i="12"/>
  <c r="C52" i="12"/>
  <c r="C51" i="12"/>
  <c r="C50" i="12"/>
  <c r="C49" i="12"/>
  <c r="C48" i="12"/>
  <c r="C47" i="12"/>
  <c r="C46" i="12"/>
  <c r="C45" i="12"/>
  <c r="C44" i="12"/>
  <c r="C41" i="12"/>
  <c r="C40" i="12"/>
  <c r="C39" i="12"/>
  <c r="C38" i="12"/>
  <c r="C37" i="12"/>
  <c r="C36" i="12"/>
  <c r="C35" i="12"/>
  <c r="C34" i="12"/>
  <c r="C33" i="12"/>
  <c r="C32" i="12"/>
  <c r="C31" i="12"/>
  <c r="C30" i="12"/>
  <c r="T41" i="10"/>
  <c r="T83" i="10"/>
  <c r="T30" i="10"/>
  <c r="T31" i="10"/>
  <c r="T32" i="10"/>
  <c r="T33" i="10"/>
  <c r="T40" i="10"/>
  <c r="T72" i="10"/>
  <c r="T73" i="10"/>
  <c r="T74" i="10"/>
  <c r="T75" i="10"/>
  <c r="T102" i="10"/>
  <c r="T82" i="10"/>
  <c r="T16" i="10"/>
  <c r="T17" i="10"/>
  <c r="T18" i="10"/>
  <c r="T19" i="10"/>
  <c r="T26" i="10"/>
  <c r="T58" i="10"/>
  <c r="T59" i="10"/>
  <c r="T60" i="10"/>
  <c r="T61" i="10"/>
  <c r="T68" i="10"/>
  <c r="T2" i="10"/>
  <c r="T3" i="10"/>
  <c r="T4" i="10"/>
  <c r="T5" i="10"/>
  <c r="T8" i="10"/>
  <c r="T44" i="10"/>
  <c r="T45" i="10"/>
  <c r="T46" i="10"/>
  <c r="T47" i="10"/>
  <c r="T50" i="10"/>
  <c r="T54" i="10"/>
  <c r="E31" i="13"/>
  <c r="E4" i="9"/>
  <c r="E33" i="13"/>
  <c r="E32" i="13"/>
  <c r="T195" i="10"/>
  <c r="T194" i="10"/>
  <c r="T181" i="10"/>
  <c r="T180" i="10"/>
  <c r="T167" i="10"/>
  <c r="T166" i="10"/>
  <c r="T153" i="10"/>
  <c r="T152" i="10"/>
  <c r="T139" i="10"/>
  <c r="T138" i="10"/>
  <c r="T125" i="10"/>
  <c r="T124" i="10"/>
  <c r="E9" i="9"/>
  <c r="T320" i="4"/>
  <c r="U320" i="4"/>
  <c r="N320" i="4"/>
  <c r="O320" i="4"/>
  <c r="P320" i="4"/>
  <c r="Q320" i="4"/>
  <c r="R320" i="4"/>
  <c r="S320" i="4"/>
  <c r="M320" i="4"/>
  <c r="L320" i="4"/>
  <c r="K320" i="4"/>
  <c r="J320" i="4"/>
  <c r="I320" i="4"/>
  <c r="H320" i="4"/>
  <c r="G320" i="4"/>
  <c r="W161" i="4"/>
  <c r="V161" i="4"/>
  <c r="U161" i="4"/>
  <c r="T161" i="4"/>
  <c r="S161" i="4"/>
  <c r="R161" i="4"/>
  <c r="Q161" i="4"/>
  <c r="P161" i="4"/>
  <c r="O161" i="4"/>
  <c r="N161" i="4"/>
  <c r="E23" i="9"/>
  <c r="E8" i="9"/>
  <c r="E22" i="9"/>
  <c r="E3" i="9"/>
  <c r="E18" i="9"/>
  <c r="E6" i="9"/>
  <c r="E20" i="9"/>
  <c r="E7" i="9"/>
  <c r="E21" i="9"/>
  <c r="E5" i="9"/>
  <c r="E19" i="9"/>
  <c r="E45" i="9"/>
  <c r="E2" i="9"/>
  <c r="E44" i="9"/>
  <c r="E58" i="9"/>
  <c r="E59" i="9"/>
  <c r="E73" i="9"/>
  <c r="E60" i="9"/>
  <c r="E74" i="9"/>
  <c r="E61" i="9"/>
  <c r="E75" i="9"/>
  <c r="E62" i="9"/>
  <c r="E76" i="9"/>
  <c r="E63" i="9"/>
  <c r="E77" i="9"/>
  <c r="E64" i="9"/>
  <c r="E78" i="9"/>
  <c r="E65" i="9"/>
  <c r="E79" i="9"/>
  <c r="E66" i="9"/>
  <c r="E80" i="9"/>
  <c r="E67" i="9"/>
  <c r="E81" i="9"/>
  <c r="E68" i="9"/>
  <c r="E82" i="9"/>
  <c r="E69" i="9"/>
  <c r="E83" i="9"/>
  <c r="E72" i="9"/>
  <c r="E16" i="9"/>
  <c r="E72" i="13"/>
  <c r="E58" i="13"/>
  <c r="A335" i="24"/>
  <c r="A334" i="24"/>
  <c r="A333" i="24"/>
  <c r="A332" i="24"/>
  <c r="A331" i="24"/>
  <c r="A330" i="24"/>
  <c r="A329" i="24"/>
  <c r="A328" i="24"/>
  <c r="A327" i="24"/>
  <c r="A326" i="24"/>
  <c r="A325" i="24"/>
  <c r="A324" i="24"/>
  <c r="A321" i="24"/>
  <c r="A320" i="24"/>
  <c r="A319" i="24"/>
  <c r="A318" i="24"/>
  <c r="A317" i="24"/>
  <c r="A316" i="24"/>
  <c r="A315" i="24"/>
  <c r="A314" i="24"/>
  <c r="A313" i="24"/>
  <c r="A312" i="24"/>
  <c r="A311" i="24"/>
  <c r="A310" i="24"/>
  <c r="A307" i="24"/>
  <c r="A306" i="24"/>
  <c r="A305" i="24"/>
  <c r="A304" i="24"/>
  <c r="A303" i="24"/>
  <c r="A302" i="24"/>
  <c r="A301" i="24"/>
  <c r="A300" i="24"/>
  <c r="A299" i="24"/>
  <c r="A298" i="24"/>
  <c r="A297" i="24"/>
  <c r="A296" i="24"/>
  <c r="A293" i="24"/>
  <c r="A292" i="24"/>
  <c r="A291" i="24"/>
  <c r="A290" i="24"/>
  <c r="A289" i="24"/>
  <c r="A288" i="24"/>
  <c r="A287" i="24"/>
  <c r="A286" i="24"/>
  <c r="A285" i="24"/>
  <c r="A284" i="24"/>
  <c r="A283" i="24"/>
  <c r="A282" i="24"/>
  <c r="A279" i="24"/>
  <c r="A278" i="24"/>
  <c r="A277" i="24"/>
  <c r="A276" i="24"/>
  <c r="A275" i="24"/>
  <c r="A274" i="24"/>
  <c r="A273" i="24"/>
  <c r="A272" i="24"/>
  <c r="A271" i="24"/>
  <c r="A270" i="24"/>
  <c r="A269" i="24"/>
  <c r="A268" i="24"/>
  <c r="A265" i="24"/>
  <c r="A264" i="24"/>
  <c r="A263" i="24"/>
  <c r="A262" i="24"/>
  <c r="A261" i="24"/>
  <c r="A260" i="24"/>
  <c r="A259" i="24"/>
  <c r="A258" i="24"/>
  <c r="A257" i="24"/>
  <c r="A256" i="24"/>
  <c r="A255" i="24"/>
  <c r="A254" i="24"/>
  <c r="A251" i="24"/>
  <c r="A250" i="24"/>
  <c r="A249" i="24"/>
  <c r="A248" i="24"/>
  <c r="A247" i="24"/>
  <c r="A246" i="24"/>
  <c r="A245" i="24"/>
  <c r="A244" i="24"/>
  <c r="A243" i="24"/>
  <c r="A242" i="24"/>
  <c r="A241" i="24"/>
  <c r="A240" i="24"/>
  <c r="A237" i="24"/>
  <c r="A236" i="24"/>
  <c r="A235" i="24"/>
  <c r="A234" i="24"/>
  <c r="A233" i="24"/>
  <c r="A232" i="24"/>
  <c r="A231" i="24"/>
  <c r="A230" i="24"/>
  <c r="A229" i="24"/>
  <c r="A228" i="24"/>
  <c r="A227" i="24"/>
  <c r="A226" i="24"/>
  <c r="A223" i="24"/>
  <c r="A222" i="24"/>
  <c r="A221" i="24"/>
  <c r="A220" i="24"/>
  <c r="A219" i="24"/>
  <c r="A218" i="24"/>
  <c r="A217" i="24"/>
  <c r="A216" i="24"/>
  <c r="A215" i="24"/>
  <c r="A214" i="24"/>
  <c r="A213" i="24"/>
  <c r="A212" i="24"/>
  <c r="A209" i="24"/>
  <c r="A208" i="24"/>
  <c r="A207" i="24"/>
  <c r="A206" i="24"/>
  <c r="A205" i="24"/>
  <c r="A204" i="24"/>
  <c r="A203" i="24"/>
  <c r="A202" i="24"/>
  <c r="A201" i="24"/>
  <c r="A200" i="24"/>
  <c r="A199" i="24"/>
  <c r="A198" i="24"/>
  <c r="A195" i="24"/>
  <c r="A194" i="24"/>
  <c r="A193" i="24"/>
  <c r="A192" i="24"/>
  <c r="A191" i="24"/>
  <c r="A190" i="24"/>
  <c r="A189" i="24"/>
  <c r="A188" i="24"/>
  <c r="A187" i="24"/>
  <c r="A186" i="24"/>
  <c r="A185" i="24"/>
  <c r="A184" i="24"/>
  <c r="A181" i="24"/>
  <c r="A180" i="24"/>
  <c r="A179" i="24"/>
  <c r="A178" i="24"/>
  <c r="A177" i="24"/>
  <c r="A176" i="24"/>
  <c r="A175" i="24"/>
  <c r="A174" i="24"/>
  <c r="A173" i="24"/>
  <c r="A172" i="24"/>
  <c r="A171" i="24"/>
  <c r="A170" i="24"/>
  <c r="A167" i="24"/>
  <c r="A166" i="24"/>
  <c r="A165" i="24"/>
  <c r="A164" i="24"/>
  <c r="A163" i="24"/>
  <c r="A162" i="24"/>
  <c r="A161" i="24"/>
  <c r="A160" i="24"/>
  <c r="A159" i="24"/>
  <c r="A158" i="24"/>
  <c r="A157" i="24"/>
  <c r="A156" i="24"/>
  <c r="A153" i="24"/>
  <c r="A152" i="24"/>
  <c r="A151" i="24"/>
  <c r="A150" i="24"/>
  <c r="A149" i="24"/>
  <c r="A148" i="24"/>
  <c r="A147" i="24"/>
  <c r="A146" i="24"/>
  <c r="A145" i="24"/>
  <c r="A144" i="24"/>
  <c r="A143" i="24"/>
  <c r="A142" i="24"/>
  <c r="A139" i="24"/>
  <c r="A138" i="24"/>
  <c r="A137" i="24"/>
  <c r="A136" i="24"/>
  <c r="A135" i="24"/>
  <c r="A134" i="24"/>
  <c r="A133" i="24"/>
  <c r="A132" i="24"/>
  <c r="A131" i="24"/>
  <c r="A130" i="24"/>
  <c r="A129" i="24"/>
  <c r="A128" i="24"/>
  <c r="A125" i="24"/>
  <c r="A124" i="24"/>
  <c r="A123" i="24"/>
  <c r="A122" i="24"/>
  <c r="A121" i="24"/>
  <c r="A120" i="24"/>
  <c r="A119" i="24"/>
  <c r="A118" i="24"/>
  <c r="A117" i="24"/>
  <c r="A116" i="24"/>
  <c r="A115" i="24"/>
  <c r="A114" i="24"/>
  <c r="A111" i="24"/>
  <c r="A110" i="24"/>
  <c r="A109" i="24"/>
  <c r="A108" i="24"/>
  <c r="A107" i="24"/>
  <c r="A106" i="24"/>
  <c r="A105" i="24"/>
  <c r="A104" i="24"/>
  <c r="A103" i="24"/>
  <c r="A102" i="24"/>
  <c r="A101" i="24"/>
  <c r="A100" i="24"/>
  <c r="A97" i="24"/>
  <c r="A96" i="24"/>
  <c r="A95" i="24"/>
  <c r="A94" i="24"/>
  <c r="A93" i="24"/>
  <c r="A92" i="24"/>
  <c r="A91" i="24"/>
  <c r="A90" i="24"/>
  <c r="A89" i="24"/>
  <c r="A88" i="24"/>
  <c r="A87" i="24"/>
  <c r="A86" i="24"/>
  <c r="A83" i="24"/>
  <c r="A82" i="24"/>
  <c r="A81" i="24"/>
  <c r="A80" i="24"/>
  <c r="A79" i="24"/>
  <c r="A78" i="24"/>
  <c r="A77" i="24"/>
  <c r="A76" i="24"/>
  <c r="A75" i="24"/>
  <c r="A74" i="24"/>
  <c r="A73" i="24"/>
  <c r="A72" i="24"/>
  <c r="A69" i="24"/>
  <c r="A68" i="24"/>
  <c r="A67" i="24"/>
  <c r="A66" i="24"/>
  <c r="A65" i="24"/>
  <c r="A64" i="24"/>
  <c r="A63" i="24"/>
  <c r="A62" i="24"/>
  <c r="A61" i="24"/>
  <c r="A60" i="24"/>
  <c r="A59" i="24"/>
  <c r="A58" i="24"/>
  <c r="A55" i="24"/>
  <c r="A54" i="24"/>
  <c r="A53" i="24"/>
  <c r="A52" i="24"/>
  <c r="A51" i="24"/>
  <c r="A50" i="24"/>
  <c r="A49" i="24"/>
  <c r="A48" i="24"/>
  <c r="A47" i="24"/>
  <c r="A46" i="24"/>
  <c r="A45" i="24"/>
  <c r="A44" i="24"/>
  <c r="A41" i="24"/>
  <c r="A40" i="24"/>
  <c r="A39" i="24"/>
  <c r="A38" i="24"/>
  <c r="A37" i="24"/>
  <c r="A36" i="24"/>
  <c r="A35" i="24"/>
  <c r="A34" i="24"/>
  <c r="A33" i="24"/>
  <c r="A32" i="24"/>
  <c r="A31" i="24"/>
  <c r="A30" i="24"/>
  <c r="A27" i="24"/>
  <c r="A26" i="24"/>
  <c r="A25" i="24"/>
  <c r="A24" i="24"/>
  <c r="A23" i="24"/>
  <c r="A22" i="24"/>
  <c r="A21" i="24"/>
  <c r="A20" i="24"/>
  <c r="A19" i="24"/>
  <c r="A18" i="24"/>
  <c r="A17" i="24"/>
  <c r="A16" i="24"/>
  <c r="A13" i="24"/>
  <c r="A12" i="24"/>
  <c r="A11" i="24"/>
  <c r="A10" i="24"/>
  <c r="A9" i="24"/>
  <c r="A8" i="24"/>
  <c r="A7" i="24"/>
  <c r="A6" i="24"/>
  <c r="A5" i="24"/>
  <c r="A4" i="24"/>
  <c r="A3" i="24"/>
  <c r="A2" i="24"/>
  <c r="E2" i="13"/>
  <c r="E16" i="13"/>
  <c r="U251" i="24"/>
  <c r="T251" i="24"/>
  <c r="S251" i="24"/>
  <c r="R251" i="24"/>
  <c r="Q251" i="24"/>
  <c r="P251" i="24"/>
  <c r="O251" i="24"/>
  <c r="N251" i="24"/>
  <c r="M251" i="24"/>
  <c r="L251" i="24"/>
  <c r="K251" i="24"/>
  <c r="J251" i="24"/>
  <c r="I251" i="24"/>
  <c r="H251" i="24"/>
  <c r="G251" i="24"/>
  <c r="F251" i="24"/>
  <c r="E251" i="24"/>
  <c r="R250" i="24"/>
  <c r="Q250" i="24"/>
  <c r="P250" i="24"/>
  <c r="O250" i="24"/>
  <c r="N250" i="24"/>
  <c r="M250" i="24"/>
  <c r="L250" i="24"/>
  <c r="K250" i="24"/>
  <c r="J250" i="24"/>
  <c r="I250" i="24"/>
  <c r="H250" i="24"/>
  <c r="G250" i="24"/>
  <c r="F250" i="24"/>
  <c r="E250" i="24"/>
  <c r="U249" i="24"/>
  <c r="T249" i="24"/>
  <c r="S249" i="24"/>
  <c r="R249" i="24"/>
  <c r="Q249" i="24"/>
  <c r="P249" i="24"/>
  <c r="O249" i="24"/>
  <c r="N249" i="24"/>
  <c r="M249" i="24"/>
  <c r="L249" i="24"/>
  <c r="K249" i="24"/>
  <c r="J249" i="24"/>
  <c r="I249" i="24"/>
  <c r="H249" i="24"/>
  <c r="G249" i="24"/>
  <c r="F249" i="24"/>
  <c r="E249" i="24"/>
  <c r="R248" i="24"/>
  <c r="Q248" i="24"/>
  <c r="P248" i="24"/>
  <c r="O248" i="24"/>
  <c r="N248" i="24"/>
  <c r="M248" i="24"/>
  <c r="L248" i="24"/>
  <c r="K248" i="24"/>
  <c r="J248" i="24"/>
  <c r="I248" i="24"/>
  <c r="H248" i="24"/>
  <c r="G248" i="24"/>
  <c r="F248" i="24"/>
  <c r="E248" i="24"/>
  <c r="U247" i="24"/>
  <c r="T247" i="24"/>
  <c r="S247" i="24"/>
  <c r="R247" i="24"/>
  <c r="Q247" i="24"/>
  <c r="P247" i="24"/>
  <c r="O247" i="24"/>
  <c r="N247" i="24"/>
  <c r="M247" i="24"/>
  <c r="L247" i="24"/>
  <c r="K247" i="24"/>
  <c r="J247" i="24"/>
  <c r="I247" i="24"/>
  <c r="H247" i="24"/>
  <c r="G247" i="24"/>
  <c r="F247" i="24"/>
  <c r="E247" i="24"/>
  <c r="R246" i="24"/>
  <c r="Q246" i="24"/>
  <c r="P246" i="24"/>
  <c r="O246" i="24"/>
  <c r="N246" i="24"/>
  <c r="M246" i="24"/>
  <c r="L246" i="24"/>
  <c r="K246" i="24"/>
  <c r="J246" i="24"/>
  <c r="I246" i="24"/>
  <c r="H246" i="24"/>
  <c r="G246" i="24"/>
  <c r="F246" i="24"/>
  <c r="E246" i="24"/>
  <c r="U245" i="24"/>
  <c r="R245" i="24"/>
  <c r="Q245" i="24"/>
  <c r="P245" i="24"/>
  <c r="O245" i="24"/>
  <c r="N245" i="24"/>
  <c r="M245" i="24"/>
  <c r="L245" i="24"/>
  <c r="K245" i="24"/>
  <c r="J245" i="24"/>
  <c r="I245" i="24"/>
  <c r="H245" i="24"/>
  <c r="G245" i="24"/>
  <c r="F245" i="24"/>
  <c r="E245" i="24"/>
  <c r="U244" i="24"/>
  <c r="N244" i="24"/>
  <c r="J244" i="24"/>
  <c r="I244" i="24"/>
  <c r="E244" i="24"/>
  <c r="R243" i="24"/>
  <c r="Q243" i="24"/>
  <c r="P243" i="24"/>
  <c r="O243" i="24"/>
  <c r="N243" i="24"/>
  <c r="M243" i="24"/>
  <c r="L243" i="24"/>
  <c r="K243" i="24"/>
  <c r="J243" i="24"/>
  <c r="I243" i="24"/>
  <c r="H243" i="24"/>
  <c r="G243" i="24"/>
  <c r="F243" i="24"/>
  <c r="E243" i="24"/>
  <c r="R242" i="24"/>
  <c r="Q242" i="24"/>
  <c r="P242" i="24"/>
  <c r="O242" i="24"/>
  <c r="N242" i="24"/>
  <c r="M242" i="24"/>
  <c r="L242" i="24"/>
  <c r="K242" i="24"/>
  <c r="J242" i="24"/>
  <c r="I242" i="24"/>
  <c r="H242" i="24"/>
  <c r="G242" i="24"/>
  <c r="F242" i="24"/>
  <c r="E242" i="24"/>
  <c r="R241" i="24"/>
  <c r="Q241" i="24"/>
  <c r="P241" i="24"/>
  <c r="O241" i="24"/>
  <c r="N241" i="24"/>
  <c r="M241" i="24"/>
  <c r="L241" i="24"/>
  <c r="K241" i="24"/>
  <c r="J241" i="24"/>
  <c r="I241" i="24"/>
  <c r="H241" i="24"/>
  <c r="G241" i="24"/>
  <c r="F241" i="24"/>
  <c r="E241" i="24"/>
  <c r="R240" i="24"/>
  <c r="Q240" i="24"/>
  <c r="P240" i="24"/>
  <c r="O240" i="24"/>
  <c r="N240" i="24"/>
  <c r="M240" i="24"/>
  <c r="L240" i="24"/>
  <c r="K240" i="24"/>
  <c r="J240" i="24"/>
  <c r="I240" i="24"/>
  <c r="H240" i="24"/>
  <c r="G240" i="24"/>
  <c r="F240" i="24"/>
  <c r="E240" i="24"/>
  <c r="U237" i="24"/>
  <c r="T237" i="24"/>
  <c r="S237" i="24"/>
  <c r="R237" i="24"/>
  <c r="Q237" i="24"/>
  <c r="P237" i="24"/>
  <c r="O237" i="24"/>
  <c r="N237" i="24"/>
  <c r="M237" i="24"/>
  <c r="L237" i="24"/>
  <c r="K237" i="24"/>
  <c r="J237" i="24"/>
  <c r="I237" i="24"/>
  <c r="H237" i="24"/>
  <c r="G237" i="24"/>
  <c r="F237" i="24"/>
  <c r="E237" i="24"/>
  <c r="R236" i="24"/>
  <c r="Q236" i="24"/>
  <c r="P236" i="24"/>
  <c r="O236" i="24"/>
  <c r="N236" i="24"/>
  <c r="M236" i="24"/>
  <c r="L236" i="24"/>
  <c r="K236" i="24"/>
  <c r="J236" i="24"/>
  <c r="I236" i="24"/>
  <c r="H236" i="24"/>
  <c r="G236" i="24"/>
  <c r="F236" i="24"/>
  <c r="E236" i="24"/>
  <c r="U235" i="24"/>
  <c r="T235" i="24"/>
  <c r="S235" i="24"/>
  <c r="R235" i="24"/>
  <c r="Q235" i="24"/>
  <c r="P235" i="24"/>
  <c r="O235" i="24"/>
  <c r="N235" i="24"/>
  <c r="M235" i="24"/>
  <c r="L235" i="24"/>
  <c r="K235" i="24"/>
  <c r="J235" i="24"/>
  <c r="I235" i="24"/>
  <c r="H235" i="24"/>
  <c r="G235" i="24"/>
  <c r="F235" i="24"/>
  <c r="E235" i="24"/>
  <c r="R234" i="24"/>
  <c r="Q234" i="24"/>
  <c r="P234" i="24"/>
  <c r="O234" i="24"/>
  <c r="N234" i="24"/>
  <c r="M234" i="24"/>
  <c r="L234" i="24"/>
  <c r="K234" i="24"/>
  <c r="J234" i="24"/>
  <c r="I234" i="24"/>
  <c r="H234" i="24"/>
  <c r="G234" i="24"/>
  <c r="F234" i="24"/>
  <c r="E234" i="24"/>
  <c r="U233" i="24"/>
  <c r="T233" i="24"/>
  <c r="S233" i="24"/>
  <c r="R233" i="24"/>
  <c r="Q233" i="24"/>
  <c r="P233" i="24"/>
  <c r="O233" i="24"/>
  <c r="N233" i="24"/>
  <c r="M233" i="24"/>
  <c r="L233" i="24"/>
  <c r="K233" i="24"/>
  <c r="J233" i="24"/>
  <c r="I233" i="24"/>
  <c r="H233" i="24"/>
  <c r="G233" i="24"/>
  <c r="F233" i="24"/>
  <c r="E233" i="24"/>
  <c r="R232" i="24"/>
  <c r="Q232" i="24"/>
  <c r="P232" i="24"/>
  <c r="O232" i="24"/>
  <c r="N232" i="24"/>
  <c r="M232" i="24"/>
  <c r="L232" i="24"/>
  <c r="K232" i="24"/>
  <c r="J232" i="24"/>
  <c r="I232" i="24"/>
  <c r="H232" i="24"/>
  <c r="G232" i="24"/>
  <c r="F232" i="24"/>
  <c r="E232" i="24"/>
  <c r="U231" i="24"/>
  <c r="R231" i="24"/>
  <c r="Q231" i="24"/>
  <c r="P231" i="24"/>
  <c r="O231" i="24"/>
  <c r="N231" i="24"/>
  <c r="M231" i="24"/>
  <c r="L231" i="24"/>
  <c r="K231" i="24"/>
  <c r="J231" i="24"/>
  <c r="I231" i="24"/>
  <c r="H231" i="24"/>
  <c r="G231" i="24"/>
  <c r="F231" i="24"/>
  <c r="E231" i="24"/>
  <c r="U230" i="24"/>
  <c r="N230" i="24"/>
  <c r="J230" i="24"/>
  <c r="I230" i="24"/>
  <c r="E230" i="24"/>
  <c r="R229" i="24"/>
  <c r="Q229" i="24"/>
  <c r="P229" i="24"/>
  <c r="O229" i="24"/>
  <c r="N229" i="24"/>
  <c r="M229" i="24"/>
  <c r="L229" i="24"/>
  <c r="K229" i="24"/>
  <c r="J229" i="24"/>
  <c r="I229" i="24"/>
  <c r="H229" i="24"/>
  <c r="G229" i="24"/>
  <c r="F229" i="24"/>
  <c r="E229" i="24"/>
  <c r="R228" i="24"/>
  <c r="Q228" i="24"/>
  <c r="P228" i="24"/>
  <c r="O228" i="24"/>
  <c r="N228" i="24"/>
  <c r="M228" i="24"/>
  <c r="L228" i="24"/>
  <c r="K228" i="24"/>
  <c r="J228" i="24"/>
  <c r="I228" i="24"/>
  <c r="H228" i="24"/>
  <c r="G228" i="24"/>
  <c r="F228" i="24"/>
  <c r="E228" i="24"/>
  <c r="R227" i="24"/>
  <c r="Q227" i="24"/>
  <c r="P227" i="24"/>
  <c r="O227" i="24"/>
  <c r="N227" i="24"/>
  <c r="M227" i="24"/>
  <c r="L227" i="24"/>
  <c r="K227" i="24"/>
  <c r="J227" i="24"/>
  <c r="I227" i="24"/>
  <c r="H227" i="24"/>
  <c r="G227" i="24"/>
  <c r="F227" i="24"/>
  <c r="E227" i="24"/>
  <c r="R226" i="24"/>
  <c r="Q226" i="24"/>
  <c r="P226" i="24"/>
  <c r="O226" i="24"/>
  <c r="N226" i="24"/>
  <c r="M226" i="24"/>
  <c r="L226" i="24"/>
  <c r="K226" i="24"/>
  <c r="J226" i="24"/>
  <c r="I226" i="24"/>
  <c r="H226" i="24"/>
  <c r="G226" i="24"/>
  <c r="F226" i="24"/>
  <c r="E226" i="24"/>
  <c r="U223" i="24"/>
  <c r="T223" i="24"/>
  <c r="S223" i="24"/>
  <c r="R223" i="24"/>
  <c r="Q223" i="24"/>
  <c r="P223" i="24"/>
  <c r="O223" i="24"/>
  <c r="N223" i="24"/>
  <c r="M223" i="24"/>
  <c r="L223" i="24"/>
  <c r="K223" i="24"/>
  <c r="J223" i="24"/>
  <c r="I223" i="24"/>
  <c r="H223" i="24"/>
  <c r="G223" i="24"/>
  <c r="F223" i="24"/>
  <c r="E223" i="24"/>
  <c r="R222" i="24"/>
  <c r="Q222" i="24"/>
  <c r="P222" i="24"/>
  <c r="O222" i="24"/>
  <c r="N222" i="24"/>
  <c r="M222" i="24"/>
  <c r="L222" i="24"/>
  <c r="K222" i="24"/>
  <c r="J222" i="24"/>
  <c r="I222" i="24"/>
  <c r="H222" i="24"/>
  <c r="G222" i="24"/>
  <c r="F222" i="24"/>
  <c r="E222" i="24"/>
  <c r="U221" i="24"/>
  <c r="T221" i="24"/>
  <c r="S221" i="24"/>
  <c r="R221" i="24"/>
  <c r="Q221" i="24"/>
  <c r="P221" i="24"/>
  <c r="O221" i="24"/>
  <c r="N221" i="24"/>
  <c r="M221" i="24"/>
  <c r="L221" i="24"/>
  <c r="K221" i="24"/>
  <c r="J221" i="24"/>
  <c r="I221" i="24"/>
  <c r="H221" i="24"/>
  <c r="G221" i="24"/>
  <c r="F221" i="24"/>
  <c r="E221" i="24"/>
  <c r="R220" i="24"/>
  <c r="Q220" i="24"/>
  <c r="P220" i="24"/>
  <c r="O220" i="24"/>
  <c r="N220" i="24"/>
  <c r="M220" i="24"/>
  <c r="L220" i="24"/>
  <c r="K220" i="24"/>
  <c r="J220" i="24"/>
  <c r="I220" i="24"/>
  <c r="H220" i="24"/>
  <c r="G220" i="24"/>
  <c r="F220" i="24"/>
  <c r="E220" i="24"/>
  <c r="U219" i="24"/>
  <c r="T219" i="24"/>
  <c r="S219" i="24"/>
  <c r="R219" i="24"/>
  <c r="Q219" i="24"/>
  <c r="P219" i="24"/>
  <c r="O219" i="24"/>
  <c r="N219" i="24"/>
  <c r="M219" i="24"/>
  <c r="L219" i="24"/>
  <c r="K219" i="24"/>
  <c r="J219" i="24"/>
  <c r="I219" i="24"/>
  <c r="H219" i="24"/>
  <c r="G219" i="24"/>
  <c r="F219" i="24"/>
  <c r="E219" i="24"/>
  <c r="R218" i="24"/>
  <c r="Q218" i="24"/>
  <c r="P218" i="24"/>
  <c r="O218" i="24"/>
  <c r="N218" i="24"/>
  <c r="M218" i="24"/>
  <c r="L218" i="24"/>
  <c r="K218" i="24"/>
  <c r="J218" i="24"/>
  <c r="I218" i="24"/>
  <c r="H218" i="24"/>
  <c r="G218" i="24"/>
  <c r="F218" i="24"/>
  <c r="E218" i="24"/>
  <c r="U217" i="24"/>
  <c r="R217" i="24"/>
  <c r="Q217" i="24"/>
  <c r="P217" i="24"/>
  <c r="O217" i="24"/>
  <c r="N217" i="24"/>
  <c r="M217" i="24"/>
  <c r="L217" i="24"/>
  <c r="K217" i="24"/>
  <c r="J217" i="24"/>
  <c r="I217" i="24"/>
  <c r="H217" i="24"/>
  <c r="G217" i="24"/>
  <c r="F217" i="24"/>
  <c r="E217" i="24"/>
  <c r="U216" i="24"/>
  <c r="N216" i="24"/>
  <c r="J216" i="24"/>
  <c r="I216" i="24"/>
  <c r="E216" i="24"/>
  <c r="R215" i="24"/>
  <c r="Q215" i="24"/>
  <c r="P215" i="24"/>
  <c r="O215" i="24"/>
  <c r="N215" i="24"/>
  <c r="M215" i="24"/>
  <c r="L215" i="24"/>
  <c r="K215" i="24"/>
  <c r="J215" i="24"/>
  <c r="I215" i="24"/>
  <c r="H215" i="24"/>
  <c r="G215" i="24"/>
  <c r="F215" i="24"/>
  <c r="E215" i="24"/>
  <c r="R214" i="24"/>
  <c r="Q214" i="24"/>
  <c r="P214" i="24"/>
  <c r="O214" i="24"/>
  <c r="N214" i="24"/>
  <c r="M214" i="24"/>
  <c r="L214" i="24"/>
  <c r="K214" i="24"/>
  <c r="J214" i="24"/>
  <c r="I214" i="24"/>
  <c r="H214" i="24"/>
  <c r="G214" i="24"/>
  <c r="F214" i="24"/>
  <c r="E214" i="24"/>
  <c r="R213" i="24"/>
  <c r="Q213" i="24"/>
  <c r="P213" i="24"/>
  <c r="O213" i="24"/>
  <c r="N213" i="24"/>
  <c r="M213" i="24"/>
  <c r="L213" i="24"/>
  <c r="K213" i="24"/>
  <c r="J213" i="24"/>
  <c r="I213" i="24"/>
  <c r="H213" i="24"/>
  <c r="G213" i="24"/>
  <c r="F213" i="24"/>
  <c r="E213" i="24"/>
  <c r="R212" i="24"/>
  <c r="Q212" i="24"/>
  <c r="P212" i="24"/>
  <c r="O212" i="24"/>
  <c r="N212" i="24"/>
  <c r="M212" i="24"/>
  <c r="L212" i="24"/>
  <c r="K212" i="24"/>
  <c r="J212" i="24"/>
  <c r="I212" i="24"/>
  <c r="H212" i="24"/>
  <c r="G212" i="24"/>
  <c r="F212" i="24"/>
  <c r="E212" i="24"/>
  <c r="U209" i="24"/>
  <c r="T209" i="24"/>
  <c r="S209" i="24"/>
  <c r="R209" i="24"/>
  <c r="Q209" i="24"/>
  <c r="P209" i="24"/>
  <c r="O209" i="24"/>
  <c r="N209" i="24"/>
  <c r="M209" i="24"/>
  <c r="L209" i="24"/>
  <c r="K209" i="24"/>
  <c r="J209" i="24"/>
  <c r="I209" i="24"/>
  <c r="H209" i="24"/>
  <c r="G209" i="24"/>
  <c r="F209" i="24"/>
  <c r="E209" i="24"/>
  <c r="R208" i="24"/>
  <c r="Q208" i="24"/>
  <c r="P208" i="24"/>
  <c r="O208" i="24"/>
  <c r="N208" i="24"/>
  <c r="M208" i="24"/>
  <c r="L208" i="24"/>
  <c r="K208" i="24"/>
  <c r="J208" i="24"/>
  <c r="I208" i="24"/>
  <c r="H208" i="24"/>
  <c r="G208" i="24"/>
  <c r="F208" i="24"/>
  <c r="E208" i="24"/>
  <c r="U207" i="24"/>
  <c r="T207" i="24"/>
  <c r="S207" i="24"/>
  <c r="R207" i="24"/>
  <c r="Q207" i="24"/>
  <c r="P207" i="24"/>
  <c r="O207" i="24"/>
  <c r="N207" i="24"/>
  <c r="M207" i="24"/>
  <c r="L207" i="24"/>
  <c r="K207" i="24"/>
  <c r="J207" i="24"/>
  <c r="I207" i="24"/>
  <c r="H207" i="24"/>
  <c r="G207" i="24"/>
  <c r="F207" i="24"/>
  <c r="E207" i="24"/>
  <c r="R206" i="24"/>
  <c r="Q206" i="24"/>
  <c r="P206" i="24"/>
  <c r="O206" i="24"/>
  <c r="N206" i="24"/>
  <c r="M206" i="24"/>
  <c r="L206" i="24"/>
  <c r="K206" i="24"/>
  <c r="J206" i="24"/>
  <c r="I206" i="24"/>
  <c r="H206" i="24"/>
  <c r="G206" i="24"/>
  <c r="F206" i="24"/>
  <c r="E206" i="24"/>
  <c r="U205" i="24"/>
  <c r="T205" i="24"/>
  <c r="S205" i="24"/>
  <c r="R205" i="24"/>
  <c r="Q205" i="24"/>
  <c r="P205" i="24"/>
  <c r="O205" i="24"/>
  <c r="N205" i="24"/>
  <c r="M205" i="24"/>
  <c r="L205" i="24"/>
  <c r="K205" i="24"/>
  <c r="J205" i="24"/>
  <c r="I205" i="24"/>
  <c r="H205" i="24"/>
  <c r="G205" i="24"/>
  <c r="F205" i="24"/>
  <c r="E205" i="24"/>
  <c r="R204" i="24"/>
  <c r="Q204" i="24"/>
  <c r="P204" i="24"/>
  <c r="O204" i="24"/>
  <c r="N204" i="24"/>
  <c r="M204" i="24"/>
  <c r="L204" i="24"/>
  <c r="K204" i="24"/>
  <c r="J204" i="24"/>
  <c r="I204" i="24"/>
  <c r="H204" i="24"/>
  <c r="G204" i="24"/>
  <c r="F204" i="24"/>
  <c r="E204" i="24"/>
  <c r="U203" i="24"/>
  <c r="R203" i="24"/>
  <c r="Q203" i="24"/>
  <c r="P203" i="24"/>
  <c r="O203" i="24"/>
  <c r="N203" i="24"/>
  <c r="M203" i="24"/>
  <c r="L203" i="24"/>
  <c r="K203" i="24"/>
  <c r="J203" i="24"/>
  <c r="I203" i="24"/>
  <c r="H203" i="24"/>
  <c r="G203" i="24"/>
  <c r="F203" i="24"/>
  <c r="E203" i="24"/>
  <c r="U202" i="24"/>
  <c r="N202" i="24"/>
  <c r="J202" i="24"/>
  <c r="I202" i="24"/>
  <c r="E202" i="24"/>
  <c r="R201" i="24"/>
  <c r="Q201" i="24"/>
  <c r="P201" i="24"/>
  <c r="O201" i="24"/>
  <c r="N201" i="24"/>
  <c r="M201" i="24"/>
  <c r="L201" i="24"/>
  <c r="K201" i="24"/>
  <c r="J201" i="24"/>
  <c r="I201" i="24"/>
  <c r="H201" i="24"/>
  <c r="G201" i="24"/>
  <c r="F201" i="24"/>
  <c r="E201" i="24"/>
  <c r="R200" i="24"/>
  <c r="Q200" i="24"/>
  <c r="P200" i="24"/>
  <c r="O200" i="24"/>
  <c r="N200" i="24"/>
  <c r="M200" i="24"/>
  <c r="L200" i="24"/>
  <c r="K200" i="24"/>
  <c r="J200" i="24"/>
  <c r="I200" i="24"/>
  <c r="H200" i="24"/>
  <c r="G200" i="24"/>
  <c r="F200" i="24"/>
  <c r="E200" i="24"/>
  <c r="R199" i="24"/>
  <c r="Q199" i="24"/>
  <c r="P199" i="24"/>
  <c r="O199" i="24"/>
  <c r="N199" i="24"/>
  <c r="M199" i="24"/>
  <c r="L199" i="24"/>
  <c r="K199" i="24"/>
  <c r="J199" i="24"/>
  <c r="I199" i="24"/>
  <c r="H199" i="24"/>
  <c r="G199" i="24"/>
  <c r="F199" i="24"/>
  <c r="E199" i="24"/>
  <c r="R198" i="24"/>
  <c r="Q198" i="24"/>
  <c r="P198" i="24"/>
  <c r="O198" i="24"/>
  <c r="N198" i="24"/>
  <c r="M198" i="24"/>
  <c r="L198" i="24"/>
  <c r="K198" i="24"/>
  <c r="J198" i="24"/>
  <c r="I198" i="24"/>
  <c r="H198" i="24"/>
  <c r="G198" i="24"/>
  <c r="F198" i="24"/>
  <c r="E198" i="24"/>
  <c r="U195" i="24"/>
  <c r="T195" i="24"/>
  <c r="S195" i="24"/>
  <c r="R195" i="24"/>
  <c r="Q195" i="24"/>
  <c r="P195" i="24"/>
  <c r="O195" i="24"/>
  <c r="N195" i="24"/>
  <c r="M195" i="24"/>
  <c r="L195" i="24"/>
  <c r="K195" i="24"/>
  <c r="J195" i="24"/>
  <c r="I195" i="24"/>
  <c r="H195" i="24"/>
  <c r="G195" i="24"/>
  <c r="F195" i="24"/>
  <c r="E195" i="24"/>
  <c r="R194" i="24"/>
  <c r="Q194" i="24"/>
  <c r="P194" i="24"/>
  <c r="O194" i="24"/>
  <c r="N194" i="24"/>
  <c r="M194" i="24"/>
  <c r="L194" i="24"/>
  <c r="K194" i="24"/>
  <c r="J194" i="24"/>
  <c r="I194" i="24"/>
  <c r="H194" i="24"/>
  <c r="G194" i="24"/>
  <c r="F194" i="24"/>
  <c r="E194" i="24"/>
  <c r="U193" i="24"/>
  <c r="T193" i="24"/>
  <c r="S193" i="24"/>
  <c r="R193" i="24"/>
  <c r="Q193" i="24"/>
  <c r="P193" i="24"/>
  <c r="O193" i="24"/>
  <c r="N193" i="24"/>
  <c r="M193" i="24"/>
  <c r="L193" i="24"/>
  <c r="K193" i="24"/>
  <c r="J193" i="24"/>
  <c r="I193" i="24"/>
  <c r="H193" i="24"/>
  <c r="G193" i="24"/>
  <c r="F193" i="24"/>
  <c r="E193" i="24"/>
  <c r="R192" i="24"/>
  <c r="Q192" i="24"/>
  <c r="P192" i="24"/>
  <c r="O192" i="24"/>
  <c r="N192" i="24"/>
  <c r="M192" i="24"/>
  <c r="L192" i="24"/>
  <c r="K192" i="24"/>
  <c r="J192" i="24"/>
  <c r="I192" i="24"/>
  <c r="H192" i="24"/>
  <c r="G192" i="24"/>
  <c r="F192" i="24"/>
  <c r="E192" i="24"/>
  <c r="U191" i="24"/>
  <c r="T191" i="24"/>
  <c r="S191" i="24"/>
  <c r="R191" i="24"/>
  <c r="Q191" i="24"/>
  <c r="P191" i="24"/>
  <c r="O191" i="24"/>
  <c r="N191" i="24"/>
  <c r="M191" i="24"/>
  <c r="L191" i="24"/>
  <c r="K191" i="24"/>
  <c r="J191" i="24"/>
  <c r="I191" i="24"/>
  <c r="H191" i="24"/>
  <c r="G191" i="24"/>
  <c r="F191" i="24"/>
  <c r="E191" i="24"/>
  <c r="R190" i="24"/>
  <c r="Q190" i="24"/>
  <c r="P190" i="24"/>
  <c r="O190" i="24"/>
  <c r="N190" i="24"/>
  <c r="M190" i="24"/>
  <c r="L190" i="24"/>
  <c r="K190" i="24"/>
  <c r="J190" i="24"/>
  <c r="I190" i="24"/>
  <c r="H190" i="24"/>
  <c r="G190" i="24"/>
  <c r="F190" i="24"/>
  <c r="E190" i="24"/>
  <c r="U189" i="24"/>
  <c r="R189" i="24"/>
  <c r="Q189" i="24"/>
  <c r="P189" i="24"/>
  <c r="O189" i="24"/>
  <c r="N189" i="24"/>
  <c r="M189" i="24"/>
  <c r="L189" i="24"/>
  <c r="K189" i="24"/>
  <c r="J189" i="24"/>
  <c r="I189" i="24"/>
  <c r="H189" i="24"/>
  <c r="G189" i="24"/>
  <c r="F189" i="24"/>
  <c r="E189" i="24"/>
  <c r="U188" i="24"/>
  <c r="N188" i="24"/>
  <c r="J188" i="24"/>
  <c r="I188" i="24"/>
  <c r="E188" i="24"/>
  <c r="R187" i="24"/>
  <c r="Q187" i="24"/>
  <c r="P187" i="24"/>
  <c r="O187" i="24"/>
  <c r="N187" i="24"/>
  <c r="M187" i="24"/>
  <c r="L187" i="24"/>
  <c r="K187" i="24"/>
  <c r="J187" i="24"/>
  <c r="I187" i="24"/>
  <c r="H187" i="24"/>
  <c r="G187" i="24"/>
  <c r="F187" i="24"/>
  <c r="E187" i="24"/>
  <c r="R186" i="24"/>
  <c r="Q186" i="24"/>
  <c r="P186" i="24"/>
  <c r="O186" i="24"/>
  <c r="N186" i="24"/>
  <c r="M186" i="24"/>
  <c r="L186" i="24"/>
  <c r="K186" i="24"/>
  <c r="J186" i="24"/>
  <c r="I186" i="24"/>
  <c r="H186" i="24"/>
  <c r="G186" i="24"/>
  <c r="F186" i="24"/>
  <c r="E186" i="24"/>
  <c r="R185" i="24"/>
  <c r="Q185" i="24"/>
  <c r="P185" i="24"/>
  <c r="O185" i="24"/>
  <c r="N185" i="24"/>
  <c r="M185" i="24"/>
  <c r="L185" i="24"/>
  <c r="K185" i="24"/>
  <c r="J185" i="24"/>
  <c r="I185" i="24"/>
  <c r="H185" i="24"/>
  <c r="G185" i="24"/>
  <c r="F185" i="24"/>
  <c r="E185" i="24"/>
  <c r="R184" i="24"/>
  <c r="Q184" i="24"/>
  <c r="P184" i="24"/>
  <c r="O184" i="24"/>
  <c r="N184" i="24"/>
  <c r="M184" i="24"/>
  <c r="L184" i="24"/>
  <c r="K184" i="24"/>
  <c r="J184" i="24"/>
  <c r="I184" i="24"/>
  <c r="H184" i="24"/>
  <c r="G184" i="24"/>
  <c r="F184" i="24"/>
  <c r="E184" i="24"/>
  <c r="N174" i="24"/>
  <c r="U175" i="24"/>
  <c r="U174" i="24"/>
  <c r="U181" i="24"/>
  <c r="T181" i="24"/>
  <c r="S181" i="24"/>
  <c r="U179" i="24"/>
  <c r="T179" i="24"/>
  <c r="S179" i="24"/>
  <c r="U177" i="24"/>
  <c r="T177" i="24"/>
  <c r="S177" i="24"/>
  <c r="J174" i="24"/>
  <c r="I174" i="24"/>
  <c r="R181" i="24"/>
  <c r="Q181" i="24"/>
  <c r="P181" i="24"/>
  <c r="O181" i="24"/>
  <c r="N181" i="24"/>
  <c r="M181" i="24"/>
  <c r="L181" i="24"/>
  <c r="K181" i="24"/>
  <c r="J181" i="24"/>
  <c r="I181" i="24"/>
  <c r="H181" i="24"/>
  <c r="G181" i="24"/>
  <c r="F181" i="24"/>
  <c r="R180" i="24"/>
  <c r="Q180" i="24"/>
  <c r="P180" i="24"/>
  <c r="O180" i="24"/>
  <c r="N180" i="24"/>
  <c r="M180" i="24"/>
  <c r="L180" i="24"/>
  <c r="K180" i="24"/>
  <c r="J180" i="24"/>
  <c r="I180" i="24"/>
  <c r="H180" i="24"/>
  <c r="G180" i="24"/>
  <c r="F180" i="24"/>
  <c r="R179" i="24"/>
  <c r="Q179" i="24"/>
  <c r="P179" i="24"/>
  <c r="O179" i="24"/>
  <c r="N179" i="24"/>
  <c r="M179" i="24"/>
  <c r="L179" i="24"/>
  <c r="K179" i="24"/>
  <c r="J179" i="24"/>
  <c r="I179" i="24"/>
  <c r="H179" i="24"/>
  <c r="G179" i="24"/>
  <c r="F179" i="24"/>
  <c r="R178" i="24"/>
  <c r="Q178" i="24"/>
  <c r="P178" i="24"/>
  <c r="O178" i="24"/>
  <c r="N178" i="24"/>
  <c r="M178" i="24"/>
  <c r="L178" i="24"/>
  <c r="K178" i="24"/>
  <c r="J178" i="24"/>
  <c r="I178" i="24"/>
  <c r="H178" i="24"/>
  <c r="G178" i="24"/>
  <c r="F178" i="24"/>
  <c r="R177" i="24"/>
  <c r="Q177" i="24"/>
  <c r="P177" i="24"/>
  <c r="O177" i="24"/>
  <c r="N177" i="24"/>
  <c r="M177" i="24"/>
  <c r="L177" i="24"/>
  <c r="K177" i="24"/>
  <c r="J177" i="24"/>
  <c r="I177" i="24"/>
  <c r="H177" i="24"/>
  <c r="G177" i="24"/>
  <c r="F177" i="24"/>
  <c r="R176" i="24"/>
  <c r="Q176" i="24"/>
  <c r="P176" i="24"/>
  <c r="O176" i="24"/>
  <c r="N176" i="24"/>
  <c r="M176" i="24"/>
  <c r="L176" i="24"/>
  <c r="K176" i="24"/>
  <c r="J176" i="24"/>
  <c r="I176" i="24"/>
  <c r="H176" i="24"/>
  <c r="G176" i="24"/>
  <c r="F176" i="24"/>
  <c r="R175" i="24"/>
  <c r="Q175" i="24"/>
  <c r="P175" i="24"/>
  <c r="O175" i="24"/>
  <c r="N175" i="24"/>
  <c r="M175" i="24"/>
  <c r="L175" i="24"/>
  <c r="K175" i="24"/>
  <c r="J175" i="24"/>
  <c r="I175" i="24"/>
  <c r="H175" i="24"/>
  <c r="G175" i="24"/>
  <c r="F175" i="24"/>
  <c r="E181" i="24"/>
  <c r="E180" i="24"/>
  <c r="E179" i="24"/>
  <c r="E178" i="24"/>
  <c r="E177" i="24"/>
  <c r="E176" i="24"/>
  <c r="E175" i="24"/>
  <c r="E174" i="24"/>
  <c r="R173" i="24"/>
  <c r="Q173" i="24"/>
  <c r="P173" i="24"/>
  <c r="O173" i="24"/>
  <c r="N173" i="24"/>
  <c r="M173" i="24"/>
  <c r="L173" i="24"/>
  <c r="K173" i="24"/>
  <c r="J173" i="24"/>
  <c r="I173" i="24"/>
  <c r="H173" i="24"/>
  <c r="G173" i="24"/>
  <c r="F173" i="24"/>
  <c r="E173" i="24"/>
  <c r="R172" i="24"/>
  <c r="Q172" i="24"/>
  <c r="P172" i="24"/>
  <c r="O172" i="24"/>
  <c r="N172" i="24"/>
  <c r="M172" i="24"/>
  <c r="L172" i="24"/>
  <c r="K172" i="24"/>
  <c r="J172" i="24"/>
  <c r="I172" i="24"/>
  <c r="H172" i="24"/>
  <c r="G172" i="24"/>
  <c r="F172" i="24"/>
  <c r="E172" i="24"/>
  <c r="R171" i="24"/>
  <c r="Q171" i="24"/>
  <c r="P171" i="24"/>
  <c r="O171" i="24"/>
  <c r="N171" i="24"/>
  <c r="M171" i="24"/>
  <c r="L171" i="24"/>
  <c r="K171" i="24"/>
  <c r="J171" i="24"/>
  <c r="I171" i="24"/>
  <c r="H171" i="24"/>
  <c r="G171" i="24"/>
  <c r="F171" i="24"/>
  <c r="E171" i="24"/>
  <c r="R170" i="24"/>
  <c r="Q170" i="24"/>
  <c r="P170" i="24"/>
  <c r="O170" i="24"/>
  <c r="N170" i="24"/>
  <c r="M170" i="24"/>
  <c r="L170" i="24"/>
  <c r="K170" i="24"/>
  <c r="J170" i="24"/>
  <c r="I170" i="24"/>
  <c r="H170" i="24"/>
  <c r="G170" i="24"/>
  <c r="F170" i="24"/>
  <c r="E170" i="24"/>
  <c r="U83" i="24"/>
  <c r="T83" i="24"/>
  <c r="S83" i="24"/>
  <c r="R83" i="24"/>
  <c r="Q83" i="24"/>
  <c r="P83" i="24"/>
  <c r="O83" i="24"/>
  <c r="N83" i="24"/>
  <c r="M83" i="24"/>
  <c r="L83" i="24"/>
  <c r="K83" i="24"/>
  <c r="J83" i="24"/>
  <c r="I83" i="24"/>
  <c r="H83" i="24"/>
  <c r="G83" i="24"/>
  <c r="F83" i="24"/>
  <c r="E83" i="24"/>
  <c r="R82" i="24"/>
  <c r="Q82" i="24"/>
  <c r="P82" i="24"/>
  <c r="O82" i="24"/>
  <c r="N82" i="24"/>
  <c r="M82" i="24"/>
  <c r="L82" i="24"/>
  <c r="K82" i="24"/>
  <c r="J82" i="24"/>
  <c r="I82" i="24"/>
  <c r="H82" i="24"/>
  <c r="G82" i="24"/>
  <c r="F82" i="24"/>
  <c r="E82" i="24"/>
  <c r="U81" i="24"/>
  <c r="T81" i="24"/>
  <c r="S81" i="24"/>
  <c r="R81" i="24"/>
  <c r="Q81" i="24"/>
  <c r="P81" i="24"/>
  <c r="O81" i="24"/>
  <c r="N81" i="24"/>
  <c r="M81" i="24"/>
  <c r="L81" i="24"/>
  <c r="K81" i="24"/>
  <c r="J81" i="24"/>
  <c r="I81" i="24"/>
  <c r="H81" i="24"/>
  <c r="G81" i="24"/>
  <c r="F81" i="24"/>
  <c r="E81" i="24"/>
  <c r="R80" i="24"/>
  <c r="Q80" i="24"/>
  <c r="P80" i="24"/>
  <c r="O80" i="24"/>
  <c r="N80" i="24"/>
  <c r="M80" i="24"/>
  <c r="L80" i="24"/>
  <c r="K80" i="24"/>
  <c r="J80" i="24"/>
  <c r="I80" i="24"/>
  <c r="H80" i="24"/>
  <c r="G80" i="24"/>
  <c r="F80" i="24"/>
  <c r="E80" i="24"/>
  <c r="U79" i="24"/>
  <c r="T79" i="24"/>
  <c r="S79" i="24"/>
  <c r="R79" i="24"/>
  <c r="Q79" i="24"/>
  <c r="P79" i="24"/>
  <c r="O79" i="24"/>
  <c r="N79" i="24"/>
  <c r="M79" i="24"/>
  <c r="L79" i="24"/>
  <c r="K79" i="24"/>
  <c r="J79" i="24"/>
  <c r="I79" i="24"/>
  <c r="H79" i="24"/>
  <c r="G79" i="24"/>
  <c r="F79" i="24"/>
  <c r="E79" i="24"/>
  <c r="R78" i="24"/>
  <c r="Q78" i="24"/>
  <c r="P78" i="24"/>
  <c r="O78" i="24"/>
  <c r="N78" i="24"/>
  <c r="M78" i="24"/>
  <c r="L78" i="24"/>
  <c r="K78" i="24"/>
  <c r="J78" i="24"/>
  <c r="I78" i="24"/>
  <c r="H78" i="24"/>
  <c r="G78" i="24"/>
  <c r="F78" i="24"/>
  <c r="E78" i="24"/>
  <c r="U77" i="24"/>
  <c r="R77" i="24"/>
  <c r="Q77" i="24"/>
  <c r="P77" i="24"/>
  <c r="O77" i="24"/>
  <c r="N77" i="24"/>
  <c r="M77" i="24"/>
  <c r="L77" i="24"/>
  <c r="K77" i="24"/>
  <c r="J77" i="24"/>
  <c r="I77" i="24"/>
  <c r="H77" i="24"/>
  <c r="G77" i="24"/>
  <c r="F77" i="24"/>
  <c r="E77" i="24"/>
  <c r="U76" i="24"/>
  <c r="N76" i="24"/>
  <c r="J76" i="24"/>
  <c r="I76" i="24"/>
  <c r="E76" i="24"/>
  <c r="R75" i="24"/>
  <c r="Q75" i="24"/>
  <c r="P75" i="24"/>
  <c r="O75" i="24"/>
  <c r="N75" i="24"/>
  <c r="M75" i="24"/>
  <c r="L75" i="24"/>
  <c r="K75" i="24"/>
  <c r="J75" i="24"/>
  <c r="I75" i="24"/>
  <c r="H75" i="24"/>
  <c r="G75" i="24"/>
  <c r="F75" i="24"/>
  <c r="E75" i="24"/>
  <c r="R74" i="24"/>
  <c r="Q74" i="24"/>
  <c r="P74" i="24"/>
  <c r="O74" i="24"/>
  <c r="N74" i="24"/>
  <c r="M74" i="24"/>
  <c r="L74" i="24"/>
  <c r="K74" i="24"/>
  <c r="J74" i="24"/>
  <c r="I74" i="24"/>
  <c r="H74" i="24"/>
  <c r="G74" i="24"/>
  <c r="F74" i="24"/>
  <c r="E74" i="24"/>
  <c r="R73" i="24"/>
  <c r="Q73" i="24"/>
  <c r="P73" i="24"/>
  <c r="O73" i="24"/>
  <c r="N73" i="24"/>
  <c r="M73" i="24"/>
  <c r="L73" i="24"/>
  <c r="K73" i="24"/>
  <c r="J73" i="24"/>
  <c r="I73" i="24"/>
  <c r="H73" i="24"/>
  <c r="G73" i="24"/>
  <c r="F73" i="24"/>
  <c r="E73" i="24"/>
  <c r="R72" i="24"/>
  <c r="Q72" i="24"/>
  <c r="P72" i="24"/>
  <c r="O72" i="24"/>
  <c r="N72" i="24"/>
  <c r="M72" i="24"/>
  <c r="L72" i="24"/>
  <c r="K72" i="24"/>
  <c r="J72" i="24"/>
  <c r="I72" i="24"/>
  <c r="H72" i="24"/>
  <c r="G72" i="24"/>
  <c r="F72" i="24"/>
  <c r="E72" i="24"/>
  <c r="U69" i="24"/>
  <c r="T69" i="24"/>
  <c r="S69" i="24"/>
  <c r="R69" i="24"/>
  <c r="Q69" i="24"/>
  <c r="P69" i="24"/>
  <c r="O69" i="24"/>
  <c r="N69" i="24"/>
  <c r="M69" i="24"/>
  <c r="L69" i="24"/>
  <c r="K69" i="24"/>
  <c r="J69" i="24"/>
  <c r="I69" i="24"/>
  <c r="H69" i="24"/>
  <c r="G69" i="24"/>
  <c r="F69" i="24"/>
  <c r="E69" i="24"/>
  <c r="R68" i="24"/>
  <c r="Q68" i="24"/>
  <c r="P68" i="24"/>
  <c r="O68" i="24"/>
  <c r="N68" i="24"/>
  <c r="M68" i="24"/>
  <c r="L68" i="24"/>
  <c r="K68" i="24"/>
  <c r="J68" i="24"/>
  <c r="I68" i="24"/>
  <c r="H68" i="24"/>
  <c r="G68" i="24"/>
  <c r="F68" i="24"/>
  <c r="E68" i="24"/>
  <c r="U67" i="24"/>
  <c r="T67" i="24"/>
  <c r="S67" i="24"/>
  <c r="R67" i="24"/>
  <c r="Q67" i="24"/>
  <c r="P67" i="24"/>
  <c r="O67" i="24"/>
  <c r="N67" i="24"/>
  <c r="M67" i="24"/>
  <c r="L67" i="24"/>
  <c r="K67" i="24"/>
  <c r="J67" i="24"/>
  <c r="I67" i="24"/>
  <c r="H67" i="24"/>
  <c r="G67" i="24"/>
  <c r="F67" i="24"/>
  <c r="E67" i="24"/>
  <c r="R66" i="24"/>
  <c r="Q66" i="24"/>
  <c r="P66" i="24"/>
  <c r="O66" i="24"/>
  <c r="N66" i="24"/>
  <c r="M66" i="24"/>
  <c r="L66" i="24"/>
  <c r="K66" i="24"/>
  <c r="J66" i="24"/>
  <c r="I66" i="24"/>
  <c r="H66" i="24"/>
  <c r="G66" i="24"/>
  <c r="F66" i="24"/>
  <c r="E66" i="24"/>
  <c r="U65" i="24"/>
  <c r="T65" i="24"/>
  <c r="S65" i="24"/>
  <c r="R65" i="24"/>
  <c r="Q65" i="24"/>
  <c r="P65" i="24"/>
  <c r="O65" i="24"/>
  <c r="N65" i="24"/>
  <c r="M65" i="24"/>
  <c r="L65" i="24"/>
  <c r="K65" i="24"/>
  <c r="J65" i="24"/>
  <c r="I65" i="24"/>
  <c r="H65" i="24"/>
  <c r="G65" i="24"/>
  <c r="F65" i="24"/>
  <c r="E65" i="24"/>
  <c r="R64" i="24"/>
  <c r="Q64" i="24"/>
  <c r="P64" i="24"/>
  <c r="O64" i="24"/>
  <c r="N64" i="24"/>
  <c r="M64" i="24"/>
  <c r="L64" i="24"/>
  <c r="K64" i="24"/>
  <c r="J64" i="24"/>
  <c r="I64" i="24"/>
  <c r="H64" i="24"/>
  <c r="G64" i="24"/>
  <c r="F64" i="24"/>
  <c r="E64" i="24"/>
  <c r="U63" i="24"/>
  <c r="R63" i="24"/>
  <c r="Q63" i="24"/>
  <c r="P63" i="24"/>
  <c r="O63" i="24"/>
  <c r="N63" i="24"/>
  <c r="M63" i="24"/>
  <c r="L63" i="24"/>
  <c r="K63" i="24"/>
  <c r="J63" i="24"/>
  <c r="I63" i="24"/>
  <c r="H63" i="24"/>
  <c r="G63" i="24"/>
  <c r="F63" i="24"/>
  <c r="E63" i="24"/>
  <c r="U62" i="24"/>
  <c r="N62" i="24"/>
  <c r="J62" i="24"/>
  <c r="I62" i="24"/>
  <c r="E62" i="24"/>
  <c r="R61" i="24"/>
  <c r="Q61" i="24"/>
  <c r="P61" i="24"/>
  <c r="O61" i="24"/>
  <c r="N61" i="24"/>
  <c r="M61" i="24"/>
  <c r="L61" i="24"/>
  <c r="K61" i="24"/>
  <c r="J61" i="24"/>
  <c r="I61" i="24"/>
  <c r="H61" i="24"/>
  <c r="G61" i="24"/>
  <c r="F61" i="24"/>
  <c r="E61" i="24"/>
  <c r="R60" i="24"/>
  <c r="Q60" i="24"/>
  <c r="P60" i="24"/>
  <c r="O60" i="24"/>
  <c r="N60" i="24"/>
  <c r="M60" i="24"/>
  <c r="L60" i="24"/>
  <c r="K60" i="24"/>
  <c r="J60" i="24"/>
  <c r="I60" i="24"/>
  <c r="H60" i="24"/>
  <c r="G60" i="24"/>
  <c r="F60" i="24"/>
  <c r="E60" i="24"/>
  <c r="R59" i="24"/>
  <c r="Q59" i="24"/>
  <c r="P59" i="24"/>
  <c r="O59" i="24"/>
  <c r="N59" i="24"/>
  <c r="M59" i="24"/>
  <c r="L59" i="24"/>
  <c r="K59" i="24"/>
  <c r="J59" i="24"/>
  <c r="I59" i="24"/>
  <c r="H59" i="24"/>
  <c r="G59" i="24"/>
  <c r="F59" i="24"/>
  <c r="E59" i="24"/>
  <c r="R58" i="24"/>
  <c r="Q58" i="24"/>
  <c r="P58" i="24"/>
  <c r="O58" i="24"/>
  <c r="N58" i="24"/>
  <c r="M58" i="24"/>
  <c r="L58" i="24"/>
  <c r="K58" i="24"/>
  <c r="J58" i="24"/>
  <c r="I58" i="24"/>
  <c r="H58" i="24"/>
  <c r="G58" i="24"/>
  <c r="F58" i="24"/>
  <c r="E58" i="24"/>
  <c r="U55" i="24"/>
  <c r="T55" i="24"/>
  <c r="S55" i="24"/>
  <c r="R55" i="24"/>
  <c r="Q55" i="24"/>
  <c r="P55" i="24"/>
  <c r="O55" i="24"/>
  <c r="N55" i="24"/>
  <c r="M55" i="24"/>
  <c r="L55" i="24"/>
  <c r="K55" i="24"/>
  <c r="J55" i="24"/>
  <c r="I55" i="24"/>
  <c r="H55" i="24"/>
  <c r="G55" i="24"/>
  <c r="F55" i="24"/>
  <c r="E55" i="24"/>
  <c r="R54" i="24"/>
  <c r="Q54" i="24"/>
  <c r="P54" i="24"/>
  <c r="O54" i="24"/>
  <c r="N54" i="24"/>
  <c r="M54" i="24"/>
  <c r="L54" i="24"/>
  <c r="K54" i="24"/>
  <c r="J54" i="24"/>
  <c r="I54" i="24"/>
  <c r="H54" i="24"/>
  <c r="G54" i="24"/>
  <c r="F54" i="24"/>
  <c r="E54" i="24"/>
  <c r="U53" i="24"/>
  <c r="T53" i="24"/>
  <c r="S53" i="24"/>
  <c r="R53" i="24"/>
  <c r="Q53" i="24"/>
  <c r="P53" i="24"/>
  <c r="O53" i="24"/>
  <c r="N53" i="24"/>
  <c r="M53" i="24"/>
  <c r="L53" i="24"/>
  <c r="K53" i="24"/>
  <c r="J53" i="24"/>
  <c r="I53" i="24"/>
  <c r="H53" i="24"/>
  <c r="G53" i="24"/>
  <c r="F53" i="24"/>
  <c r="E53" i="24"/>
  <c r="R52" i="24"/>
  <c r="Q52" i="24"/>
  <c r="P52" i="24"/>
  <c r="O52" i="24"/>
  <c r="N52" i="24"/>
  <c r="M52" i="24"/>
  <c r="L52" i="24"/>
  <c r="K52" i="24"/>
  <c r="J52" i="24"/>
  <c r="I52" i="24"/>
  <c r="H52" i="24"/>
  <c r="G52" i="24"/>
  <c r="F52" i="24"/>
  <c r="E52" i="24"/>
  <c r="U51" i="24"/>
  <c r="T51" i="24"/>
  <c r="S51" i="24"/>
  <c r="R51" i="24"/>
  <c r="Q51" i="24"/>
  <c r="P51" i="24"/>
  <c r="O51" i="24"/>
  <c r="N51" i="24"/>
  <c r="M51" i="24"/>
  <c r="L51" i="24"/>
  <c r="K51" i="24"/>
  <c r="J51" i="24"/>
  <c r="I51" i="24"/>
  <c r="H51" i="24"/>
  <c r="G51" i="24"/>
  <c r="F51" i="24"/>
  <c r="E51" i="24"/>
  <c r="R50" i="24"/>
  <c r="Q50" i="24"/>
  <c r="P50" i="24"/>
  <c r="O50" i="24"/>
  <c r="N50" i="24"/>
  <c r="M50" i="24"/>
  <c r="L50" i="24"/>
  <c r="K50" i="24"/>
  <c r="J50" i="24"/>
  <c r="I50" i="24"/>
  <c r="H50" i="24"/>
  <c r="G50" i="24"/>
  <c r="F50" i="24"/>
  <c r="E50" i="24"/>
  <c r="U49" i="24"/>
  <c r="R49" i="24"/>
  <c r="Q49" i="24"/>
  <c r="P49" i="24"/>
  <c r="O49" i="24"/>
  <c r="N49" i="24"/>
  <c r="M49" i="24"/>
  <c r="L49" i="24"/>
  <c r="K49" i="24"/>
  <c r="J49" i="24"/>
  <c r="I49" i="24"/>
  <c r="H49" i="24"/>
  <c r="G49" i="24"/>
  <c r="F49" i="24"/>
  <c r="E49" i="24"/>
  <c r="U48" i="24"/>
  <c r="N48" i="24"/>
  <c r="J48" i="24"/>
  <c r="I48" i="24"/>
  <c r="E48" i="24"/>
  <c r="R47" i="24"/>
  <c r="Q47" i="24"/>
  <c r="P47" i="24"/>
  <c r="O47" i="24"/>
  <c r="N47" i="24"/>
  <c r="M47" i="24"/>
  <c r="L47" i="24"/>
  <c r="K47" i="24"/>
  <c r="J47" i="24"/>
  <c r="I47" i="24"/>
  <c r="H47" i="24"/>
  <c r="G47" i="24"/>
  <c r="F47" i="24"/>
  <c r="E47" i="24"/>
  <c r="R46" i="24"/>
  <c r="Q46" i="24"/>
  <c r="P46" i="24"/>
  <c r="O46" i="24"/>
  <c r="N46" i="24"/>
  <c r="M46" i="24"/>
  <c r="L46" i="24"/>
  <c r="K46" i="24"/>
  <c r="J46" i="24"/>
  <c r="I46" i="24"/>
  <c r="H46" i="24"/>
  <c r="G46" i="24"/>
  <c r="F46" i="24"/>
  <c r="E46" i="24"/>
  <c r="R45" i="24"/>
  <c r="Q45" i="24"/>
  <c r="P45" i="24"/>
  <c r="O45" i="24"/>
  <c r="N45" i="24"/>
  <c r="M45" i="24"/>
  <c r="L45" i="24"/>
  <c r="K45" i="24"/>
  <c r="J45" i="24"/>
  <c r="I45" i="24"/>
  <c r="H45" i="24"/>
  <c r="G45" i="24"/>
  <c r="F45" i="24"/>
  <c r="E45" i="24"/>
  <c r="R44" i="24"/>
  <c r="Q44" i="24"/>
  <c r="P44" i="24"/>
  <c r="O44" i="24"/>
  <c r="N44" i="24"/>
  <c r="M44" i="24"/>
  <c r="L44" i="24"/>
  <c r="K44" i="24"/>
  <c r="J44" i="24"/>
  <c r="I44" i="24"/>
  <c r="H44" i="24"/>
  <c r="G44" i="24"/>
  <c r="F44" i="24"/>
  <c r="E44" i="24"/>
  <c r="U41" i="24"/>
  <c r="T41" i="24"/>
  <c r="S41" i="24"/>
  <c r="R41" i="24"/>
  <c r="Q41" i="24"/>
  <c r="P41" i="24"/>
  <c r="O41" i="24"/>
  <c r="N41" i="24"/>
  <c r="M41" i="24"/>
  <c r="L41" i="24"/>
  <c r="K41" i="24"/>
  <c r="J41" i="24"/>
  <c r="I41" i="24"/>
  <c r="H41" i="24"/>
  <c r="G41" i="24"/>
  <c r="F41" i="24"/>
  <c r="E41" i="24"/>
  <c r="R40" i="24"/>
  <c r="Q40" i="24"/>
  <c r="P40" i="24"/>
  <c r="O40" i="24"/>
  <c r="N40" i="24"/>
  <c r="M40" i="24"/>
  <c r="L40" i="24"/>
  <c r="K40" i="24"/>
  <c r="J40" i="24"/>
  <c r="I40" i="24"/>
  <c r="H40" i="24"/>
  <c r="G40" i="24"/>
  <c r="F40" i="24"/>
  <c r="E40" i="24"/>
  <c r="U39" i="24"/>
  <c r="T39" i="24"/>
  <c r="S39" i="24"/>
  <c r="R39" i="24"/>
  <c r="Q39" i="24"/>
  <c r="P39" i="24"/>
  <c r="O39" i="24"/>
  <c r="N39" i="24"/>
  <c r="M39" i="24"/>
  <c r="L39" i="24"/>
  <c r="K39" i="24"/>
  <c r="J39" i="24"/>
  <c r="I39" i="24"/>
  <c r="H39" i="24"/>
  <c r="G39" i="24"/>
  <c r="F39" i="24"/>
  <c r="E39" i="24"/>
  <c r="R38" i="24"/>
  <c r="Q38" i="24"/>
  <c r="P38" i="24"/>
  <c r="O38" i="24"/>
  <c r="N38" i="24"/>
  <c r="M38" i="24"/>
  <c r="L38" i="24"/>
  <c r="K38" i="24"/>
  <c r="J38" i="24"/>
  <c r="I38" i="24"/>
  <c r="H38" i="24"/>
  <c r="G38" i="24"/>
  <c r="F38" i="24"/>
  <c r="E38" i="24"/>
  <c r="U37" i="24"/>
  <c r="T37" i="24"/>
  <c r="S37" i="24"/>
  <c r="R37" i="24"/>
  <c r="Q37" i="24"/>
  <c r="P37" i="24"/>
  <c r="O37" i="24"/>
  <c r="N37" i="24"/>
  <c r="M37" i="24"/>
  <c r="L37" i="24"/>
  <c r="K37" i="24"/>
  <c r="J37" i="24"/>
  <c r="I37" i="24"/>
  <c r="H37" i="24"/>
  <c r="G37" i="24"/>
  <c r="F37" i="24"/>
  <c r="E37" i="24"/>
  <c r="R36" i="24"/>
  <c r="Q36" i="24"/>
  <c r="P36" i="24"/>
  <c r="O36" i="24"/>
  <c r="N36" i="24"/>
  <c r="M36" i="24"/>
  <c r="L36" i="24"/>
  <c r="K36" i="24"/>
  <c r="J36" i="24"/>
  <c r="I36" i="24"/>
  <c r="H36" i="24"/>
  <c r="G36" i="24"/>
  <c r="F36" i="24"/>
  <c r="E36" i="24"/>
  <c r="U35" i="24"/>
  <c r="R35" i="24"/>
  <c r="Q35" i="24"/>
  <c r="P35" i="24"/>
  <c r="O35" i="24"/>
  <c r="N35" i="24"/>
  <c r="M35" i="24"/>
  <c r="L35" i="24"/>
  <c r="K35" i="24"/>
  <c r="J35" i="24"/>
  <c r="I35" i="24"/>
  <c r="H35" i="24"/>
  <c r="G35" i="24"/>
  <c r="F35" i="24"/>
  <c r="E35" i="24"/>
  <c r="U34" i="24"/>
  <c r="N34" i="24"/>
  <c r="J34" i="24"/>
  <c r="I34" i="24"/>
  <c r="E34" i="24"/>
  <c r="R33" i="24"/>
  <c r="Q33" i="24"/>
  <c r="P33" i="24"/>
  <c r="O33" i="24"/>
  <c r="N33" i="24"/>
  <c r="M33" i="24"/>
  <c r="L33" i="24"/>
  <c r="K33" i="24"/>
  <c r="J33" i="24"/>
  <c r="I33" i="24"/>
  <c r="H33" i="24"/>
  <c r="G33" i="24"/>
  <c r="F33" i="24"/>
  <c r="E33" i="24"/>
  <c r="R32" i="24"/>
  <c r="Q32" i="24"/>
  <c r="P32" i="24"/>
  <c r="O32" i="24"/>
  <c r="N32" i="24"/>
  <c r="M32" i="24"/>
  <c r="L32" i="24"/>
  <c r="K32" i="24"/>
  <c r="J32" i="24"/>
  <c r="I32" i="24"/>
  <c r="H32" i="24"/>
  <c r="G32" i="24"/>
  <c r="F32" i="24"/>
  <c r="E32" i="24"/>
  <c r="R31" i="24"/>
  <c r="Q31" i="24"/>
  <c r="P31" i="24"/>
  <c r="O31" i="24"/>
  <c r="N31" i="24"/>
  <c r="M31" i="24"/>
  <c r="L31" i="24"/>
  <c r="K31" i="24"/>
  <c r="J31" i="24"/>
  <c r="I31" i="24"/>
  <c r="H31" i="24"/>
  <c r="G31" i="24"/>
  <c r="F31" i="24"/>
  <c r="E31" i="24"/>
  <c r="R30" i="24"/>
  <c r="Q30" i="24"/>
  <c r="P30" i="24"/>
  <c r="O30" i="24"/>
  <c r="N30" i="24"/>
  <c r="M30" i="24"/>
  <c r="L30" i="24"/>
  <c r="K30" i="24"/>
  <c r="J30" i="24"/>
  <c r="I30" i="24"/>
  <c r="H30" i="24"/>
  <c r="G30" i="24"/>
  <c r="F30" i="24"/>
  <c r="E30" i="24"/>
  <c r="U27" i="24"/>
  <c r="T27" i="24"/>
  <c r="S27" i="24"/>
  <c r="R27" i="24"/>
  <c r="Q27" i="24"/>
  <c r="P27" i="24"/>
  <c r="O27" i="24"/>
  <c r="N27" i="24"/>
  <c r="M27" i="24"/>
  <c r="L27" i="24"/>
  <c r="K27" i="24"/>
  <c r="J27" i="24"/>
  <c r="I27" i="24"/>
  <c r="H27" i="24"/>
  <c r="G27" i="24"/>
  <c r="F27" i="24"/>
  <c r="E27" i="24"/>
  <c r="R26" i="24"/>
  <c r="Q26" i="24"/>
  <c r="P26" i="24"/>
  <c r="O26" i="24"/>
  <c r="N26" i="24"/>
  <c r="M26" i="24"/>
  <c r="L26" i="24"/>
  <c r="K26" i="24"/>
  <c r="J26" i="24"/>
  <c r="I26" i="24"/>
  <c r="H26" i="24"/>
  <c r="G26" i="24"/>
  <c r="F26" i="24"/>
  <c r="E26" i="24"/>
  <c r="U25" i="24"/>
  <c r="T25" i="24"/>
  <c r="S25" i="24"/>
  <c r="R25" i="24"/>
  <c r="Q25" i="24"/>
  <c r="P25" i="24"/>
  <c r="O25" i="24"/>
  <c r="N25" i="24"/>
  <c r="M25" i="24"/>
  <c r="L25" i="24"/>
  <c r="K25" i="24"/>
  <c r="J25" i="24"/>
  <c r="I25" i="24"/>
  <c r="H25" i="24"/>
  <c r="G25" i="24"/>
  <c r="F25" i="24"/>
  <c r="E25" i="24"/>
  <c r="R24" i="24"/>
  <c r="Q24" i="24"/>
  <c r="P24" i="24"/>
  <c r="O24" i="24"/>
  <c r="N24" i="24"/>
  <c r="M24" i="24"/>
  <c r="L24" i="24"/>
  <c r="K24" i="24"/>
  <c r="J24" i="24"/>
  <c r="I24" i="24"/>
  <c r="H24" i="24"/>
  <c r="G24" i="24"/>
  <c r="F24" i="24"/>
  <c r="E24" i="24"/>
  <c r="U23" i="24"/>
  <c r="T23" i="24"/>
  <c r="S23" i="24"/>
  <c r="R23" i="24"/>
  <c r="Q23" i="24"/>
  <c r="P23" i="24"/>
  <c r="O23" i="24"/>
  <c r="N23" i="24"/>
  <c r="M23" i="24"/>
  <c r="L23" i="24"/>
  <c r="K23" i="24"/>
  <c r="J23" i="24"/>
  <c r="I23" i="24"/>
  <c r="H23" i="24"/>
  <c r="G23" i="24"/>
  <c r="F23" i="24"/>
  <c r="E23" i="24"/>
  <c r="R22" i="24"/>
  <c r="Q22" i="24"/>
  <c r="P22" i="24"/>
  <c r="O22" i="24"/>
  <c r="N22" i="24"/>
  <c r="M22" i="24"/>
  <c r="L22" i="24"/>
  <c r="K22" i="24"/>
  <c r="J22" i="24"/>
  <c r="I22" i="24"/>
  <c r="H22" i="24"/>
  <c r="G22" i="24"/>
  <c r="F22" i="24"/>
  <c r="E22" i="24"/>
  <c r="U21" i="24"/>
  <c r="R21" i="24"/>
  <c r="Q21" i="24"/>
  <c r="P21" i="24"/>
  <c r="O21" i="24"/>
  <c r="N21" i="24"/>
  <c r="M21" i="24"/>
  <c r="L21" i="24"/>
  <c r="K21" i="24"/>
  <c r="J21" i="24"/>
  <c r="I21" i="24"/>
  <c r="H21" i="24"/>
  <c r="G21" i="24"/>
  <c r="F21" i="24"/>
  <c r="E21" i="24"/>
  <c r="U20" i="24"/>
  <c r="N20" i="24"/>
  <c r="J20" i="24"/>
  <c r="I20" i="24"/>
  <c r="E20" i="24"/>
  <c r="R19" i="24"/>
  <c r="Q19" i="24"/>
  <c r="P19" i="24"/>
  <c r="O19" i="24"/>
  <c r="N19" i="24"/>
  <c r="M19" i="24"/>
  <c r="L19" i="24"/>
  <c r="K19" i="24"/>
  <c r="J19" i="24"/>
  <c r="I19" i="24"/>
  <c r="H19" i="24"/>
  <c r="G19" i="24"/>
  <c r="F19" i="24"/>
  <c r="E19" i="24"/>
  <c r="R18" i="24"/>
  <c r="Q18" i="24"/>
  <c r="P18" i="24"/>
  <c r="O18" i="24"/>
  <c r="N18" i="24"/>
  <c r="M18" i="24"/>
  <c r="L18" i="24"/>
  <c r="K18" i="24"/>
  <c r="J18" i="24"/>
  <c r="I18" i="24"/>
  <c r="H18" i="24"/>
  <c r="G18" i="24"/>
  <c r="F18" i="24"/>
  <c r="E18" i="24"/>
  <c r="R17" i="24"/>
  <c r="Q17" i="24"/>
  <c r="P17" i="24"/>
  <c r="O17" i="24"/>
  <c r="N17" i="24"/>
  <c r="M17" i="24"/>
  <c r="L17" i="24"/>
  <c r="K17" i="24"/>
  <c r="J17" i="24"/>
  <c r="I17" i="24"/>
  <c r="H17" i="24"/>
  <c r="G17" i="24"/>
  <c r="F17" i="24"/>
  <c r="E17" i="24"/>
  <c r="R16" i="24"/>
  <c r="Q16" i="24"/>
  <c r="P16" i="24"/>
  <c r="O16" i="24"/>
  <c r="N16" i="24"/>
  <c r="M16" i="24"/>
  <c r="L16" i="24"/>
  <c r="K16" i="24"/>
  <c r="J16" i="24"/>
  <c r="I16" i="24"/>
  <c r="H16" i="24"/>
  <c r="G16" i="24"/>
  <c r="F16" i="24"/>
  <c r="E16" i="24"/>
  <c r="U7" i="24"/>
  <c r="U6" i="24"/>
  <c r="U13" i="24"/>
  <c r="T13" i="24"/>
  <c r="S13" i="24"/>
  <c r="U11" i="24"/>
  <c r="T11" i="24"/>
  <c r="S11" i="24"/>
  <c r="U9" i="24"/>
  <c r="T9" i="24"/>
  <c r="S9" i="24"/>
  <c r="R13" i="24"/>
  <c r="Q13" i="24"/>
  <c r="P13" i="24"/>
  <c r="O13" i="24"/>
  <c r="N13" i="24"/>
  <c r="M13" i="24"/>
  <c r="L13" i="24"/>
  <c r="K13" i="24"/>
  <c r="J13" i="24"/>
  <c r="I13" i="24"/>
  <c r="H13" i="24"/>
  <c r="G13" i="24"/>
  <c r="F13" i="24"/>
  <c r="E13" i="24"/>
  <c r="R12" i="24"/>
  <c r="Q12" i="24"/>
  <c r="P12" i="24"/>
  <c r="O12" i="24"/>
  <c r="N12" i="24"/>
  <c r="M12" i="24"/>
  <c r="L12" i="24"/>
  <c r="K12" i="24"/>
  <c r="J12" i="24"/>
  <c r="I12" i="24"/>
  <c r="H12" i="24"/>
  <c r="G12" i="24"/>
  <c r="F12" i="24"/>
  <c r="E12" i="24"/>
  <c r="R11" i="24"/>
  <c r="Q11" i="24"/>
  <c r="P11" i="24"/>
  <c r="O11" i="24"/>
  <c r="N11" i="24"/>
  <c r="M11" i="24"/>
  <c r="L11" i="24"/>
  <c r="K11" i="24"/>
  <c r="J11" i="24"/>
  <c r="I11" i="24"/>
  <c r="H11" i="24"/>
  <c r="G11" i="24"/>
  <c r="F11" i="24"/>
  <c r="E11" i="24"/>
  <c r="R10" i="24"/>
  <c r="Q10" i="24"/>
  <c r="P10" i="24"/>
  <c r="O10" i="24"/>
  <c r="N10" i="24"/>
  <c r="M10" i="24"/>
  <c r="L10" i="24"/>
  <c r="K10" i="24"/>
  <c r="J10" i="24"/>
  <c r="I10" i="24"/>
  <c r="H10" i="24"/>
  <c r="G10" i="24"/>
  <c r="F10" i="24"/>
  <c r="E10" i="24"/>
  <c r="R9" i="24"/>
  <c r="Q9" i="24"/>
  <c r="P9" i="24"/>
  <c r="O9" i="24"/>
  <c r="N9" i="24"/>
  <c r="M9" i="24"/>
  <c r="L9" i="24"/>
  <c r="K9" i="24"/>
  <c r="J9" i="24"/>
  <c r="I9" i="24"/>
  <c r="H9" i="24"/>
  <c r="G9" i="24"/>
  <c r="F9" i="24"/>
  <c r="E9" i="24"/>
  <c r="R8" i="24"/>
  <c r="Q8" i="24"/>
  <c r="P8" i="24"/>
  <c r="O8" i="24"/>
  <c r="N8" i="24"/>
  <c r="M8" i="24"/>
  <c r="L8" i="24"/>
  <c r="K8" i="24"/>
  <c r="J8" i="24"/>
  <c r="I8" i="24"/>
  <c r="H8" i="24"/>
  <c r="G8" i="24"/>
  <c r="F8" i="24"/>
  <c r="E8" i="24"/>
  <c r="R7" i="24"/>
  <c r="Q7" i="24"/>
  <c r="P7" i="24"/>
  <c r="O7" i="24"/>
  <c r="N7" i="24"/>
  <c r="M7" i="24"/>
  <c r="L7" i="24"/>
  <c r="K7" i="24"/>
  <c r="J7" i="24"/>
  <c r="I7" i="24"/>
  <c r="H7" i="24"/>
  <c r="G7" i="24"/>
  <c r="F7" i="24"/>
  <c r="E7" i="24"/>
  <c r="E6" i="24"/>
  <c r="J6" i="24"/>
  <c r="I6" i="24"/>
  <c r="N6" i="24"/>
  <c r="R5" i="24"/>
  <c r="Q5" i="24"/>
  <c r="P5" i="24"/>
  <c r="O5" i="24"/>
  <c r="N5" i="24"/>
  <c r="M5" i="24"/>
  <c r="L5" i="24"/>
  <c r="K5" i="24"/>
  <c r="J5" i="24"/>
  <c r="I5" i="24"/>
  <c r="H5" i="24"/>
  <c r="G5" i="24"/>
  <c r="F5" i="24"/>
  <c r="E5" i="24"/>
  <c r="R4" i="24"/>
  <c r="Q4" i="24"/>
  <c r="P4" i="24"/>
  <c r="O4" i="24"/>
  <c r="N4" i="24"/>
  <c r="M4" i="24"/>
  <c r="L4" i="24"/>
  <c r="K4" i="24"/>
  <c r="J4" i="24"/>
  <c r="I4" i="24"/>
  <c r="H4" i="24"/>
  <c r="G4" i="24"/>
  <c r="F4" i="24"/>
  <c r="E4" i="24"/>
  <c r="R3" i="24"/>
  <c r="Q3" i="24"/>
  <c r="P3" i="24"/>
  <c r="O3" i="24"/>
  <c r="N3" i="24"/>
  <c r="M3" i="24"/>
  <c r="L3" i="24"/>
  <c r="K3" i="24"/>
  <c r="J3" i="24"/>
  <c r="I3" i="24"/>
  <c r="H3" i="24"/>
  <c r="G3" i="24"/>
  <c r="F3" i="24"/>
  <c r="E3" i="24"/>
  <c r="R2" i="24"/>
  <c r="Q2" i="24"/>
  <c r="P2" i="24"/>
  <c r="O2" i="24"/>
  <c r="N2" i="24"/>
  <c r="M2" i="24"/>
  <c r="L2" i="24"/>
  <c r="K2" i="24"/>
  <c r="J2" i="24"/>
  <c r="I2" i="24"/>
  <c r="H2" i="24"/>
  <c r="G2" i="24"/>
  <c r="F2" i="24"/>
  <c r="E2" i="24"/>
  <c r="C335" i="24"/>
  <c r="C334" i="24"/>
  <c r="C333" i="24"/>
  <c r="C332" i="24"/>
  <c r="C331" i="24"/>
  <c r="C330" i="24"/>
  <c r="C329" i="24"/>
  <c r="C328" i="24"/>
  <c r="C327" i="24"/>
  <c r="C326" i="24"/>
  <c r="C325" i="24"/>
  <c r="C324" i="24"/>
  <c r="C321" i="24"/>
  <c r="C320" i="24"/>
  <c r="C319" i="24"/>
  <c r="C318" i="24"/>
  <c r="C317" i="24"/>
  <c r="C316" i="24"/>
  <c r="C315" i="24"/>
  <c r="C314" i="24"/>
  <c r="C313" i="24"/>
  <c r="C312" i="24"/>
  <c r="C311" i="24"/>
  <c r="C310" i="24"/>
  <c r="C307" i="24"/>
  <c r="C306" i="24"/>
  <c r="C305" i="24"/>
  <c r="C304" i="24"/>
  <c r="C303" i="24"/>
  <c r="C302" i="24"/>
  <c r="C301" i="24"/>
  <c r="C300" i="24"/>
  <c r="C299" i="24"/>
  <c r="C298" i="24"/>
  <c r="C297" i="24"/>
  <c r="C296" i="24"/>
  <c r="C293" i="24"/>
  <c r="C292" i="24"/>
  <c r="C291" i="24"/>
  <c r="C290" i="24"/>
  <c r="C289" i="24"/>
  <c r="C288" i="24"/>
  <c r="C287" i="24"/>
  <c r="C286" i="24"/>
  <c r="C285" i="24"/>
  <c r="C284" i="24"/>
  <c r="C283" i="24"/>
  <c r="C282" i="24"/>
  <c r="C279" i="24"/>
  <c r="C278" i="24"/>
  <c r="C277" i="24"/>
  <c r="C276" i="24"/>
  <c r="C275" i="24"/>
  <c r="C274" i="24"/>
  <c r="C273" i="24"/>
  <c r="C272" i="24"/>
  <c r="C271" i="24"/>
  <c r="C270" i="24"/>
  <c r="C269" i="24"/>
  <c r="C268" i="24"/>
  <c r="C265" i="24"/>
  <c r="C264" i="24"/>
  <c r="C263" i="24"/>
  <c r="C262" i="24"/>
  <c r="C261" i="24"/>
  <c r="C260" i="24"/>
  <c r="C259" i="24"/>
  <c r="C258" i="24"/>
  <c r="C257" i="24"/>
  <c r="C256" i="24"/>
  <c r="C255" i="24"/>
  <c r="C254" i="24"/>
  <c r="C251" i="24"/>
  <c r="C250" i="24"/>
  <c r="C249" i="24"/>
  <c r="C248" i="24"/>
  <c r="C247" i="24"/>
  <c r="C246" i="24"/>
  <c r="C245" i="24"/>
  <c r="C244" i="24"/>
  <c r="C243" i="24"/>
  <c r="C242" i="24"/>
  <c r="C241" i="24"/>
  <c r="C240" i="24"/>
  <c r="C237" i="24"/>
  <c r="C236" i="24"/>
  <c r="C235" i="24"/>
  <c r="C234" i="24"/>
  <c r="C233" i="24"/>
  <c r="C232" i="24"/>
  <c r="C231" i="24"/>
  <c r="C230" i="24"/>
  <c r="C229" i="24"/>
  <c r="C228" i="24"/>
  <c r="C227" i="24"/>
  <c r="C226" i="24"/>
  <c r="C223" i="24"/>
  <c r="C222" i="24"/>
  <c r="C221" i="24"/>
  <c r="C220" i="24"/>
  <c r="C219" i="24"/>
  <c r="C218" i="24"/>
  <c r="C217" i="24"/>
  <c r="C216" i="24"/>
  <c r="C215" i="24"/>
  <c r="C214" i="24"/>
  <c r="C213" i="24"/>
  <c r="C212" i="24"/>
  <c r="C209" i="24"/>
  <c r="C208" i="24"/>
  <c r="C207" i="24"/>
  <c r="C206" i="24"/>
  <c r="C205" i="24"/>
  <c r="C204" i="24"/>
  <c r="C203" i="24"/>
  <c r="C202" i="24"/>
  <c r="C201" i="24"/>
  <c r="C200" i="24"/>
  <c r="C199" i="24"/>
  <c r="C198" i="24"/>
  <c r="C195" i="24"/>
  <c r="C194" i="24"/>
  <c r="C193" i="24"/>
  <c r="C192" i="24"/>
  <c r="C191" i="24"/>
  <c r="C190" i="24"/>
  <c r="C189" i="24"/>
  <c r="C188" i="24"/>
  <c r="C187" i="24"/>
  <c r="C186" i="24"/>
  <c r="C185" i="24"/>
  <c r="C184" i="24"/>
  <c r="C181" i="24"/>
  <c r="C180" i="24"/>
  <c r="C179" i="24"/>
  <c r="C178" i="24"/>
  <c r="C177" i="24"/>
  <c r="C176" i="24"/>
  <c r="C175" i="24"/>
  <c r="C174" i="24"/>
  <c r="C173" i="24"/>
  <c r="C172" i="24"/>
  <c r="C171" i="24"/>
  <c r="C170" i="24"/>
  <c r="C167" i="24"/>
  <c r="C166" i="24"/>
  <c r="C165" i="24"/>
  <c r="C164" i="24"/>
  <c r="C163" i="24"/>
  <c r="C162" i="24"/>
  <c r="C161" i="24"/>
  <c r="C160" i="24"/>
  <c r="C159" i="24"/>
  <c r="C158" i="24"/>
  <c r="C157" i="24"/>
  <c r="C156" i="24"/>
  <c r="C153" i="24"/>
  <c r="C152" i="24"/>
  <c r="C151" i="24"/>
  <c r="C150" i="24"/>
  <c r="C149" i="24"/>
  <c r="C148" i="24"/>
  <c r="C147" i="24"/>
  <c r="C146" i="24"/>
  <c r="C145" i="24"/>
  <c r="C144" i="24"/>
  <c r="C143" i="24"/>
  <c r="C142" i="24"/>
  <c r="C139" i="24"/>
  <c r="C138" i="24"/>
  <c r="C137" i="24"/>
  <c r="C136" i="24"/>
  <c r="C135" i="24"/>
  <c r="C134" i="24"/>
  <c r="C133" i="24"/>
  <c r="C132" i="24"/>
  <c r="C131" i="24"/>
  <c r="C130" i="24"/>
  <c r="C129" i="24"/>
  <c r="C128" i="24"/>
  <c r="C125" i="24"/>
  <c r="C124" i="24"/>
  <c r="C123" i="24"/>
  <c r="C122" i="24"/>
  <c r="C121" i="24"/>
  <c r="C120" i="24"/>
  <c r="C119" i="24"/>
  <c r="C118" i="24"/>
  <c r="C117" i="24"/>
  <c r="C116" i="24"/>
  <c r="C115" i="24"/>
  <c r="C114" i="24"/>
  <c r="C111" i="24"/>
  <c r="C110" i="24"/>
  <c r="C109" i="24"/>
  <c r="C108" i="24"/>
  <c r="C107" i="24"/>
  <c r="C106" i="24"/>
  <c r="C105" i="24"/>
  <c r="C104" i="24"/>
  <c r="C103" i="24"/>
  <c r="C102" i="24"/>
  <c r="C101" i="24"/>
  <c r="C100" i="24"/>
  <c r="C97" i="24"/>
  <c r="C96" i="24"/>
  <c r="C95" i="24"/>
  <c r="C94" i="24"/>
  <c r="C93" i="24"/>
  <c r="C92" i="24"/>
  <c r="C91" i="24"/>
  <c r="C90" i="24"/>
  <c r="C89" i="24"/>
  <c r="C88" i="24"/>
  <c r="C87" i="24"/>
  <c r="C86" i="24"/>
  <c r="C83" i="24"/>
  <c r="C82" i="24"/>
  <c r="C81" i="24"/>
  <c r="C80" i="24"/>
  <c r="C79" i="24"/>
  <c r="C78" i="24"/>
  <c r="C77" i="24"/>
  <c r="C76" i="24"/>
  <c r="C75" i="24"/>
  <c r="C74" i="24"/>
  <c r="C73" i="24"/>
  <c r="C72" i="24"/>
  <c r="C69" i="24"/>
  <c r="C68" i="24"/>
  <c r="C67" i="24"/>
  <c r="C66" i="24"/>
  <c r="C65" i="24"/>
  <c r="C64" i="24"/>
  <c r="C63" i="24"/>
  <c r="C62" i="24"/>
  <c r="C61" i="24"/>
  <c r="C60" i="24"/>
  <c r="C59" i="24"/>
  <c r="C58" i="24"/>
  <c r="C55" i="24"/>
  <c r="C54" i="24"/>
  <c r="C53" i="24"/>
  <c r="C52" i="24"/>
  <c r="C51" i="24"/>
  <c r="C50" i="24"/>
  <c r="C49" i="24"/>
  <c r="C48" i="24"/>
  <c r="C47" i="24"/>
  <c r="C46" i="24"/>
  <c r="C45" i="24"/>
  <c r="C44" i="24"/>
  <c r="C41" i="24"/>
  <c r="C40" i="24"/>
  <c r="C39" i="24"/>
  <c r="C38" i="24"/>
  <c r="C37" i="24"/>
  <c r="C36" i="24"/>
  <c r="C35" i="24"/>
  <c r="C34" i="24"/>
  <c r="C33" i="24"/>
  <c r="C32" i="24"/>
  <c r="C31" i="24"/>
  <c r="C30" i="24"/>
  <c r="C27" i="24"/>
  <c r="C26" i="24"/>
  <c r="C25" i="24"/>
  <c r="C24" i="24"/>
  <c r="C23" i="24"/>
  <c r="C22" i="24"/>
  <c r="C21" i="24"/>
  <c r="C20" i="24"/>
  <c r="C19" i="24"/>
  <c r="C18" i="24"/>
  <c r="C17" i="24"/>
  <c r="C16" i="24"/>
  <c r="C13" i="24"/>
  <c r="C12" i="24"/>
  <c r="C11" i="24"/>
  <c r="C10" i="24"/>
  <c r="C9" i="24"/>
  <c r="C8" i="24"/>
  <c r="C7" i="24"/>
  <c r="C6" i="24"/>
  <c r="C5" i="24"/>
  <c r="C4" i="24"/>
  <c r="C3" i="24"/>
  <c r="C2" i="24"/>
  <c r="C139" i="23"/>
  <c r="A139" i="23"/>
  <c r="C138" i="23"/>
  <c r="A138" i="23"/>
  <c r="C137" i="23"/>
  <c r="A137" i="23"/>
  <c r="C136" i="23"/>
  <c r="A136" i="23"/>
  <c r="C135" i="23"/>
  <c r="A135" i="23"/>
  <c r="C134" i="23"/>
  <c r="A134" i="23"/>
  <c r="C133" i="23"/>
  <c r="A133" i="23"/>
  <c r="C132" i="23"/>
  <c r="A132" i="23"/>
  <c r="C131" i="23"/>
  <c r="A131" i="23"/>
  <c r="C130" i="23"/>
  <c r="A130" i="23"/>
  <c r="C129" i="23"/>
  <c r="A129" i="23"/>
  <c r="C128" i="23"/>
  <c r="A128" i="23"/>
  <c r="C125" i="23"/>
  <c r="A125" i="23"/>
  <c r="C124" i="23"/>
  <c r="A124" i="23"/>
  <c r="C123" i="23"/>
  <c r="A123" i="23"/>
  <c r="C122" i="23"/>
  <c r="A122" i="23"/>
  <c r="C121" i="23"/>
  <c r="A121" i="23"/>
  <c r="C120" i="23"/>
  <c r="A120" i="23"/>
  <c r="C119" i="23"/>
  <c r="A119" i="23"/>
  <c r="C118" i="23"/>
  <c r="A118" i="23"/>
  <c r="C117" i="23"/>
  <c r="A117" i="23"/>
  <c r="C116" i="23"/>
  <c r="A116" i="23"/>
  <c r="C115" i="23"/>
  <c r="A115" i="23"/>
  <c r="C114" i="23"/>
  <c r="A114" i="23"/>
  <c r="C111" i="23"/>
  <c r="A111" i="23"/>
  <c r="C110" i="23"/>
  <c r="A110" i="23"/>
  <c r="C109" i="23"/>
  <c r="A109" i="23"/>
  <c r="C108" i="23"/>
  <c r="A108" i="23"/>
  <c r="C107" i="23"/>
  <c r="A107" i="23"/>
  <c r="C106" i="23"/>
  <c r="A106" i="23"/>
  <c r="C105" i="23"/>
  <c r="A105" i="23"/>
  <c r="C104" i="23"/>
  <c r="A104" i="23"/>
  <c r="C103" i="23"/>
  <c r="A103" i="23"/>
  <c r="C102" i="23"/>
  <c r="A102" i="23"/>
  <c r="C101" i="23"/>
  <c r="A101" i="23"/>
  <c r="C100" i="23"/>
  <c r="A100" i="23"/>
  <c r="C97" i="23"/>
  <c r="A97" i="23"/>
  <c r="C96" i="23"/>
  <c r="A96" i="23"/>
  <c r="C95" i="23"/>
  <c r="A95" i="23"/>
  <c r="C94" i="23"/>
  <c r="A94" i="23"/>
  <c r="C93" i="23"/>
  <c r="A93" i="23"/>
  <c r="C92" i="23"/>
  <c r="A92" i="23"/>
  <c r="C91" i="23"/>
  <c r="A91" i="23"/>
  <c r="C90" i="23"/>
  <c r="A90" i="23"/>
  <c r="C89" i="23"/>
  <c r="A89" i="23"/>
  <c r="C88" i="23"/>
  <c r="A88" i="23"/>
  <c r="C87" i="23"/>
  <c r="A87" i="23"/>
  <c r="C86" i="23"/>
  <c r="A86" i="23"/>
  <c r="C83" i="23"/>
  <c r="A83" i="23"/>
  <c r="C82" i="23"/>
  <c r="A82" i="23"/>
  <c r="C81" i="23"/>
  <c r="A81" i="23"/>
  <c r="C80" i="23"/>
  <c r="A80" i="23"/>
  <c r="C79" i="23"/>
  <c r="A79" i="23"/>
  <c r="C78" i="23"/>
  <c r="A78" i="23"/>
  <c r="C77" i="23"/>
  <c r="A77" i="23"/>
  <c r="C76" i="23"/>
  <c r="A76" i="23"/>
  <c r="C75" i="23"/>
  <c r="A75" i="23"/>
  <c r="C74" i="23"/>
  <c r="A74" i="23"/>
  <c r="C73" i="23"/>
  <c r="A73" i="23"/>
  <c r="C72" i="23"/>
  <c r="A72" i="23"/>
  <c r="C69" i="23"/>
  <c r="A69" i="23"/>
  <c r="C68" i="23"/>
  <c r="A68" i="23"/>
  <c r="C67" i="23"/>
  <c r="A67" i="23"/>
  <c r="C66" i="23"/>
  <c r="A66" i="23"/>
  <c r="C65" i="23"/>
  <c r="A65" i="23"/>
  <c r="C64" i="23"/>
  <c r="A64" i="23"/>
  <c r="C63" i="23"/>
  <c r="A63" i="23"/>
  <c r="C62" i="23"/>
  <c r="A62" i="23"/>
  <c r="C61" i="23"/>
  <c r="A61" i="23"/>
  <c r="C60" i="23"/>
  <c r="A60" i="23"/>
  <c r="C59" i="23"/>
  <c r="A59" i="23"/>
  <c r="C58" i="23"/>
  <c r="A58" i="23"/>
  <c r="C55" i="23"/>
  <c r="A55" i="23"/>
  <c r="C54" i="23"/>
  <c r="A54" i="23"/>
  <c r="C53" i="23"/>
  <c r="A53" i="23"/>
  <c r="C52" i="23"/>
  <c r="A52" i="23"/>
  <c r="C51" i="23"/>
  <c r="A51" i="23"/>
  <c r="C50" i="23"/>
  <c r="A50" i="23"/>
  <c r="C49" i="23"/>
  <c r="A49" i="23"/>
  <c r="C48" i="23"/>
  <c r="A48" i="23"/>
  <c r="C47" i="23"/>
  <c r="A47" i="23"/>
  <c r="C46" i="23"/>
  <c r="A46" i="23"/>
  <c r="C45" i="23"/>
  <c r="A45" i="23"/>
  <c r="C44" i="23"/>
  <c r="A44" i="23"/>
  <c r="C41" i="23"/>
  <c r="A41" i="23"/>
  <c r="C40" i="23"/>
  <c r="A40" i="23"/>
  <c r="C39" i="23"/>
  <c r="A39" i="23"/>
  <c r="C38" i="23"/>
  <c r="A38" i="23"/>
  <c r="C37" i="23"/>
  <c r="A37" i="23"/>
  <c r="C36" i="23"/>
  <c r="A36" i="23"/>
  <c r="C35" i="23"/>
  <c r="A35" i="23"/>
  <c r="C34" i="23"/>
  <c r="A34" i="23"/>
  <c r="C33" i="23"/>
  <c r="A33" i="23"/>
  <c r="C32" i="23"/>
  <c r="A32" i="23"/>
  <c r="C31" i="23"/>
  <c r="A31" i="23"/>
  <c r="C30" i="23"/>
  <c r="A30" i="23"/>
  <c r="C27" i="23"/>
  <c r="A27" i="23"/>
  <c r="C26" i="23"/>
  <c r="A26" i="23"/>
  <c r="C25" i="23"/>
  <c r="A25" i="23"/>
  <c r="C24" i="23"/>
  <c r="A24" i="23"/>
  <c r="C23" i="23"/>
  <c r="A23" i="23"/>
  <c r="C22" i="23"/>
  <c r="A22" i="23"/>
  <c r="C21" i="23"/>
  <c r="A21" i="23"/>
  <c r="C20" i="23"/>
  <c r="A20" i="23"/>
  <c r="C19" i="23"/>
  <c r="A19" i="23"/>
  <c r="C18" i="23"/>
  <c r="A18" i="23"/>
  <c r="C17" i="23"/>
  <c r="A17" i="23"/>
  <c r="C16" i="23"/>
  <c r="A16" i="23"/>
  <c r="C13" i="23"/>
  <c r="A13" i="23"/>
  <c r="C12" i="23"/>
  <c r="A12" i="23"/>
  <c r="C11" i="23"/>
  <c r="A11" i="23"/>
  <c r="C10" i="23"/>
  <c r="A10" i="23"/>
  <c r="C9" i="23"/>
  <c r="A9" i="23"/>
  <c r="C8" i="23"/>
  <c r="A8" i="23"/>
  <c r="C7" i="23"/>
  <c r="A7" i="23"/>
  <c r="C6" i="23"/>
  <c r="A6" i="23"/>
  <c r="C5" i="23"/>
  <c r="A5" i="23"/>
  <c r="C4" i="23"/>
  <c r="A4" i="23"/>
  <c r="C3" i="23"/>
  <c r="A3" i="23"/>
  <c r="C2" i="23"/>
  <c r="A2" i="23"/>
  <c r="W4" i="18"/>
  <c r="W5" i="18"/>
  <c r="T13" i="19"/>
  <c r="T12" i="19"/>
  <c r="S41" i="8"/>
  <c r="S55" i="8"/>
  <c r="S69" i="8"/>
  <c r="S27" i="8"/>
  <c r="S181" i="8"/>
  <c r="S195" i="8"/>
  <c r="S209" i="8"/>
  <c r="S167" i="8"/>
  <c r="S13" i="8"/>
  <c r="S40" i="8"/>
  <c r="S54" i="8"/>
  <c r="S68" i="8"/>
  <c r="S26" i="8"/>
  <c r="S180" i="8"/>
  <c r="S194" i="8"/>
  <c r="S208" i="8"/>
  <c r="S166" i="8"/>
  <c r="S12" i="8"/>
  <c r="S10" i="9"/>
  <c r="S11" i="9"/>
  <c r="A8" i="8"/>
  <c r="S176" i="8"/>
  <c r="R176" i="8"/>
  <c r="Q176" i="8"/>
  <c r="P176" i="8"/>
  <c r="O176" i="8"/>
  <c r="N176" i="8"/>
  <c r="M176" i="8"/>
  <c r="L176" i="8"/>
  <c r="K176" i="8"/>
  <c r="J176" i="8"/>
  <c r="I176" i="8"/>
  <c r="H176" i="8"/>
  <c r="G176" i="8"/>
  <c r="F176" i="8"/>
  <c r="E176" i="8"/>
  <c r="S162" i="8"/>
  <c r="R162" i="8"/>
  <c r="Q162" i="8"/>
  <c r="P162" i="8"/>
  <c r="O162" i="8"/>
  <c r="N162" i="8"/>
  <c r="M162" i="8"/>
  <c r="L162" i="8"/>
  <c r="K162" i="8"/>
  <c r="J162" i="8"/>
  <c r="I162" i="8"/>
  <c r="H162" i="8"/>
  <c r="G162" i="8"/>
  <c r="F162" i="8"/>
  <c r="E162" i="8"/>
  <c r="S36" i="8"/>
  <c r="R36" i="8"/>
  <c r="Q36" i="8"/>
  <c r="P36" i="8"/>
  <c r="O36" i="8"/>
  <c r="N36" i="8"/>
  <c r="M36" i="8"/>
  <c r="L36" i="8"/>
  <c r="K36" i="8"/>
  <c r="J36" i="8"/>
  <c r="I36" i="8"/>
  <c r="H36" i="8"/>
  <c r="G36" i="8"/>
  <c r="F36" i="8"/>
  <c r="E36" i="8"/>
  <c r="S22" i="8"/>
  <c r="R22" i="8"/>
  <c r="Q22" i="8"/>
  <c r="P22" i="8"/>
  <c r="O22" i="8"/>
  <c r="N22" i="8"/>
  <c r="M22" i="8"/>
  <c r="L22" i="8"/>
  <c r="K22" i="8"/>
  <c r="J22" i="8"/>
  <c r="I22" i="8"/>
  <c r="H22" i="8"/>
  <c r="G22" i="8"/>
  <c r="F22" i="8"/>
  <c r="E22" i="8"/>
  <c r="S8" i="8"/>
  <c r="R8" i="8"/>
  <c r="Q8" i="8"/>
  <c r="P8" i="8"/>
  <c r="O8" i="8"/>
  <c r="N8" i="8"/>
  <c r="M8" i="8"/>
  <c r="L8" i="8"/>
  <c r="K8" i="8"/>
  <c r="J8" i="8"/>
  <c r="I8" i="8"/>
  <c r="H8" i="8"/>
  <c r="G8" i="8"/>
  <c r="F8" i="8"/>
  <c r="E8" i="8"/>
  <c r="A65" i="7"/>
  <c r="O285" i="19"/>
  <c r="Q286" i="19"/>
  <c r="P286" i="19"/>
  <c r="L286" i="19"/>
  <c r="S284" i="19"/>
  <c r="Q284" i="19"/>
  <c r="L284" i="19"/>
  <c r="S231" i="19"/>
  <c r="Q231" i="19"/>
  <c r="S230" i="19"/>
  <c r="R230" i="19"/>
  <c r="Q230" i="19"/>
  <c r="O230" i="19"/>
  <c r="L230" i="19"/>
  <c r="S229" i="19"/>
  <c r="Q229" i="19"/>
  <c r="N229" i="19"/>
  <c r="M229" i="19"/>
  <c r="S228" i="19"/>
  <c r="R228" i="19"/>
  <c r="Q228" i="19"/>
  <c r="N228" i="19"/>
  <c r="L228" i="19"/>
  <c r="S227" i="19"/>
  <c r="R227" i="19"/>
  <c r="Q227" i="19"/>
  <c r="O227" i="19"/>
  <c r="N227" i="19"/>
  <c r="M227" i="19"/>
  <c r="L227" i="19"/>
  <c r="S226" i="19"/>
  <c r="Q226" i="19"/>
  <c r="O226" i="19"/>
  <c r="N226" i="19"/>
  <c r="M226" i="19"/>
  <c r="S177" i="19"/>
  <c r="R177" i="19"/>
  <c r="Q177" i="19"/>
  <c r="O177" i="19"/>
  <c r="N177" i="19"/>
  <c r="M177" i="19"/>
  <c r="J177" i="19"/>
  <c r="I177" i="19"/>
  <c r="G177" i="19"/>
  <c r="S176" i="19"/>
  <c r="R176" i="19"/>
  <c r="Q176" i="19"/>
  <c r="O176" i="19"/>
  <c r="N176" i="19"/>
  <c r="M176" i="19"/>
  <c r="K176" i="19"/>
  <c r="J176" i="19"/>
  <c r="I176" i="19"/>
  <c r="G176" i="19"/>
  <c r="S175" i="19"/>
  <c r="R175" i="19"/>
  <c r="Q175" i="19"/>
  <c r="M175" i="19"/>
  <c r="J175" i="19"/>
  <c r="I175" i="19"/>
  <c r="H175" i="19"/>
  <c r="G175" i="19"/>
  <c r="S174" i="19"/>
  <c r="R174" i="19"/>
  <c r="Q174" i="19"/>
  <c r="O174" i="19"/>
  <c r="L174" i="19"/>
  <c r="K174" i="19"/>
  <c r="J174" i="19"/>
  <c r="I174" i="19"/>
  <c r="H174" i="19"/>
  <c r="G174" i="19"/>
  <c r="S173" i="19"/>
  <c r="R173" i="19"/>
  <c r="Q173" i="19"/>
  <c r="O173" i="19"/>
  <c r="N173" i="19"/>
  <c r="M173" i="19"/>
  <c r="L173" i="19"/>
  <c r="K173" i="19"/>
  <c r="J173" i="19"/>
  <c r="I173" i="19"/>
  <c r="H173" i="19"/>
  <c r="G173" i="19"/>
  <c r="S172" i="19"/>
  <c r="R172" i="19"/>
  <c r="Q172" i="19"/>
  <c r="N172" i="19"/>
  <c r="L172" i="19"/>
  <c r="J172" i="19"/>
  <c r="I172" i="19"/>
  <c r="H172" i="19"/>
  <c r="G172" i="19"/>
  <c r="S171" i="19"/>
  <c r="R171" i="19"/>
  <c r="Q171" i="19"/>
  <c r="O171" i="19"/>
  <c r="N171" i="19"/>
  <c r="M171" i="19"/>
  <c r="L171" i="19"/>
  <c r="K171" i="19"/>
  <c r="J171" i="19"/>
  <c r="I171" i="19"/>
  <c r="H171" i="19"/>
  <c r="G171" i="19"/>
  <c r="S170" i="19"/>
  <c r="Q170" i="19"/>
  <c r="O170" i="19"/>
  <c r="N170" i="19"/>
  <c r="M170" i="19"/>
  <c r="J170" i="19"/>
  <c r="I170" i="19"/>
  <c r="H170" i="19"/>
  <c r="G170" i="19"/>
  <c r="S160" i="19"/>
  <c r="R160" i="19"/>
  <c r="P160" i="19"/>
  <c r="S158" i="19"/>
  <c r="R158" i="19"/>
  <c r="Q158" i="19"/>
  <c r="O158" i="19"/>
  <c r="S118" i="19"/>
  <c r="R118" i="19"/>
  <c r="Q118" i="19"/>
  <c r="O118" i="19"/>
  <c r="N118" i="19"/>
  <c r="L118" i="19"/>
  <c r="S116" i="19"/>
  <c r="R116" i="19"/>
  <c r="Q116" i="19"/>
  <c r="O116" i="19"/>
  <c r="L116" i="19"/>
  <c r="M114" i="19"/>
  <c r="R63" i="19"/>
  <c r="Q63" i="19"/>
  <c r="P63" i="19"/>
  <c r="M63" i="19"/>
  <c r="S62" i="19"/>
  <c r="R62" i="19"/>
  <c r="Q62" i="19"/>
  <c r="P62" i="19"/>
  <c r="N62" i="19"/>
  <c r="S61" i="19"/>
  <c r="R61" i="19"/>
  <c r="Q61" i="19"/>
  <c r="P61" i="19"/>
  <c r="N61" i="19"/>
  <c r="M61" i="19"/>
  <c r="S60" i="19"/>
  <c r="R60" i="19"/>
  <c r="Q60" i="19"/>
  <c r="P60" i="19"/>
  <c r="N60" i="19"/>
  <c r="M60" i="19"/>
  <c r="L60" i="19"/>
  <c r="S59" i="19"/>
  <c r="R59" i="19"/>
  <c r="Q59" i="19"/>
  <c r="P59" i="19"/>
  <c r="O59" i="19"/>
  <c r="N59" i="19"/>
  <c r="M59" i="19"/>
  <c r="L59" i="19"/>
  <c r="S58" i="19"/>
  <c r="Q58" i="19"/>
  <c r="P58" i="19"/>
  <c r="O58" i="19"/>
  <c r="M58" i="19"/>
  <c r="S9" i="19"/>
  <c r="R9" i="19"/>
  <c r="Q9" i="19"/>
  <c r="P9" i="19"/>
  <c r="O9" i="19"/>
  <c r="N9" i="19"/>
  <c r="M9" i="19"/>
  <c r="L9" i="19"/>
  <c r="K9" i="19"/>
  <c r="J9" i="19"/>
  <c r="I9" i="19"/>
  <c r="H9" i="19"/>
  <c r="G9" i="19"/>
  <c r="S8" i="19"/>
  <c r="R8" i="19"/>
  <c r="Q8" i="19"/>
  <c r="P8" i="19"/>
  <c r="O8" i="19"/>
  <c r="N8" i="19"/>
  <c r="M8" i="19"/>
  <c r="K8" i="19"/>
  <c r="J8" i="19"/>
  <c r="I8" i="19"/>
  <c r="H8" i="19"/>
  <c r="G8" i="19"/>
  <c r="S7" i="19"/>
  <c r="R7" i="19"/>
  <c r="Q7" i="19"/>
  <c r="P7" i="19"/>
  <c r="N7" i="19"/>
  <c r="M7" i="19"/>
  <c r="K7" i="19"/>
  <c r="J7" i="19"/>
  <c r="I7" i="19"/>
  <c r="H7" i="19"/>
  <c r="G7" i="19"/>
  <c r="S6" i="19"/>
  <c r="R6" i="19"/>
  <c r="Q6" i="19"/>
  <c r="P6" i="19"/>
  <c r="O6" i="19"/>
  <c r="N6" i="19"/>
  <c r="M6" i="19"/>
  <c r="L6" i="19"/>
  <c r="K6" i="19"/>
  <c r="J6" i="19"/>
  <c r="I6" i="19"/>
  <c r="H6" i="19"/>
  <c r="G6" i="19"/>
  <c r="S5" i="19"/>
  <c r="R5" i="19"/>
  <c r="Q5" i="19"/>
  <c r="P5" i="19"/>
  <c r="N5" i="19"/>
  <c r="M5" i="19"/>
  <c r="L5" i="19"/>
  <c r="K5" i="19"/>
  <c r="J5" i="19"/>
  <c r="I5" i="19"/>
  <c r="H5" i="19"/>
  <c r="G5" i="19"/>
  <c r="S4" i="19"/>
  <c r="R4" i="19"/>
  <c r="Q4" i="19"/>
  <c r="P4" i="19"/>
  <c r="O4" i="19"/>
  <c r="N4" i="19"/>
  <c r="L4" i="19"/>
  <c r="J4" i="19"/>
  <c r="I4" i="19"/>
  <c r="H4" i="19"/>
  <c r="G4" i="19"/>
  <c r="S3" i="19"/>
  <c r="R3" i="19"/>
  <c r="Q3" i="19"/>
  <c r="P3" i="19"/>
  <c r="O3" i="19"/>
  <c r="N3" i="19"/>
  <c r="M3" i="19"/>
  <c r="L3" i="19"/>
  <c r="K3" i="19"/>
  <c r="J3" i="19"/>
  <c r="I3" i="19"/>
  <c r="H3" i="19"/>
  <c r="G3" i="19"/>
  <c r="S2" i="19"/>
  <c r="Q2" i="19"/>
  <c r="O2" i="19"/>
  <c r="N2" i="19"/>
  <c r="M2" i="19"/>
  <c r="L2" i="19"/>
  <c r="J2" i="19"/>
  <c r="I2" i="19"/>
  <c r="H2" i="19"/>
  <c r="G2" i="19"/>
  <c r="E69" i="13"/>
  <c r="E67" i="13"/>
  <c r="E65" i="13"/>
  <c r="E63" i="13"/>
  <c r="E17" i="13"/>
  <c r="E19" i="13"/>
  <c r="E20" i="13"/>
  <c r="E21" i="13"/>
  <c r="E22" i="13"/>
  <c r="E23" i="13"/>
  <c r="E24" i="13"/>
  <c r="E25" i="13"/>
  <c r="E26" i="13"/>
  <c r="E27" i="13"/>
  <c r="E18" i="13"/>
  <c r="E13" i="13"/>
  <c r="E11" i="13"/>
  <c r="E9" i="13"/>
  <c r="E7" i="13"/>
  <c r="E3" i="13"/>
  <c r="E5" i="13"/>
  <c r="E8" i="13"/>
  <c r="E10" i="13"/>
  <c r="E12" i="13"/>
  <c r="E4" i="13"/>
  <c r="T109" i="10"/>
  <c r="S109" i="10"/>
  <c r="R109" i="10"/>
  <c r="Q109" i="10"/>
  <c r="P109" i="10"/>
  <c r="O109" i="10"/>
  <c r="N109" i="10"/>
  <c r="M109" i="10"/>
  <c r="L109" i="10"/>
  <c r="K109" i="10"/>
  <c r="J109" i="10"/>
  <c r="H109" i="10"/>
  <c r="T108" i="10"/>
  <c r="S108" i="10"/>
  <c r="R108" i="10"/>
  <c r="Q108" i="10"/>
  <c r="P108" i="10"/>
  <c r="O108" i="10"/>
  <c r="N108" i="10"/>
  <c r="M108" i="10"/>
  <c r="L108" i="10"/>
  <c r="K108" i="10"/>
  <c r="T107" i="10"/>
  <c r="S107" i="10"/>
  <c r="R107" i="10"/>
  <c r="Q107" i="10"/>
  <c r="P107" i="10"/>
  <c r="O107" i="10"/>
  <c r="N107" i="10"/>
  <c r="M107" i="10"/>
  <c r="L107" i="10"/>
  <c r="K107" i="10"/>
  <c r="J107" i="10"/>
  <c r="I107" i="10"/>
  <c r="H107" i="10"/>
  <c r="G107" i="10"/>
  <c r="T106" i="10"/>
  <c r="S106" i="10"/>
  <c r="R106" i="10"/>
  <c r="Q106" i="10"/>
  <c r="P106" i="10"/>
  <c r="O106" i="10"/>
  <c r="N106" i="10"/>
  <c r="M106" i="10"/>
  <c r="L106" i="10"/>
  <c r="K106" i="10"/>
  <c r="J106" i="10"/>
  <c r="I106" i="10"/>
  <c r="H106" i="10"/>
  <c r="G106" i="10"/>
  <c r="T105" i="10"/>
  <c r="S105" i="10"/>
  <c r="R105" i="10"/>
  <c r="Q105" i="10"/>
  <c r="P105" i="10"/>
  <c r="O105" i="10"/>
  <c r="N105" i="10"/>
  <c r="M105" i="10"/>
  <c r="L105" i="10"/>
  <c r="K105" i="10"/>
  <c r="J105" i="10"/>
  <c r="I105" i="10"/>
  <c r="H105" i="10"/>
  <c r="G105" i="10"/>
  <c r="S104" i="10"/>
  <c r="R104" i="10"/>
  <c r="Q104" i="10"/>
  <c r="P104" i="10"/>
  <c r="O104" i="10"/>
  <c r="N104" i="10"/>
  <c r="M104" i="10"/>
  <c r="L104" i="10"/>
  <c r="K104" i="10"/>
  <c r="J104" i="10"/>
  <c r="I104" i="10"/>
  <c r="H104" i="10"/>
  <c r="G104" i="10"/>
  <c r="T103" i="10"/>
  <c r="S103" i="10"/>
  <c r="R103" i="10"/>
  <c r="Q103" i="10"/>
  <c r="P103" i="10"/>
  <c r="O103" i="10"/>
  <c r="N103" i="10"/>
  <c r="M103" i="10"/>
  <c r="L103" i="10"/>
  <c r="K103" i="10"/>
  <c r="J103" i="10"/>
  <c r="I103" i="10"/>
  <c r="H103" i="10"/>
  <c r="G103" i="10"/>
  <c r="S88" i="10"/>
  <c r="S102" i="10"/>
  <c r="R88" i="10"/>
  <c r="R102" i="10"/>
  <c r="Q88" i="10"/>
  <c r="Q102" i="10"/>
  <c r="P88" i="10"/>
  <c r="P102" i="10"/>
  <c r="O88" i="10"/>
  <c r="O102" i="10"/>
  <c r="N88" i="10"/>
  <c r="N102" i="10"/>
  <c r="L102" i="10"/>
  <c r="K102" i="10"/>
  <c r="J102" i="10"/>
  <c r="I102" i="10"/>
  <c r="H102" i="10"/>
  <c r="G102" i="10"/>
  <c r="T101" i="10"/>
  <c r="S101" i="10"/>
  <c r="R101" i="10"/>
  <c r="Q101" i="10"/>
  <c r="P101" i="10"/>
  <c r="O101" i="10"/>
  <c r="N101" i="10"/>
  <c r="M101" i="10"/>
  <c r="L101" i="10"/>
  <c r="K101" i="10"/>
  <c r="J101" i="10"/>
  <c r="I101" i="10"/>
  <c r="H101" i="10"/>
  <c r="G101" i="10"/>
  <c r="T100" i="10"/>
  <c r="S100" i="10"/>
  <c r="R100" i="10"/>
  <c r="Q100" i="10"/>
  <c r="P100" i="10"/>
  <c r="O100" i="10"/>
  <c r="N100" i="10"/>
  <c r="M100" i="10"/>
  <c r="L100" i="10"/>
  <c r="K100" i="10"/>
  <c r="J100" i="10"/>
  <c r="I100" i="10"/>
  <c r="H100" i="10"/>
  <c r="G100" i="10"/>
  <c r="S76" i="10"/>
  <c r="R76" i="10"/>
  <c r="Q76" i="10"/>
  <c r="P76" i="10"/>
  <c r="O76" i="10"/>
  <c r="N76" i="10"/>
  <c r="M76" i="10"/>
  <c r="L76" i="10"/>
  <c r="K76" i="10"/>
  <c r="J76" i="10"/>
  <c r="I76" i="10"/>
  <c r="H76" i="10"/>
  <c r="G76" i="10"/>
  <c r="S75" i="10"/>
  <c r="R75" i="10"/>
  <c r="Q75" i="10"/>
  <c r="P75" i="10"/>
  <c r="O75" i="10"/>
  <c r="N75" i="10"/>
  <c r="M75" i="10"/>
  <c r="L75" i="10"/>
  <c r="K75" i="10"/>
  <c r="J75" i="10"/>
  <c r="I75" i="10"/>
  <c r="H75" i="10"/>
  <c r="G75" i="10"/>
  <c r="S74" i="10"/>
  <c r="R74" i="10"/>
  <c r="Q74" i="10"/>
  <c r="P74" i="10"/>
  <c r="O74" i="10"/>
  <c r="N74" i="10"/>
  <c r="M74" i="10"/>
  <c r="L74" i="10"/>
  <c r="K74" i="10"/>
  <c r="J74" i="10"/>
  <c r="I74" i="10"/>
  <c r="H74" i="10"/>
  <c r="G74" i="10"/>
  <c r="S73" i="10"/>
  <c r="R73" i="10"/>
  <c r="Q73" i="10"/>
  <c r="P73" i="10"/>
  <c r="O73" i="10"/>
  <c r="N73" i="10"/>
  <c r="M73" i="10"/>
  <c r="L73" i="10"/>
  <c r="K73" i="10"/>
  <c r="J73" i="10"/>
  <c r="I73" i="10"/>
  <c r="H73" i="10"/>
  <c r="G73" i="10"/>
  <c r="S72" i="10"/>
  <c r="R72" i="10"/>
  <c r="Q72" i="10"/>
  <c r="P72" i="10"/>
  <c r="O72" i="10"/>
  <c r="N72" i="10"/>
  <c r="M72" i="10"/>
  <c r="L72" i="10"/>
  <c r="K72" i="10"/>
  <c r="J72" i="10"/>
  <c r="I72" i="10"/>
  <c r="H72" i="10"/>
  <c r="G72" i="10"/>
  <c r="S63" i="10"/>
  <c r="R63" i="10"/>
  <c r="Q63" i="10"/>
  <c r="P63" i="10"/>
  <c r="N63" i="10"/>
  <c r="M63" i="10"/>
  <c r="L63" i="10"/>
  <c r="S62" i="10"/>
  <c r="R62" i="10"/>
  <c r="Q62" i="10"/>
  <c r="P62" i="10"/>
  <c r="N62" i="10"/>
  <c r="M62" i="10"/>
  <c r="L62" i="10"/>
  <c r="S61" i="10"/>
  <c r="R61" i="10"/>
  <c r="Q61" i="10"/>
  <c r="P61" i="10"/>
  <c r="N61" i="10"/>
  <c r="M61" i="10"/>
  <c r="L61" i="10"/>
  <c r="S60" i="10"/>
  <c r="R60" i="10"/>
  <c r="Q60" i="10"/>
  <c r="P60" i="10"/>
  <c r="N60" i="10"/>
  <c r="M60" i="10"/>
  <c r="L60" i="10"/>
  <c r="S59" i="10"/>
  <c r="R59" i="10"/>
  <c r="Q59" i="10"/>
  <c r="P59" i="10"/>
  <c r="O59" i="10"/>
  <c r="N59" i="10"/>
  <c r="M59" i="10"/>
  <c r="L59" i="10"/>
  <c r="S58" i="10"/>
  <c r="R58" i="10"/>
  <c r="Q58" i="10"/>
  <c r="P58" i="10"/>
  <c r="O58" i="10"/>
  <c r="N58" i="10"/>
  <c r="M58" i="10"/>
  <c r="L58" i="10"/>
  <c r="U51" i="10"/>
  <c r="S51" i="10"/>
  <c r="R51" i="10"/>
  <c r="Q51" i="10"/>
  <c r="P51" i="10"/>
  <c r="O51" i="10"/>
  <c r="N51" i="10"/>
  <c r="M51" i="10"/>
  <c r="L51" i="10"/>
  <c r="K51" i="10"/>
  <c r="J51" i="10"/>
  <c r="I51" i="10"/>
  <c r="H51" i="10"/>
  <c r="G51" i="10"/>
  <c r="U50" i="10"/>
  <c r="S50" i="10"/>
  <c r="R50" i="10"/>
  <c r="Q50" i="10"/>
  <c r="P50" i="10"/>
  <c r="O50" i="10"/>
  <c r="N50" i="10"/>
  <c r="M50" i="10"/>
  <c r="L50" i="10"/>
  <c r="K50" i="10"/>
  <c r="J50" i="10"/>
  <c r="I50" i="10"/>
  <c r="H50" i="10"/>
  <c r="G50" i="10"/>
  <c r="U49" i="10"/>
  <c r="S49" i="10"/>
  <c r="R49" i="10"/>
  <c r="Q49" i="10"/>
  <c r="P49" i="10"/>
  <c r="O49" i="10"/>
  <c r="N49" i="10"/>
  <c r="M49" i="10"/>
  <c r="L49" i="10"/>
  <c r="K49" i="10"/>
  <c r="J49" i="10"/>
  <c r="I49" i="10"/>
  <c r="H49" i="10"/>
  <c r="G49" i="10"/>
  <c r="U48" i="10"/>
  <c r="S48" i="10"/>
  <c r="R48" i="10"/>
  <c r="Q48" i="10"/>
  <c r="P48" i="10"/>
  <c r="O48" i="10"/>
  <c r="N48" i="10"/>
  <c r="M48" i="10"/>
  <c r="L48" i="10"/>
  <c r="K48" i="10"/>
  <c r="J48" i="10"/>
  <c r="I48" i="10"/>
  <c r="H48" i="10"/>
  <c r="G48" i="10"/>
  <c r="U47" i="10"/>
  <c r="S47" i="10"/>
  <c r="R47" i="10"/>
  <c r="Q47" i="10"/>
  <c r="P47" i="10"/>
  <c r="O47" i="10"/>
  <c r="N47" i="10"/>
  <c r="M47" i="10"/>
  <c r="L47" i="10"/>
  <c r="K47" i="10"/>
  <c r="J47" i="10"/>
  <c r="I47" i="10"/>
  <c r="H47" i="10"/>
  <c r="G47" i="10"/>
  <c r="U46" i="10"/>
  <c r="S46" i="10"/>
  <c r="R46" i="10"/>
  <c r="Q46" i="10"/>
  <c r="P46" i="10"/>
  <c r="O46" i="10"/>
  <c r="N46" i="10"/>
  <c r="M46" i="10"/>
  <c r="L46" i="10"/>
  <c r="K46" i="10"/>
  <c r="J46" i="10"/>
  <c r="I46" i="10"/>
  <c r="H46" i="10"/>
  <c r="G46" i="10"/>
  <c r="U45" i="10"/>
  <c r="S45" i="10"/>
  <c r="R45" i="10"/>
  <c r="Q45" i="10"/>
  <c r="P45" i="10"/>
  <c r="O45" i="10"/>
  <c r="N45" i="10"/>
  <c r="M45" i="10"/>
  <c r="L45" i="10"/>
  <c r="K45" i="10"/>
  <c r="J45" i="10"/>
  <c r="I45" i="10"/>
  <c r="H45" i="10"/>
  <c r="G45" i="10"/>
  <c r="U44" i="10"/>
  <c r="S44" i="10"/>
  <c r="R44" i="10"/>
  <c r="Q44" i="10"/>
  <c r="P44" i="10"/>
  <c r="O44" i="10"/>
  <c r="N44" i="10"/>
  <c r="M44" i="10"/>
  <c r="L44" i="10"/>
  <c r="K44" i="10"/>
  <c r="J44" i="10"/>
  <c r="I44" i="10"/>
  <c r="H44" i="10"/>
  <c r="G44" i="10"/>
  <c r="S34" i="10"/>
  <c r="R34" i="10"/>
  <c r="Q34" i="10"/>
  <c r="P34" i="10"/>
  <c r="O34" i="10"/>
  <c r="N34" i="10"/>
  <c r="M34" i="10"/>
  <c r="L34" i="10"/>
  <c r="K34" i="10"/>
  <c r="J34" i="10"/>
  <c r="I34" i="10"/>
  <c r="H34" i="10"/>
  <c r="G34" i="10"/>
  <c r="S33" i="10"/>
  <c r="R33" i="10"/>
  <c r="Q33" i="10"/>
  <c r="P33" i="10"/>
  <c r="O33" i="10"/>
  <c r="N33" i="10"/>
  <c r="M33" i="10"/>
  <c r="L33" i="10"/>
  <c r="K33" i="10"/>
  <c r="J33" i="10"/>
  <c r="I33" i="10"/>
  <c r="H33" i="10"/>
  <c r="G33" i="10"/>
  <c r="S32" i="10"/>
  <c r="R32" i="10"/>
  <c r="Q32" i="10"/>
  <c r="P32" i="10"/>
  <c r="O32" i="10"/>
  <c r="N32" i="10"/>
  <c r="M32" i="10"/>
  <c r="L32" i="10"/>
  <c r="K32" i="10"/>
  <c r="J32" i="10"/>
  <c r="I32" i="10"/>
  <c r="H32" i="10"/>
  <c r="G32" i="10"/>
  <c r="S31" i="10"/>
  <c r="R31" i="10"/>
  <c r="Q31" i="10"/>
  <c r="P31" i="10"/>
  <c r="O31" i="10"/>
  <c r="N31" i="10"/>
  <c r="M31" i="10"/>
  <c r="L31" i="10"/>
  <c r="K31" i="10"/>
  <c r="J31" i="10"/>
  <c r="I31" i="10"/>
  <c r="H31" i="10"/>
  <c r="G31" i="10"/>
  <c r="S30" i="10"/>
  <c r="R30" i="10"/>
  <c r="Q30" i="10"/>
  <c r="P30" i="10"/>
  <c r="O30" i="10"/>
  <c r="N30" i="10"/>
  <c r="M30" i="10"/>
  <c r="L30" i="10"/>
  <c r="K30" i="10"/>
  <c r="J30" i="10"/>
  <c r="I30" i="10"/>
  <c r="H30" i="10"/>
  <c r="G30" i="10"/>
  <c r="S21" i="10"/>
  <c r="R21" i="10"/>
  <c r="Q21" i="10"/>
  <c r="P21" i="10"/>
  <c r="N21" i="10"/>
  <c r="M21" i="10"/>
  <c r="L21" i="10"/>
  <c r="K21" i="10"/>
  <c r="J21" i="10"/>
  <c r="I21" i="10"/>
  <c r="H21" i="10"/>
  <c r="G21" i="10"/>
  <c r="S20" i="10"/>
  <c r="R20" i="10"/>
  <c r="Q20" i="10"/>
  <c r="P20" i="10"/>
  <c r="N20" i="10"/>
  <c r="M20" i="10"/>
  <c r="L20" i="10"/>
  <c r="K20" i="10"/>
  <c r="J20" i="10"/>
  <c r="I20" i="10"/>
  <c r="H20" i="10"/>
  <c r="G20" i="10"/>
  <c r="S19" i="10"/>
  <c r="R19" i="10"/>
  <c r="Q19" i="10"/>
  <c r="P19" i="10"/>
  <c r="N19" i="10"/>
  <c r="M19" i="10"/>
  <c r="L19" i="10"/>
  <c r="K19" i="10"/>
  <c r="J19" i="10"/>
  <c r="I19" i="10"/>
  <c r="H19" i="10"/>
  <c r="G19" i="10"/>
  <c r="S18" i="10"/>
  <c r="R18" i="10"/>
  <c r="Q18" i="10"/>
  <c r="P18" i="10"/>
  <c r="N18" i="10"/>
  <c r="M18" i="10"/>
  <c r="L18" i="10"/>
  <c r="K18" i="10"/>
  <c r="J18" i="10"/>
  <c r="I18" i="10"/>
  <c r="H18" i="10"/>
  <c r="G18" i="10"/>
  <c r="S17" i="10"/>
  <c r="R17" i="10"/>
  <c r="Q17" i="10"/>
  <c r="P17" i="10"/>
  <c r="O17" i="10"/>
  <c r="N17" i="10"/>
  <c r="M17" i="10"/>
  <c r="L17" i="10"/>
  <c r="K17" i="10"/>
  <c r="J17" i="10"/>
  <c r="I17" i="10"/>
  <c r="H17" i="10"/>
  <c r="G17" i="10"/>
  <c r="S16" i="10"/>
  <c r="R16" i="10"/>
  <c r="Q16" i="10"/>
  <c r="P16" i="10"/>
  <c r="O16" i="10"/>
  <c r="N16" i="10"/>
  <c r="M16" i="10"/>
  <c r="L16" i="10"/>
  <c r="K16" i="10"/>
  <c r="J16" i="10"/>
  <c r="I16" i="10"/>
  <c r="H16" i="10"/>
  <c r="G16" i="10"/>
  <c r="U9" i="10"/>
  <c r="S9" i="10"/>
  <c r="R9" i="10"/>
  <c r="Q9" i="10"/>
  <c r="P9" i="10"/>
  <c r="O9" i="10"/>
  <c r="N9" i="10"/>
  <c r="M9" i="10"/>
  <c r="L9" i="10"/>
  <c r="K9" i="10"/>
  <c r="J9" i="10"/>
  <c r="I9" i="10"/>
  <c r="H9" i="10"/>
  <c r="G9" i="10"/>
  <c r="U8" i="10"/>
  <c r="S8" i="10"/>
  <c r="R8" i="10"/>
  <c r="Q8" i="10"/>
  <c r="P8" i="10"/>
  <c r="O8" i="10"/>
  <c r="N8" i="10"/>
  <c r="M8" i="10"/>
  <c r="L8" i="10"/>
  <c r="K8" i="10"/>
  <c r="J8" i="10"/>
  <c r="I8" i="10"/>
  <c r="H8" i="10"/>
  <c r="G8" i="10"/>
  <c r="U7" i="10"/>
  <c r="S7" i="10"/>
  <c r="R7" i="10"/>
  <c r="Q7" i="10"/>
  <c r="P7" i="10"/>
  <c r="O7" i="10"/>
  <c r="N7" i="10"/>
  <c r="M7" i="10"/>
  <c r="L7" i="10"/>
  <c r="K7" i="10"/>
  <c r="J7" i="10"/>
  <c r="I7" i="10"/>
  <c r="H7" i="10"/>
  <c r="G7" i="10"/>
  <c r="U6" i="10"/>
  <c r="S6" i="10"/>
  <c r="R6" i="10"/>
  <c r="Q6" i="10"/>
  <c r="P6" i="10"/>
  <c r="O6" i="10"/>
  <c r="N6" i="10"/>
  <c r="M6" i="10"/>
  <c r="L6" i="10"/>
  <c r="K6" i="10"/>
  <c r="J6" i="10"/>
  <c r="I6" i="10"/>
  <c r="H6" i="10"/>
  <c r="G6" i="10"/>
  <c r="U5" i="10"/>
  <c r="S5" i="10"/>
  <c r="R5" i="10"/>
  <c r="Q5" i="10"/>
  <c r="P5" i="10"/>
  <c r="O5" i="10"/>
  <c r="N5" i="10"/>
  <c r="M5" i="10"/>
  <c r="L5" i="10"/>
  <c r="K5" i="10"/>
  <c r="J5" i="10"/>
  <c r="I5" i="10"/>
  <c r="H5" i="10"/>
  <c r="G5" i="10"/>
  <c r="U4" i="10"/>
  <c r="S4" i="10"/>
  <c r="R4" i="10"/>
  <c r="Q4" i="10"/>
  <c r="P4" i="10"/>
  <c r="O4" i="10"/>
  <c r="N4" i="10"/>
  <c r="M4" i="10"/>
  <c r="L4" i="10"/>
  <c r="K4" i="10"/>
  <c r="J4" i="10"/>
  <c r="I4" i="10"/>
  <c r="H4" i="10"/>
  <c r="G4" i="10"/>
  <c r="U3" i="10"/>
  <c r="S3" i="10"/>
  <c r="R3" i="10"/>
  <c r="Q3" i="10"/>
  <c r="P3" i="10"/>
  <c r="O3" i="10"/>
  <c r="N3" i="10"/>
  <c r="M3" i="10"/>
  <c r="L3" i="10"/>
  <c r="K3" i="10"/>
  <c r="J3" i="10"/>
  <c r="I3" i="10"/>
  <c r="H3" i="10"/>
  <c r="G3" i="10"/>
  <c r="U2" i="10"/>
  <c r="S2" i="10"/>
  <c r="R2" i="10"/>
  <c r="Q2" i="10"/>
  <c r="P2" i="10"/>
  <c r="O2" i="10"/>
  <c r="N2" i="10"/>
  <c r="M2" i="10"/>
  <c r="L2" i="10"/>
  <c r="K2" i="10"/>
  <c r="J2" i="10"/>
  <c r="I2" i="10"/>
  <c r="H2" i="10"/>
  <c r="G2" i="10"/>
  <c r="E13" i="9"/>
  <c r="E27" i="9"/>
  <c r="E41" i="9"/>
  <c r="E12" i="9"/>
  <c r="E26" i="9"/>
  <c r="E40" i="9"/>
  <c r="E11" i="9"/>
  <c r="E25" i="9"/>
  <c r="E39" i="9"/>
  <c r="E10" i="9"/>
  <c r="E24" i="9"/>
  <c r="E38" i="9"/>
  <c r="E37" i="9"/>
  <c r="E36" i="9"/>
  <c r="E35" i="9"/>
  <c r="E34" i="9"/>
  <c r="E33" i="9"/>
  <c r="E32" i="9"/>
  <c r="E17" i="9"/>
  <c r="E31" i="9"/>
  <c r="E30" i="9"/>
  <c r="S13" i="9"/>
  <c r="S12" i="9"/>
  <c r="E307" i="8"/>
  <c r="E306" i="8"/>
  <c r="E305" i="8"/>
  <c r="E304" i="8"/>
  <c r="E303" i="8"/>
  <c r="E302" i="8"/>
  <c r="E301" i="8"/>
  <c r="E300" i="8"/>
  <c r="E299" i="8"/>
  <c r="E298" i="8"/>
  <c r="E297" i="8"/>
  <c r="E296" i="8"/>
  <c r="E286" i="8"/>
  <c r="E285" i="8"/>
  <c r="E284" i="8"/>
  <c r="E272" i="8"/>
  <c r="E271" i="8"/>
  <c r="E270" i="8"/>
  <c r="E269" i="8"/>
  <c r="E268" i="8"/>
  <c r="E261" i="8"/>
  <c r="E260" i="8"/>
  <c r="E259" i="8"/>
  <c r="E258" i="8"/>
  <c r="E257" i="8"/>
  <c r="E256" i="8"/>
  <c r="E255" i="8"/>
  <c r="E254" i="8"/>
  <c r="E244" i="8"/>
  <c r="E242" i="8"/>
  <c r="E230" i="8"/>
  <c r="E229" i="8"/>
  <c r="E228" i="8"/>
  <c r="E227" i="8"/>
  <c r="E226" i="8"/>
  <c r="E219" i="8"/>
  <c r="E218" i="8"/>
  <c r="E217" i="8"/>
  <c r="E216" i="8"/>
  <c r="E215" i="8"/>
  <c r="E214" i="8"/>
  <c r="E213" i="8"/>
  <c r="E212" i="8"/>
  <c r="E146" i="8"/>
  <c r="E144" i="8"/>
  <c r="E133" i="8"/>
  <c r="E132" i="8"/>
  <c r="E131" i="8"/>
  <c r="E130" i="8"/>
  <c r="E129" i="8"/>
  <c r="E128" i="8"/>
  <c r="E121" i="8"/>
  <c r="E120" i="8"/>
  <c r="E119" i="8"/>
  <c r="E118" i="8"/>
  <c r="E117" i="8"/>
  <c r="E116" i="8"/>
  <c r="E115" i="8"/>
  <c r="E114" i="8"/>
  <c r="E104" i="8"/>
  <c r="E102" i="8"/>
  <c r="E101" i="8"/>
  <c r="E100" i="8"/>
  <c r="E91" i="8"/>
  <c r="E90" i="8"/>
  <c r="E89" i="8"/>
  <c r="E88" i="8"/>
  <c r="E87" i="8"/>
  <c r="E86" i="8"/>
  <c r="E79" i="8"/>
  <c r="E78" i="8"/>
  <c r="E77" i="8"/>
  <c r="E76" i="8"/>
  <c r="E75" i="8"/>
  <c r="E74" i="8"/>
  <c r="E73" i="8"/>
  <c r="E72" i="8"/>
  <c r="U35" i="7"/>
  <c r="E16" i="7"/>
  <c r="F16" i="7"/>
  <c r="G16" i="7"/>
  <c r="H16" i="7"/>
  <c r="I16" i="7"/>
  <c r="J16" i="7"/>
  <c r="K16" i="7"/>
  <c r="L16" i="7"/>
  <c r="M16" i="7"/>
  <c r="N16" i="7"/>
  <c r="O16" i="7"/>
  <c r="P16" i="7"/>
  <c r="Q16" i="7"/>
  <c r="R16" i="7"/>
  <c r="S16" i="7"/>
  <c r="T16" i="7"/>
  <c r="U16" i="7"/>
  <c r="F18" i="7"/>
  <c r="G18" i="7"/>
  <c r="H18" i="7"/>
  <c r="I18" i="7"/>
  <c r="K18" i="7"/>
  <c r="C83" i="13"/>
  <c r="C82" i="13"/>
  <c r="C81" i="13"/>
  <c r="C80" i="13"/>
  <c r="C79" i="13"/>
  <c r="C78" i="13"/>
  <c r="C77" i="13"/>
  <c r="C76" i="13"/>
  <c r="C75" i="13"/>
  <c r="C74" i="13"/>
  <c r="C73" i="13"/>
  <c r="C72" i="13"/>
  <c r="C69" i="13"/>
  <c r="C68" i="13"/>
  <c r="C67" i="13"/>
  <c r="C66" i="13"/>
  <c r="C65" i="13"/>
  <c r="C64" i="13"/>
  <c r="C63" i="13"/>
  <c r="C62" i="13"/>
  <c r="C61" i="13"/>
  <c r="C60" i="13"/>
  <c r="C59" i="13"/>
  <c r="C58" i="13"/>
  <c r="A83" i="13"/>
  <c r="A82" i="13"/>
  <c r="A81" i="13"/>
  <c r="A80" i="13"/>
  <c r="A79" i="13"/>
  <c r="A78" i="13"/>
  <c r="A77" i="13"/>
  <c r="A76" i="13"/>
  <c r="A75" i="13"/>
  <c r="A74" i="13"/>
  <c r="A73" i="13"/>
  <c r="A72" i="13"/>
  <c r="A69" i="13"/>
  <c r="A68" i="13"/>
  <c r="A67" i="13"/>
  <c r="A66" i="13"/>
  <c r="A65" i="13"/>
  <c r="A64" i="13"/>
  <c r="A63" i="13"/>
  <c r="A62" i="13"/>
  <c r="A61" i="13"/>
  <c r="A60" i="13"/>
  <c r="A59" i="13"/>
  <c r="A58" i="13"/>
  <c r="A335" i="19"/>
  <c r="A334" i="19"/>
  <c r="A333" i="19"/>
  <c r="A332" i="19"/>
  <c r="A331" i="19"/>
  <c r="A330" i="19"/>
  <c r="A329" i="19"/>
  <c r="A328" i="19"/>
  <c r="A327" i="19"/>
  <c r="A326" i="19"/>
  <c r="A325" i="19"/>
  <c r="A324" i="19"/>
  <c r="A321" i="19"/>
  <c r="A320" i="19"/>
  <c r="A319" i="19"/>
  <c r="A318" i="19"/>
  <c r="A317" i="19"/>
  <c r="A316" i="19"/>
  <c r="A315" i="19"/>
  <c r="A314" i="19"/>
  <c r="A313" i="19"/>
  <c r="A312" i="19"/>
  <c r="A311" i="19"/>
  <c r="A310" i="19"/>
  <c r="A307" i="19"/>
  <c r="A306" i="19"/>
  <c r="A305" i="19"/>
  <c r="A304" i="19"/>
  <c r="A303" i="19"/>
  <c r="A302" i="19"/>
  <c r="A301" i="19"/>
  <c r="A300" i="19"/>
  <c r="A299" i="19"/>
  <c r="A298" i="19"/>
  <c r="A297" i="19"/>
  <c r="A296" i="19"/>
  <c r="A293" i="19"/>
  <c r="A292" i="19"/>
  <c r="A291" i="19"/>
  <c r="A290" i="19"/>
  <c r="A289" i="19"/>
  <c r="A288" i="19"/>
  <c r="A287" i="19"/>
  <c r="A286" i="19"/>
  <c r="A285" i="19"/>
  <c r="A284" i="19"/>
  <c r="A283" i="19"/>
  <c r="A282" i="19"/>
  <c r="A279" i="19"/>
  <c r="A278" i="19"/>
  <c r="A277" i="19"/>
  <c r="A276" i="19"/>
  <c r="A275" i="19"/>
  <c r="A274" i="19"/>
  <c r="A273" i="19"/>
  <c r="A272" i="19"/>
  <c r="A271" i="19"/>
  <c r="A270" i="19"/>
  <c r="A269" i="19"/>
  <c r="A268" i="19"/>
  <c r="A265" i="19"/>
  <c r="A264" i="19"/>
  <c r="A263" i="19"/>
  <c r="A262" i="19"/>
  <c r="A261" i="19"/>
  <c r="A260" i="19"/>
  <c r="A259" i="19"/>
  <c r="A258" i="19"/>
  <c r="A257" i="19"/>
  <c r="A256" i="19"/>
  <c r="A255" i="19"/>
  <c r="A254" i="19"/>
  <c r="A251" i="19"/>
  <c r="A250" i="19"/>
  <c r="A249" i="19"/>
  <c r="A248" i="19"/>
  <c r="A247" i="19"/>
  <c r="A246" i="19"/>
  <c r="A245" i="19"/>
  <c r="A244" i="19"/>
  <c r="A243" i="19"/>
  <c r="A242" i="19"/>
  <c r="A241" i="19"/>
  <c r="A240" i="19"/>
  <c r="A237" i="19"/>
  <c r="A236" i="19"/>
  <c r="A235" i="19"/>
  <c r="A234" i="19"/>
  <c r="A233" i="19"/>
  <c r="A232" i="19"/>
  <c r="A231" i="19"/>
  <c r="A230" i="19"/>
  <c r="A229" i="19"/>
  <c r="A228" i="19"/>
  <c r="A227" i="19"/>
  <c r="A226" i="19"/>
  <c r="A223" i="19"/>
  <c r="A222" i="19"/>
  <c r="A221" i="19"/>
  <c r="A220" i="19"/>
  <c r="A219" i="19"/>
  <c r="A218" i="19"/>
  <c r="A217" i="19"/>
  <c r="A216" i="19"/>
  <c r="A215" i="19"/>
  <c r="A214" i="19"/>
  <c r="A213" i="19"/>
  <c r="A212" i="19"/>
  <c r="A209" i="19"/>
  <c r="A208" i="19"/>
  <c r="A207" i="19"/>
  <c r="A206" i="19"/>
  <c r="A205" i="19"/>
  <c r="A204" i="19"/>
  <c r="A203" i="19"/>
  <c r="A202" i="19"/>
  <c r="A201" i="19"/>
  <c r="A200" i="19"/>
  <c r="A199" i="19"/>
  <c r="A198" i="19"/>
  <c r="A195" i="19"/>
  <c r="A194" i="19"/>
  <c r="A193" i="19"/>
  <c r="A192" i="19"/>
  <c r="A191" i="19"/>
  <c r="A190" i="19"/>
  <c r="A189" i="19"/>
  <c r="A188" i="19"/>
  <c r="A187" i="19"/>
  <c r="A186" i="19"/>
  <c r="A185" i="19"/>
  <c r="A184" i="19"/>
  <c r="A181" i="19"/>
  <c r="A180" i="19"/>
  <c r="A179" i="19"/>
  <c r="A178" i="19"/>
  <c r="A177" i="19"/>
  <c r="A176" i="19"/>
  <c r="A175" i="19"/>
  <c r="A174" i="19"/>
  <c r="A173" i="19"/>
  <c r="A172" i="19"/>
  <c r="A171" i="19"/>
  <c r="A170" i="19"/>
  <c r="A167" i="19"/>
  <c r="A166" i="19"/>
  <c r="A165" i="19"/>
  <c r="A164" i="19"/>
  <c r="A163" i="19"/>
  <c r="A162" i="19"/>
  <c r="A161" i="19"/>
  <c r="A160" i="19"/>
  <c r="A159" i="19"/>
  <c r="A158" i="19"/>
  <c r="A157" i="19"/>
  <c r="A156" i="19"/>
  <c r="A153" i="19"/>
  <c r="A152" i="19"/>
  <c r="A151" i="19"/>
  <c r="A150" i="19"/>
  <c r="A149" i="19"/>
  <c r="A148" i="19"/>
  <c r="A147" i="19"/>
  <c r="A146" i="19"/>
  <c r="A145" i="19"/>
  <c r="A144" i="19"/>
  <c r="A143" i="19"/>
  <c r="A142" i="19"/>
  <c r="A139" i="19"/>
  <c r="A138" i="19"/>
  <c r="A137" i="19"/>
  <c r="A136" i="19"/>
  <c r="A135" i="19"/>
  <c r="A134" i="19"/>
  <c r="A133" i="19"/>
  <c r="A132" i="19"/>
  <c r="A131" i="19"/>
  <c r="A130" i="19"/>
  <c r="A129" i="19"/>
  <c r="A128" i="19"/>
  <c r="A125" i="19"/>
  <c r="A124" i="19"/>
  <c r="A123" i="19"/>
  <c r="A122" i="19"/>
  <c r="A121" i="19"/>
  <c r="A120" i="19"/>
  <c r="A119" i="19"/>
  <c r="A118" i="19"/>
  <c r="A117" i="19"/>
  <c r="A116" i="19"/>
  <c r="A115" i="19"/>
  <c r="A114" i="19"/>
  <c r="A111" i="19"/>
  <c r="A110" i="19"/>
  <c r="A109" i="19"/>
  <c r="A108" i="19"/>
  <c r="A107" i="19"/>
  <c r="A106" i="19"/>
  <c r="A105" i="19"/>
  <c r="A104" i="19"/>
  <c r="A103" i="19"/>
  <c r="A102" i="19"/>
  <c r="A101" i="19"/>
  <c r="A100" i="19"/>
  <c r="A97" i="19"/>
  <c r="A96" i="19"/>
  <c r="A95" i="19"/>
  <c r="A94" i="19"/>
  <c r="A93" i="19"/>
  <c r="A92" i="19"/>
  <c r="A91" i="19"/>
  <c r="A90" i="19"/>
  <c r="A89" i="19"/>
  <c r="A88" i="19"/>
  <c r="A87" i="19"/>
  <c r="A86" i="19"/>
  <c r="A83" i="19"/>
  <c r="A82" i="19"/>
  <c r="A81" i="19"/>
  <c r="A80" i="19"/>
  <c r="A79" i="19"/>
  <c r="A78" i="19"/>
  <c r="A77" i="19"/>
  <c r="A76" i="19"/>
  <c r="A75" i="19"/>
  <c r="A74" i="19"/>
  <c r="A73" i="19"/>
  <c r="A72" i="19"/>
  <c r="A69" i="19"/>
  <c r="A68" i="19"/>
  <c r="A67" i="19"/>
  <c r="A66" i="19"/>
  <c r="A65" i="19"/>
  <c r="A64" i="19"/>
  <c r="A63" i="19"/>
  <c r="A62" i="19"/>
  <c r="A61" i="19"/>
  <c r="A60" i="19"/>
  <c r="A59" i="19"/>
  <c r="A58" i="19"/>
  <c r="A55" i="19"/>
  <c r="A54" i="19"/>
  <c r="A53" i="19"/>
  <c r="A52" i="19"/>
  <c r="A51" i="19"/>
  <c r="A50" i="19"/>
  <c r="A49" i="19"/>
  <c r="A48" i="19"/>
  <c r="A47" i="19"/>
  <c r="A46" i="19"/>
  <c r="A45" i="19"/>
  <c r="A44" i="19"/>
  <c r="A41" i="19"/>
  <c r="A40" i="19"/>
  <c r="A39" i="19"/>
  <c r="A38" i="19"/>
  <c r="A37" i="19"/>
  <c r="A36" i="19"/>
  <c r="A35" i="19"/>
  <c r="A34" i="19"/>
  <c r="A33" i="19"/>
  <c r="A32" i="19"/>
  <c r="A31" i="19"/>
  <c r="A30" i="19"/>
  <c r="A27" i="19"/>
  <c r="A26" i="19"/>
  <c r="A25" i="19"/>
  <c r="A24" i="19"/>
  <c r="A23" i="19"/>
  <c r="A22" i="19"/>
  <c r="A21" i="19"/>
  <c r="A20" i="19"/>
  <c r="A19" i="19"/>
  <c r="A18" i="19"/>
  <c r="A17" i="19"/>
  <c r="A16" i="19"/>
  <c r="A13" i="19"/>
  <c r="A12" i="19"/>
  <c r="A11" i="19"/>
  <c r="A10" i="19"/>
  <c r="A9" i="19"/>
  <c r="A8" i="19"/>
  <c r="A7" i="19"/>
  <c r="A6" i="19"/>
  <c r="A5" i="19"/>
  <c r="A4" i="19"/>
  <c r="A3" i="19"/>
  <c r="A2" i="19"/>
  <c r="U49" i="7"/>
  <c r="A55" i="7"/>
  <c r="A54" i="7"/>
  <c r="A53" i="7"/>
  <c r="A52" i="7"/>
  <c r="A51" i="7"/>
  <c r="A50" i="7"/>
  <c r="A49" i="7"/>
  <c r="A48" i="7"/>
  <c r="A47" i="7"/>
  <c r="A46" i="7"/>
  <c r="A45" i="7"/>
  <c r="A44" i="7"/>
  <c r="A41" i="7"/>
  <c r="A40" i="7"/>
  <c r="A39" i="7"/>
  <c r="A38" i="7"/>
  <c r="A37" i="7"/>
  <c r="A36" i="7"/>
  <c r="A35" i="7"/>
  <c r="A34" i="7"/>
  <c r="A33" i="7"/>
  <c r="A32" i="7"/>
  <c r="A31" i="7"/>
  <c r="A30" i="7"/>
  <c r="C55" i="7"/>
  <c r="C54" i="7"/>
  <c r="C53" i="7"/>
  <c r="C52" i="7"/>
  <c r="C51" i="7"/>
  <c r="C50" i="7"/>
  <c r="C49" i="7"/>
  <c r="C48" i="7"/>
  <c r="C47" i="7"/>
  <c r="C46" i="7"/>
  <c r="C45" i="7"/>
  <c r="C44" i="7"/>
  <c r="C41" i="7"/>
  <c r="C40" i="7"/>
  <c r="C39" i="7"/>
  <c r="C38" i="7"/>
  <c r="C37" i="7"/>
  <c r="C36" i="7"/>
  <c r="C35" i="7"/>
  <c r="C34" i="7"/>
  <c r="C33" i="7"/>
  <c r="C32" i="7"/>
  <c r="C31" i="7"/>
  <c r="C30" i="7"/>
  <c r="C335" i="19"/>
  <c r="C334" i="19"/>
  <c r="C333" i="19"/>
  <c r="C332" i="19"/>
  <c r="C331" i="19"/>
  <c r="C330" i="19"/>
  <c r="C329" i="19"/>
  <c r="C328" i="19"/>
  <c r="C327" i="19"/>
  <c r="C326" i="19"/>
  <c r="C325" i="19"/>
  <c r="C324" i="19"/>
  <c r="C321" i="19"/>
  <c r="C320" i="19"/>
  <c r="C319" i="19"/>
  <c r="C318" i="19"/>
  <c r="C317" i="19"/>
  <c r="C316" i="19"/>
  <c r="C315" i="19"/>
  <c r="C314" i="19"/>
  <c r="C313" i="19"/>
  <c r="C312" i="19"/>
  <c r="C311" i="19"/>
  <c r="C310" i="19"/>
  <c r="C307" i="19"/>
  <c r="C306" i="19"/>
  <c r="C305" i="19"/>
  <c r="C304" i="19"/>
  <c r="C303" i="19"/>
  <c r="C302" i="19"/>
  <c r="C301" i="19"/>
  <c r="C300" i="19"/>
  <c r="C299" i="19"/>
  <c r="C298" i="19"/>
  <c r="C297" i="19"/>
  <c r="C296" i="19"/>
  <c r="C293" i="19"/>
  <c r="C292" i="19"/>
  <c r="C291" i="19"/>
  <c r="C290" i="19"/>
  <c r="C289" i="19"/>
  <c r="C288" i="19"/>
  <c r="C287" i="19"/>
  <c r="C286" i="19"/>
  <c r="C285" i="19"/>
  <c r="C284" i="19"/>
  <c r="C283" i="19"/>
  <c r="C282" i="19"/>
  <c r="C279" i="19"/>
  <c r="C278" i="19"/>
  <c r="C277" i="19"/>
  <c r="C276" i="19"/>
  <c r="C275" i="19"/>
  <c r="C274" i="19"/>
  <c r="C273" i="19"/>
  <c r="C272" i="19"/>
  <c r="C271" i="19"/>
  <c r="C270" i="19"/>
  <c r="C269" i="19"/>
  <c r="C268" i="19"/>
  <c r="C265" i="19"/>
  <c r="C264" i="19"/>
  <c r="C263" i="19"/>
  <c r="C262" i="19"/>
  <c r="C261" i="19"/>
  <c r="C260" i="19"/>
  <c r="C259" i="19"/>
  <c r="C258" i="19"/>
  <c r="C257" i="19"/>
  <c r="C256" i="19"/>
  <c r="C255" i="19"/>
  <c r="C254" i="19"/>
  <c r="C251" i="19"/>
  <c r="C250" i="19"/>
  <c r="C249" i="19"/>
  <c r="C248" i="19"/>
  <c r="C247" i="19"/>
  <c r="C246" i="19"/>
  <c r="C245" i="19"/>
  <c r="C244" i="19"/>
  <c r="C243" i="19"/>
  <c r="C242" i="19"/>
  <c r="C241" i="19"/>
  <c r="C240" i="19"/>
  <c r="C237" i="19"/>
  <c r="C236" i="19"/>
  <c r="C235" i="19"/>
  <c r="C234" i="19"/>
  <c r="C233" i="19"/>
  <c r="C232" i="19"/>
  <c r="C231" i="19"/>
  <c r="C230" i="19"/>
  <c r="C229" i="19"/>
  <c r="C228" i="19"/>
  <c r="C227" i="19"/>
  <c r="C226" i="19"/>
  <c r="C223" i="19"/>
  <c r="C222" i="19"/>
  <c r="C221" i="19"/>
  <c r="C220" i="19"/>
  <c r="C219" i="19"/>
  <c r="C218" i="19"/>
  <c r="C217" i="19"/>
  <c r="C216" i="19"/>
  <c r="C215" i="19"/>
  <c r="C214" i="19"/>
  <c r="C213" i="19"/>
  <c r="C212" i="19"/>
  <c r="C209" i="19"/>
  <c r="C208" i="19"/>
  <c r="C207" i="19"/>
  <c r="C206" i="19"/>
  <c r="C205" i="19"/>
  <c r="C204" i="19"/>
  <c r="C203" i="19"/>
  <c r="C202" i="19"/>
  <c r="C201" i="19"/>
  <c r="C200" i="19"/>
  <c r="C199" i="19"/>
  <c r="C198" i="19"/>
  <c r="C195" i="19"/>
  <c r="C194" i="19"/>
  <c r="C193" i="19"/>
  <c r="C192" i="19"/>
  <c r="C191" i="19"/>
  <c r="C190" i="19"/>
  <c r="C189" i="19"/>
  <c r="C188" i="19"/>
  <c r="C187" i="19"/>
  <c r="C186" i="19"/>
  <c r="C185" i="19"/>
  <c r="C184" i="19"/>
  <c r="C181" i="19"/>
  <c r="C180" i="19"/>
  <c r="C179" i="19"/>
  <c r="C178" i="19"/>
  <c r="C177" i="19"/>
  <c r="C176" i="19"/>
  <c r="C175" i="19"/>
  <c r="C174" i="19"/>
  <c r="C173" i="19"/>
  <c r="C172" i="19"/>
  <c r="C171" i="19"/>
  <c r="C170" i="19"/>
  <c r="C167" i="19"/>
  <c r="C166" i="19"/>
  <c r="C165" i="19"/>
  <c r="C164" i="19"/>
  <c r="C163" i="19"/>
  <c r="C162" i="19"/>
  <c r="C161" i="19"/>
  <c r="C160" i="19"/>
  <c r="C159" i="19"/>
  <c r="C158" i="19"/>
  <c r="C157" i="19"/>
  <c r="C156" i="19"/>
  <c r="C153" i="19"/>
  <c r="C152" i="19"/>
  <c r="C151" i="19"/>
  <c r="C150" i="19"/>
  <c r="C149" i="19"/>
  <c r="C148" i="19"/>
  <c r="C147" i="19"/>
  <c r="C146" i="19"/>
  <c r="C145" i="19"/>
  <c r="C144" i="19"/>
  <c r="C143" i="19"/>
  <c r="C142" i="19"/>
  <c r="C139" i="19"/>
  <c r="C138" i="19"/>
  <c r="C137" i="19"/>
  <c r="C136" i="19"/>
  <c r="C135" i="19"/>
  <c r="C134" i="19"/>
  <c r="C133" i="19"/>
  <c r="C132" i="19"/>
  <c r="C131" i="19"/>
  <c r="C130" i="19"/>
  <c r="C129" i="19"/>
  <c r="C128" i="19"/>
  <c r="C125" i="19"/>
  <c r="C124" i="19"/>
  <c r="C123" i="19"/>
  <c r="C122" i="19"/>
  <c r="C121" i="19"/>
  <c r="C120" i="19"/>
  <c r="C119" i="19"/>
  <c r="C118" i="19"/>
  <c r="C117" i="19"/>
  <c r="C116" i="19"/>
  <c r="C115" i="19"/>
  <c r="C114" i="19"/>
  <c r="C111" i="19"/>
  <c r="C110" i="19"/>
  <c r="C109" i="19"/>
  <c r="C108" i="19"/>
  <c r="C107" i="19"/>
  <c r="C106" i="19"/>
  <c r="C105" i="19"/>
  <c r="C104" i="19"/>
  <c r="C103" i="19"/>
  <c r="C102" i="19"/>
  <c r="C101" i="19"/>
  <c r="C100" i="19"/>
  <c r="C97" i="19"/>
  <c r="C96" i="19"/>
  <c r="C95" i="19"/>
  <c r="C94" i="19"/>
  <c r="C93" i="19"/>
  <c r="C92" i="19"/>
  <c r="C91" i="19"/>
  <c r="C90" i="19"/>
  <c r="C89" i="19"/>
  <c r="C88" i="19"/>
  <c r="C87" i="19"/>
  <c r="C86" i="19"/>
  <c r="C83" i="19"/>
  <c r="C82" i="19"/>
  <c r="C81" i="19"/>
  <c r="C80" i="19"/>
  <c r="C79" i="19"/>
  <c r="C78" i="19"/>
  <c r="C77" i="19"/>
  <c r="C76" i="19"/>
  <c r="C75" i="19"/>
  <c r="C74" i="19"/>
  <c r="C73" i="19"/>
  <c r="C72" i="19"/>
  <c r="C69" i="19"/>
  <c r="C68" i="19"/>
  <c r="C67" i="19"/>
  <c r="C66" i="19"/>
  <c r="C65" i="19"/>
  <c r="C64" i="19"/>
  <c r="C63" i="19"/>
  <c r="C62" i="19"/>
  <c r="C61" i="19"/>
  <c r="C60" i="19"/>
  <c r="C59" i="19"/>
  <c r="C58" i="19"/>
  <c r="C55" i="19"/>
  <c r="C54" i="19"/>
  <c r="C53" i="19"/>
  <c r="C52" i="19"/>
  <c r="C51" i="19"/>
  <c r="C50" i="19"/>
  <c r="C49" i="19"/>
  <c r="C48" i="19"/>
  <c r="C47" i="19"/>
  <c r="C46" i="19"/>
  <c r="C45" i="19"/>
  <c r="C44" i="19"/>
  <c r="C41" i="19"/>
  <c r="C40" i="19"/>
  <c r="C39" i="19"/>
  <c r="C38" i="19"/>
  <c r="C37" i="19"/>
  <c r="C36" i="19"/>
  <c r="C35" i="19"/>
  <c r="C34" i="19"/>
  <c r="C33" i="19"/>
  <c r="C32" i="19"/>
  <c r="C31" i="19"/>
  <c r="C30" i="19"/>
  <c r="C27" i="19"/>
  <c r="C26" i="19"/>
  <c r="C25" i="19"/>
  <c r="C24" i="19"/>
  <c r="C23" i="19"/>
  <c r="C22" i="19"/>
  <c r="C21" i="19"/>
  <c r="C20" i="19"/>
  <c r="C19" i="19"/>
  <c r="C18" i="19"/>
  <c r="C17" i="19"/>
  <c r="C16" i="19"/>
  <c r="C13" i="19"/>
  <c r="C12" i="19"/>
  <c r="C11" i="19"/>
  <c r="C10" i="19"/>
  <c r="C9" i="19"/>
  <c r="C8" i="19"/>
  <c r="C7" i="19"/>
  <c r="C6" i="19"/>
  <c r="C5" i="19"/>
  <c r="C4" i="19"/>
  <c r="C3" i="19"/>
  <c r="C2" i="19"/>
  <c r="C3" i="13"/>
  <c r="C10" i="13"/>
  <c r="C24" i="13"/>
  <c r="C13" i="13"/>
  <c r="C27" i="13"/>
  <c r="C2" i="13"/>
  <c r="C16" i="13"/>
  <c r="E48" i="13"/>
  <c r="C48" i="13"/>
  <c r="E35" i="13"/>
  <c r="E49" i="13"/>
  <c r="C49" i="13"/>
  <c r="E37" i="13"/>
  <c r="C37" i="13"/>
  <c r="E39" i="13"/>
  <c r="C39" i="13"/>
  <c r="E41" i="13"/>
  <c r="C41" i="13"/>
  <c r="A373" i="4"/>
  <c r="E373" i="4"/>
  <c r="T395" i="4"/>
  <c r="U382" i="4"/>
  <c r="T382" i="4"/>
  <c r="V351" i="4"/>
  <c r="U351" i="4"/>
  <c r="T351" i="4"/>
  <c r="S351" i="4"/>
  <c r="R351" i="4"/>
  <c r="Q351" i="4"/>
  <c r="P351" i="4"/>
  <c r="O351" i="4"/>
  <c r="N351" i="4"/>
  <c r="M351" i="4"/>
  <c r="L351" i="4"/>
  <c r="K351" i="4"/>
  <c r="J351" i="4"/>
  <c r="I351" i="4"/>
  <c r="H351" i="4"/>
  <c r="G351" i="4"/>
  <c r="O301" i="4"/>
  <c r="Q301" i="4"/>
  <c r="U297" i="4"/>
  <c r="T297" i="4"/>
  <c r="S297" i="4"/>
  <c r="R297" i="4"/>
  <c r="Q297" i="4"/>
  <c r="P297" i="4"/>
  <c r="O297" i="4"/>
  <c r="N297" i="4"/>
  <c r="M297" i="4"/>
  <c r="L297" i="4"/>
  <c r="K297" i="4"/>
  <c r="J297" i="4"/>
  <c r="I297" i="4"/>
  <c r="H297" i="4"/>
  <c r="G297" i="4"/>
  <c r="A351" i="4"/>
  <c r="C62" i="7"/>
  <c r="C34" i="13"/>
  <c r="A55" i="13"/>
  <c r="A54" i="13"/>
  <c r="A53" i="13"/>
  <c r="A52" i="13"/>
  <c r="A51" i="13"/>
  <c r="A50" i="13"/>
  <c r="A49" i="13"/>
  <c r="A48" i="13"/>
  <c r="A47" i="13"/>
  <c r="A46" i="13"/>
  <c r="A45" i="13"/>
  <c r="A44" i="13"/>
  <c r="A41" i="13"/>
  <c r="A40" i="13"/>
  <c r="A39" i="13"/>
  <c r="A38" i="13"/>
  <c r="A37" i="13"/>
  <c r="A36" i="13"/>
  <c r="A35" i="13"/>
  <c r="A34" i="13"/>
  <c r="A33" i="13"/>
  <c r="A32" i="13"/>
  <c r="A31" i="13"/>
  <c r="A30" i="13"/>
  <c r="A27" i="13"/>
  <c r="A26" i="13"/>
  <c r="A25" i="13"/>
  <c r="A24" i="13"/>
  <c r="A23" i="13"/>
  <c r="A22" i="13"/>
  <c r="A21" i="13"/>
  <c r="A20" i="13"/>
  <c r="A19" i="13"/>
  <c r="A18" i="13"/>
  <c r="A17" i="13"/>
  <c r="A16" i="13"/>
  <c r="A13" i="13"/>
  <c r="A12" i="13"/>
  <c r="A11" i="13"/>
  <c r="A10" i="13"/>
  <c r="A9" i="13"/>
  <c r="A8" i="13"/>
  <c r="A7" i="13"/>
  <c r="A6" i="13"/>
  <c r="A5" i="13"/>
  <c r="A4" i="13"/>
  <c r="A3" i="13"/>
  <c r="A2" i="13"/>
  <c r="C58" i="7"/>
  <c r="A69" i="7"/>
  <c r="A68" i="7"/>
  <c r="A67" i="7"/>
  <c r="A66" i="7"/>
  <c r="A64" i="7"/>
  <c r="A63" i="7"/>
  <c r="A62" i="7"/>
  <c r="A61" i="7"/>
  <c r="A60" i="7"/>
  <c r="A59" i="7"/>
  <c r="A58" i="7"/>
  <c r="C69" i="7"/>
  <c r="C68" i="7"/>
  <c r="C67" i="7"/>
  <c r="C66" i="7"/>
  <c r="C65" i="7"/>
  <c r="C64" i="7"/>
  <c r="C63" i="7"/>
  <c r="C61" i="7"/>
  <c r="C60" i="7"/>
  <c r="C59" i="7"/>
  <c r="C97" i="11"/>
  <c r="A97" i="11"/>
  <c r="C96" i="11"/>
  <c r="A96" i="11"/>
  <c r="C95" i="11"/>
  <c r="A95" i="11"/>
  <c r="C94" i="11"/>
  <c r="A94" i="11"/>
  <c r="C93" i="11"/>
  <c r="A93" i="11"/>
  <c r="C92" i="11"/>
  <c r="A92" i="11"/>
  <c r="C91" i="11"/>
  <c r="A91" i="11"/>
  <c r="C90" i="11"/>
  <c r="A90" i="11"/>
  <c r="C89" i="11"/>
  <c r="A89" i="11"/>
  <c r="C88" i="11"/>
  <c r="A88" i="11"/>
  <c r="C87" i="11"/>
  <c r="A87" i="11"/>
  <c r="C86" i="11"/>
  <c r="A86" i="11"/>
  <c r="A2" i="8"/>
  <c r="C2" i="8"/>
  <c r="A3" i="8"/>
  <c r="C3" i="8"/>
  <c r="A4" i="8"/>
  <c r="C4" i="8"/>
  <c r="A5" i="8"/>
  <c r="C5" i="8"/>
  <c r="A6" i="8"/>
  <c r="C6" i="8"/>
  <c r="A7" i="8"/>
  <c r="C7" i="8"/>
  <c r="C8" i="8"/>
  <c r="A9" i="8"/>
  <c r="C9" i="8"/>
  <c r="A10" i="8"/>
  <c r="C10" i="8"/>
  <c r="A11" i="8"/>
  <c r="C11" i="8"/>
  <c r="A12" i="8"/>
  <c r="C12" i="8"/>
  <c r="A13" i="8"/>
  <c r="C13" i="8"/>
  <c r="A16" i="8"/>
  <c r="C16" i="8"/>
  <c r="A17" i="8"/>
  <c r="C17" i="8"/>
  <c r="A18" i="8"/>
  <c r="C18" i="8"/>
  <c r="A19" i="8"/>
  <c r="C19" i="8"/>
  <c r="A20" i="8"/>
  <c r="C20" i="8"/>
  <c r="A21" i="8"/>
  <c r="C21" i="8"/>
  <c r="A22" i="8"/>
  <c r="C22" i="8"/>
  <c r="A23" i="8"/>
  <c r="C23" i="8"/>
  <c r="A24" i="8"/>
  <c r="C24" i="8"/>
  <c r="A25" i="8"/>
  <c r="C25" i="8"/>
  <c r="A26" i="8"/>
  <c r="C26" i="8"/>
  <c r="A27" i="8"/>
  <c r="C27" i="8"/>
  <c r="A30" i="8"/>
  <c r="C30" i="8"/>
  <c r="A31" i="8"/>
  <c r="C31" i="8"/>
  <c r="A32" i="8"/>
  <c r="C32" i="8"/>
  <c r="A33" i="8"/>
  <c r="C33" i="8"/>
  <c r="A34" i="8"/>
  <c r="C34" i="8"/>
  <c r="A35" i="8"/>
  <c r="C35" i="8"/>
  <c r="A36" i="8"/>
  <c r="C36" i="8"/>
  <c r="A37" i="8"/>
  <c r="C37" i="8"/>
  <c r="A38" i="8"/>
  <c r="C38" i="8"/>
  <c r="A39" i="8"/>
  <c r="C39" i="8"/>
  <c r="A40" i="8"/>
  <c r="C40" i="8"/>
  <c r="A41" i="8"/>
  <c r="C41" i="8"/>
  <c r="A44" i="8"/>
  <c r="C44" i="8"/>
  <c r="A45" i="8"/>
  <c r="C45" i="8"/>
  <c r="A46" i="8"/>
  <c r="C46" i="8"/>
  <c r="A47" i="8"/>
  <c r="C47" i="8"/>
  <c r="A48" i="8"/>
  <c r="C48" i="8"/>
  <c r="A49" i="8"/>
  <c r="C49" i="8"/>
  <c r="A50" i="8"/>
  <c r="C50" i="8"/>
  <c r="A51" i="8"/>
  <c r="C51" i="8"/>
  <c r="A52" i="8"/>
  <c r="C52" i="8"/>
  <c r="A53" i="8"/>
  <c r="C53" i="8"/>
  <c r="A54" i="8"/>
  <c r="C54" i="8"/>
  <c r="A55" i="8"/>
  <c r="C55" i="8"/>
  <c r="A58" i="8"/>
  <c r="C58" i="8"/>
  <c r="A59" i="8"/>
  <c r="C59" i="8"/>
  <c r="A60" i="8"/>
  <c r="C60" i="8"/>
  <c r="A61" i="8"/>
  <c r="C61" i="8"/>
  <c r="A62" i="8"/>
  <c r="C62" i="8"/>
  <c r="A63" i="8"/>
  <c r="C63" i="8"/>
  <c r="A64" i="8"/>
  <c r="C64" i="8"/>
  <c r="A65" i="8"/>
  <c r="C65" i="8"/>
  <c r="C17" i="9"/>
  <c r="C32" i="9"/>
  <c r="C19" i="9"/>
  <c r="C33" i="9"/>
  <c r="C21" i="9"/>
  <c r="C36" i="9"/>
  <c r="C23" i="9"/>
  <c r="C37" i="9"/>
  <c r="C25" i="9"/>
  <c r="C40" i="9"/>
  <c r="C27" i="9"/>
  <c r="C41" i="9"/>
  <c r="C41" i="18"/>
  <c r="A41" i="18"/>
  <c r="C40" i="18"/>
  <c r="A40" i="18"/>
  <c r="C39" i="18"/>
  <c r="A39" i="18"/>
  <c r="C38" i="18"/>
  <c r="A38" i="18"/>
  <c r="C37" i="18"/>
  <c r="A37" i="18"/>
  <c r="C36" i="18"/>
  <c r="A36" i="18"/>
  <c r="C35" i="18"/>
  <c r="A35" i="18"/>
  <c r="C34" i="18"/>
  <c r="A34" i="18"/>
  <c r="C33" i="18"/>
  <c r="A33" i="18"/>
  <c r="C32" i="18"/>
  <c r="A32" i="18"/>
  <c r="C31" i="18"/>
  <c r="A31" i="18"/>
  <c r="C30" i="18"/>
  <c r="A30" i="18"/>
  <c r="C27" i="18"/>
  <c r="A27" i="18"/>
  <c r="C26" i="18"/>
  <c r="A26" i="18"/>
  <c r="C25" i="18"/>
  <c r="A25" i="18"/>
  <c r="C24" i="18"/>
  <c r="A24" i="18"/>
  <c r="C23" i="18"/>
  <c r="A23" i="18"/>
  <c r="C22" i="18"/>
  <c r="A22" i="18"/>
  <c r="C21" i="18"/>
  <c r="A21" i="18"/>
  <c r="C20" i="18"/>
  <c r="A20" i="18"/>
  <c r="C19" i="18"/>
  <c r="A19" i="18"/>
  <c r="C18" i="18"/>
  <c r="A18" i="18"/>
  <c r="C17" i="18"/>
  <c r="A17" i="18"/>
  <c r="U16" i="18"/>
  <c r="T16" i="18"/>
  <c r="S16" i="18"/>
  <c r="R16" i="18"/>
  <c r="Q16" i="18"/>
  <c r="P16" i="18"/>
  <c r="O16" i="18"/>
  <c r="N16" i="18"/>
  <c r="M16" i="18"/>
  <c r="L16" i="18"/>
  <c r="K16" i="18"/>
  <c r="J16" i="18"/>
  <c r="I16" i="18"/>
  <c r="H16" i="18"/>
  <c r="G16" i="18"/>
  <c r="F16" i="18"/>
  <c r="E16" i="18"/>
  <c r="C16" i="18"/>
  <c r="A16" i="18"/>
  <c r="S14" i="18"/>
  <c r="C13" i="18"/>
  <c r="A13" i="18"/>
  <c r="C12" i="18"/>
  <c r="A12" i="18"/>
  <c r="C11" i="18"/>
  <c r="A11" i="18"/>
  <c r="C10" i="18"/>
  <c r="A10" i="18"/>
  <c r="C9" i="18"/>
  <c r="A9" i="18"/>
  <c r="C8" i="18"/>
  <c r="A8" i="18"/>
  <c r="C7" i="18"/>
  <c r="A7" i="18"/>
  <c r="C6" i="18"/>
  <c r="A6" i="18"/>
  <c r="C5" i="18"/>
  <c r="A5" i="18"/>
  <c r="C4" i="18"/>
  <c r="A4" i="18"/>
  <c r="C3" i="18"/>
  <c r="A3" i="18"/>
  <c r="C2" i="18"/>
  <c r="A2" i="18"/>
  <c r="C13" i="9"/>
  <c r="A338" i="4"/>
  <c r="E338" i="4"/>
  <c r="A297" i="4"/>
  <c r="E297" i="4"/>
  <c r="A232" i="4"/>
  <c r="A299" i="4"/>
  <c r="E299" i="4"/>
  <c r="E322" i="4"/>
  <c r="E320" i="4"/>
  <c r="C27" i="12"/>
  <c r="C26" i="12"/>
  <c r="C25" i="12"/>
  <c r="C24" i="12"/>
  <c r="C23" i="12"/>
  <c r="C22" i="12"/>
  <c r="C21" i="12"/>
  <c r="C20" i="12"/>
  <c r="C19" i="12"/>
  <c r="C18" i="12"/>
  <c r="C17" i="12"/>
  <c r="C13" i="7"/>
  <c r="C12" i="7"/>
  <c r="C11" i="7"/>
  <c r="C10" i="7"/>
  <c r="C9" i="7"/>
  <c r="C8" i="7"/>
  <c r="A69" i="12"/>
  <c r="A68" i="12"/>
  <c r="A67" i="12"/>
  <c r="A66" i="12"/>
  <c r="A65" i="12"/>
  <c r="A64" i="12"/>
  <c r="A63" i="12"/>
  <c r="A62" i="12"/>
  <c r="A61" i="12"/>
  <c r="A60" i="12"/>
  <c r="A59" i="12"/>
  <c r="A58" i="12"/>
  <c r="A55" i="12"/>
  <c r="A54" i="12"/>
  <c r="A53" i="12"/>
  <c r="A52" i="12"/>
  <c r="A51" i="12"/>
  <c r="A50" i="12"/>
  <c r="A49" i="12"/>
  <c r="A48" i="12"/>
  <c r="A47" i="12"/>
  <c r="A46" i="12"/>
  <c r="A45" i="12"/>
  <c r="A44" i="12"/>
  <c r="A41" i="12"/>
  <c r="A40" i="12"/>
  <c r="A39" i="12"/>
  <c r="A38" i="12"/>
  <c r="A37" i="12"/>
  <c r="A36" i="12"/>
  <c r="A35" i="12"/>
  <c r="A34" i="12"/>
  <c r="A33" i="12"/>
  <c r="A32" i="12"/>
  <c r="A31" i="12"/>
  <c r="A30" i="12"/>
  <c r="A27" i="12"/>
  <c r="A26" i="12"/>
  <c r="A25" i="12"/>
  <c r="A24" i="12"/>
  <c r="A23" i="12"/>
  <c r="A22" i="12"/>
  <c r="A21" i="12"/>
  <c r="A20" i="12"/>
  <c r="A19" i="12"/>
  <c r="A18" i="12"/>
  <c r="A17" i="12"/>
  <c r="A16" i="12"/>
  <c r="C13" i="12"/>
  <c r="A13" i="12"/>
  <c r="C12" i="12"/>
  <c r="A12" i="12"/>
  <c r="C11" i="12"/>
  <c r="A11" i="12"/>
  <c r="C10" i="12"/>
  <c r="A10" i="12"/>
  <c r="C9" i="12"/>
  <c r="A9" i="12"/>
  <c r="C8" i="12"/>
  <c r="A8" i="12"/>
  <c r="C7" i="12"/>
  <c r="A7" i="12"/>
  <c r="C6" i="12"/>
  <c r="A6" i="12"/>
  <c r="C5" i="12"/>
  <c r="A5" i="12"/>
  <c r="C4" i="12"/>
  <c r="A4" i="12"/>
  <c r="A3" i="12"/>
  <c r="A2" i="12"/>
  <c r="C83" i="11"/>
  <c r="A83" i="11"/>
  <c r="C82" i="11"/>
  <c r="A82" i="11"/>
  <c r="C81" i="11"/>
  <c r="A81" i="11"/>
  <c r="C80" i="11"/>
  <c r="A80" i="11"/>
  <c r="C79" i="11"/>
  <c r="A79" i="11"/>
  <c r="C78" i="11"/>
  <c r="A78" i="11"/>
  <c r="C77" i="11"/>
  <c r="A77" i="11"/>
  <c r="C76" i="11"/>
  <c r="A76" i="11"/>
  <c r="C75" i="11"/>
  <c r="A75" i="11"/>
  <c r="C74" i="11"/>
  <c r="A74" i="11"/>
  <c r="C73" i="11"/>
  <c r="A73" i="11"/>
  <c r="C72" i="11"/>
  <c r="A72" i="11"/>
  <c r="C69" i="11"/>
  <c r="A69" i="11"/>
  <c r="C68" i="11"/>
  <c r="A68" i="11"/>
  <c r="C67" i="11"/>
  <c r="A67" i="11"/>
  <c r="C66" i="11"/>
  <c r="A66" i="11"/>
  <c r="C65" i="11"/>
  <c r="A65" i="11"/>
  <c r="C64" i="11"/>
  <c r="A64" i="11"/>
  <c r="C63" i="11"/>
  <c r="A63" i="11"/>
  <c r="C62" i="11"/>
  <c r="A62" i="11"/>
  <c r="C61" i="11"/>
  <c r="A61" i="11"/>
  <c r="C60" i="11"/>
  <c r="A60" i="11"/>
  <c r="C59" i="11"/>
  <c r="A59" i="11"/>
  <c r="C58" i="11"/>
  <c r="A58" i="11"/>
  <c r="C55" i="11"/>
  <c r="A55" i="11"/>
  <c r="C54" i="11"/>
  <c r="A54" i="11"/>
  <c r="C53" i="11"/>
  <c r="A53" i="11"/>
  <c r="C52" i="11"/>
  <c r="A52" i="11"/>
  <c r="C51" i="11"/>
  <c r="A51" i="11"/>
  <c r="C50" i="11"/>
  <c r="A50" i="11"/>
  <c r="C49" i="11"/>
  <c r="A49" i="11"/>
  <c r="C48" i="11"/>
  <c r="A48" i="11"/>
  <c r="C47" i="11"/>
  <c r="A47" i="11"/>
  <c r="C46" i="11"/>
  <c r="A46" i="11"/>
  <c r="C45" i="11"/>
  <c r="A45" i="11"/>
  <c r="C44" i="11"/>
  <c r="A44" i="11"/>
  <c r="C41" i="11"/>
  <c r="A41" i="11"/>
  <c r="C40" i="11"/>
  <c r="A40" i="11"/>
  <c r="C39" i="11"/>
  <c r="A39" i="11"/>
  <c r="C38" i="11"/>
  <c r="A38" i="11"/>
  <c r="C37" i="11"/>
  <c r="A37" i="11"/>
  <c r="C36" i="11"/>
  <c r="A36" i="11"/>
  <c r="C35" i="11"/>
  <c r="A35" i="11"/>
  <c r="C34" i="11"/>
  <c r="A34" i="11"/>
  <c r="C33" i="11"/>
  <c r="A33" i="11"/>
  <c r="C32" i="11"/>
  <c r="A32" i="11"/>
  <c r="C31" i="11"/>
  <c r="A31" i="11"/>
  <c r="C30" i="11"/>
  <c r="A30" i="11"/>
  <c r="C27" i="11"/>
  <c r="A27" i="11"/>
  <c r="C26" i="11"/>
  <c r="A26" i="11"/>
  <c r="C25" i="11"/>
  <c r="A25" i="11"/>
  <c r="C24" i="11"/>
  <c r="A24" i="11"/>
  <c r="C23" i="11"/>
  <c r="A23" i="11"/>
  <c r="C22" i="11"/>
  <c r="A22" i="11"/>
  <c r="C21" i="11"/>
  <c r="A21" i="11"/>
  <c r="C20" i="11"/>
  <c r="A20" i="11"/>
  <c r="C19" i="11"/>
  <c r="A19" i="11"/>
  <c r="C18" i="11"/>
  <c r="A18" i="11"/>
  <c r="C17" i="11"/>
  <c r="A17" i="11"/>
  <c r="C16" i="11"/>
  <c r="A16" i="11"/>
  <c r="C13" i="11"/>
  <c r="A13" i="11"/>
  <c r="C12" i="11"/>
  <c r="A12" i="11"/>
  <c r="C11" i="11"/>
  <c r="A11" i="11"/>
  <c r="C10" i="11"/>
  <c r="A10" i="11"/>
  <c r="C9" i="11"/>
  <c r="A9" i="11"/>
  <c r="C8" i="11"/>
  <c r="A8" i="11"/>
  <c r="C7" i="11"/>
  <c r="A7" i="11"/>
  <c r="C6" i="11"/>
  <c r="A6" i="11"/>
  <c r="C5" i="11"/>
  <c r="A5" i="11"/>
  <c r="C4" i="11"/>
  <c r="A4" i="11"/>
  <c r="C3" i="11"/>
  <c r="A3" i="11"/>
  <c r="C2" i="11"/>
  <c r="A2" i="11"/>
  <c r="C195" i="10"/>
  <c r="A195" i="10"/>
  <c r="C194" i="10"/>
  <c r="A194" i="10"/>
  <c r="C193" i="10"/>
  <c r="A193" i="10"/>
  <c r="C192" i="10"/>
  <c r="A192" i="10"/>
  <c r="C191" i="10"/>
  <c r="A191" i="10"/>
  <c r="C190" i="10"/>
  <c r="A190" i="10"/>
  <c r="C189" i="10"/>
  <c r="A189" i="10"/>
  <c r="C188" i="10"/>
  <c r="A188" i="10"/>
  <c r="C187" i="10"/>
  <c r="A187" i="10"/>
  <c r="C186" i="10"/>
  <c r="A186" i="10"/>
  <c r="C185" i="10"/>
  <c r="A185" i="10"/>
  <c r="C184" i="10"/>
  <c r="A184" i="10"/>
  <c r="C181" i="10"/>
  <c r="A181" i="10"/>
  <c r="C180" i="10"/>
  <c r="A180" i="10"/>
  <c r="C179" i="10"/>
  <c r="A179" i="10"/>
  <c r="C178" i="10"/>
  <c r="A178" i="10"/>
  <c r="C177" i="10"/>
  <c r="A177" i="10"/>
  <c r="C176" i="10"/>
  <c r="A176" i="10"/>
  <c r="C175" i="10"/>
  <c r="A175" i="10"/>
  <c r="C174" i="10"/>
  <c r="A174" i="10"/>
  <c r="C173" i="10"/>
  <c r="A173" i="10"/>
  <c r="C172" i="10"/>
  <c r="A172" i="10"/>
  <c r="C171" i="10"/>
  <c r="A171" i="10"/>
  <c r="C170" i="10"/>
  <c r="A170" i="10"/>
  <c r="C167" i="10"/>
  <c r="A167" i="10"/>
  <c r="C166" i="10"/>
  <c r="A166" i="10"/>
  <c r="C165" i="10"/>
  <c r="A165" i="10"/>
  <c r="C164" i="10"/>
  <c r="A164" i="10"/>
  <c r="C163" i="10"/>
  <c r="A163" i="10"/>
  <c r="C162" i="10"/>
  <c r="A162" i="10"/>
  <c r="C161" i="10"/>
  <c r="A161" i="10"/>
  <c r="C160" i="10"/>
  <c r="A160" i="10"/>
  <c r="C159" i="10"/>
  <c r="A159" i="10"/>
  <c r="C158" i="10"/>
  <c r="A158" i="10"/>
  <c r="C157" i="10"/>
  <c r="A157" i="10"/>
  <c r="C156" i="10"/>
  <c r="A156" i="10"/>
  <c r="C153" i="10"/>
  <c r="A153" i="10"/>
  <c r="C152" i="10"/>
  <c r="A152" i="10"/>
  <c r="C151" i="10"/>
  <c r="A151" i="10"/>
  <c r="C150" i="10"/>
  <c r="A150" i="10"/>
  <c r="C149" i="10"/>
  <c r="A149" i="10"/>
  <c r="C148" i="10"/>
  <c r="A148" i="10"/>
  <c r="C147" i="10"/>
  <c r="A147" i="10"/>
  <c r="C146" i="10"/>
  <c r="A146" i="10"/>
  <c r="C145" i="10"/>
  <c r="A145" i="10"/>
  <c r="C144" i="10"/>
  <c r="A144" i="10"/>
  <c r="C143" i="10"/>
  <c r="A143" i="10"/>
  <c r="C142" i="10"/>
  <c r="A142" i="10"/>
  <c r="C139" i="10"/>
  <c r="A139" i="10"/>
  <c r="C138" i="10"/>
  <c r="A138" i="10"/>
  <c r="C137" i="10"/>
  <c r="A137" i="10"/>
  <c r="C136" i="10"/>
  <c r="A136" i="10"/>
  <c r="C135" i="10"/>
  <c r="A135" i="10"/>
  <c r="C134" i="10"/>
  <c r="A134" i="10"/>
  <c r="C133" i="10"/>
  <c r="A133" i="10"/>
  <c r="C132" i="10"/>
  <c r="A132" i="10"/>
  <c r="C131" i="10"/>
  <c r="A131" i="10"/>
  <c r="C130" i="10"/>
  <c r="A130" i="10"/>
  <c r="C129" i="10"/>
  <c r="A129" i="10"/>
  <c r="C128" i="10"/>
  <c r="A128" i="10"/>
  <c r="C125" i="10"/>
  <c r="A125" i="10"/>
  <c r="C124" i="10"/>
  <c r="A124" i="10"/>
  <c r="C123" i="10"/>
  <c r="A123" i="10"/>
  <c r="C122" i="10"/>
  <c r="A122" i="10"/>
  <c r="C121" i="10"/>
  <c r="A121" i="10"/>
  <c r="C120" i="10"/>
  <c r="A120" i="10"/>
  <c r="C119" i="10"/>
  <c r="A119" i="10"/>
  <c r="C118" i="10"/>
  <c r="A118" i="10"/>
  <c r="C117" i="10"/>
  <c r="A117" i="10"/>
  <c r="C116" i="10"/>
  <c r="A116" i="10"/>
  <c r="C115" i="10"/>
  <c r="A115" i="10"/>
  <c r="C114" i="10"/>
  <c r="A114" i="10"/>
  <c r="C111" i="10"/>
  <c r="A111" i="10"/>
  <c r="C110" i="10"/>
  <c r="A110" i="10"/>
  <c r="C109" i="10"/>
  <c r="A109" i="10"/>
  <c r="C108" i="10"/>
  <c r="A108" i="10"/>
  <c r="C107" i="10"/>
  <c r="A107" i="10"/>
  <c r="C106" i="10"/>
  <c r="A106" i="10"/>
  <c r="C105" i="10"/>
  <c r="A105" i="10"/>
  <c r="C104" i="10"/>
  <c r="A104" i="10"/>
  <c r="C103" i="10"/>
  <c r="A103" i="10"/>
  <c r="C102" i="10"/>
  <c r="A102" i="10"/>
  <c r="C101" i="10"/>
  <c r="A101" i="10"/>
  <c r="C100" i="10"/>
  <c r="A100" i="10"/>
  <c r="C97" i="10"/>
  <c r="A97" i="10"/>
  <c r="C96" i="10"/>
  <c r="A96" i="10"/>
  <c r="C95" i="10"/>
  <c r="A95" i="10"/>
  <c r="C94" i="10"/>
  <c r="A94" i="10"/>
  <c r="C93" i="10"/>
  <c r="A93" i="10"/>
  <c r="C92" i="10"/>
  <c r="A92" i="10"/>
  <c r="C91" i="10"/>
  <c r="A91" i="10"/>
  <c r="C90" i="10"/>
  <c r="A90" i="10"/>
  <c r="C89" i="10"/>
  <c r="A89" i="10"/>
  <c r="C88" i="10"/>
  <c r="A88" i="10"/>
  <c r="C87" i="10"/>
  <c r="A87" i="10"/>
  <c r="C86" i="10"/>
  <c r="A86" i="10"/>
  <c r="C83" i="10"/>
  <c r="A83" i="10"/>
  <c r="C82" i="10"/>
  <c r="A82" i="10"/>
  <c r="C81" i="10"/>
  <c r="A81" i="10"/>
  <c r="C80" i="10"/>
  <c r="A80" i="10"/>
  <c r="C79" i="10"/>
  <c r="A79" i="10"/>
  <c r="C78" i="10"/>
  <c r="A78" i="10"/>
  <c r="C77" i="10"/>
  <c r="A77" i="10"/>
  <c r="C76" i="10"/>
  <c r="A76" i="10"/>
  <c r="C75" i="10"/>
  <c r="A75" i="10"/>
  <c r="C74" i="10"/>
  <c r="A74" i="10"/>
  <c r="C73" i="10"/>
  <c r="A73" i="10"/>
  <c r="C72" i="10"/>
  <c r="A72" i="10"/>
  <c r="C69" i="10"/>
  <c r="A69" i="10"/>
  <c r="C68" i="10"/>
  <c r="A68" i="10"/>
  <c r="C67" i="10"/>
  <c r="A67" i="10"/>
  <c r="C66" i="10"/>
  <c r="A66" i="10"/>
  <c r="C65" i="10"/>
  <c r="A65" i="10"/>
  <c r="C64" i="10"/>
  <c r="A64" i="10"/>
  <c r="C63" i="10"/>
  <c r="A63" i="10"/>
  <c r="C62" i="10"/>
  <c r="A62" i="10"/>
  <c r="C61" i="10"/>
  <c r="A61" i="10"/>
  <c r="C60" i="10"/>
  <c r="A60" i="10"/>
  <c r="C59" i="10"/>
  <c r="A59" i="10"/>
  <c r="C58" i="10"/>
  <c r="A58" i="10"/>
  <c r="C55" i="10"/>
  <c r="A55" i="10"/>
  <c r="C54" i="10"/>
  <c r="A54" i="10"/>
  <c r="C53" i="10"/>
  <c r="A53" i="10"/>
  <c r="C52" i="10"/>
  <c r="A52" i="10"/>
  <c r="C51" i="10"/>
  <c r="A51" i="10"/>
  <c r="C50" i="10"/>
  <c r="A50" i="10"/>
  <c r="C49" i="10"/>
  <c r="A49" i="10"/>
  <c r="C48" i="10"/>
  <c r="A48" i="10"/>
  <c r="C47" i="10"/>
  <c r="A47" i="10"/>
  <c r="C46" i="10"/>
  <c r="A46" i="10"/>
  <c r="C45" i="10"/>
  <c r="A45" i="10"/>
  <c r="C44" i="10"/>
  <c r="A44" i="10"/>
  <c r="C41" i="10"/>
  <c r="A41" i="10"/>
  <c r="C40" i="10"/>
  <c r="A40" i="10"/>
  <c r="C39" i="10"/>
  <c r="A39" i="10"/>
  <c r="C38" i="10"/>
  <c r="A38" i="10"/>
  <c r="C37" i="10"/>
  <c r="A37" i="10"/>
  <c r="C36" i="10"/>
  <c r="A36" i="10"/>
  <c r="C35" i="10"/>
  <c r="A35" i="10"/>
  <c r="C34" i="10"/>
  <c r="A34" i="10"/>
  <c r="C33" i="10"/>
  <c r="A33" i="10"/>
  <c r="C32" i="10"/>
  <c r="A32" i="10"/>
  <c r="C31" i="10"/>
  <c r="A31" i="10"/>
  <c r="C30" i="10"/>
  <c r="A30" i="10"/>
  <c r="C27" i="10"/>
  <c r="A27" i="10"/>
  <c r="C26" i="10"/>
  <c r="A26" i="10"/>
  <c r="C25" i="10"/>
  <c r="A25" i="10"/>
  <c r="C24" i="10"/>
  <c r="A24" i="10"/>
  <c r="C23" i="10"/>
  <c r="A23" i="10"/>
  <c r="C22" i="10"/>
  <c r="A22" i="10"/>
  <c r="C21" i="10"/>
  <c r="A21" i="10"/>
  <c r="C20" i="10"/>
  <c r="A20" i="10"/>
  <c r="C19" i="10"/>
  <c r="A19" i="10"/>
  <c r="C18" i="10"/>
  <c r="A18" i="10"/>
  <c r="C17" i="10"/>
  <c r="A17" i="10"/>
  <c r="C16" i="10"/>
  <c r="A16" i="10"/>
  <c r="C13" i="10"/>
  <c r="A13" i="10"/>
  <c r="C12" i="10"/>
  <c r="A12" i="10"/>
  <c r="C11" i="10"/>
  <c r="A11" i="10"/>
  <c r="C10" i="10"/>
  <c r="A10" i="10"/>
  <c r="C9" i="10"/>
  <c r="A9" i="10"/>
  <c r="C8" i="10"/>
  <c r="A8" i="10"/>
  <c r="C7" i="10"/>
  <c r="A7" i="10"/>
  <c r="C6" i="10"/>
  <c r="A6" i="10"/>
  <c r="C5" i="10"/>
  <c r="A5" i="10"/>
  <c r="C4" i="10"/>
  <c r="A4" i="10"/>
  <c r="C3" i="10"/>
  <c r="A3" i="10"/>
  <c r="C2" i="10"/>
  <c r="A2" i="10"/>
  <c r="C139" i="9"/>
  <c r="A139" i="9"/>
  <c r="C138" i="9"/>
  <c r="A138" i="9"/>
  <c r="C137" i="9"/>
  <c r="A137" i="9"/>
  <c r="C136" i="9"/>
  <c r="A136" i="9"/>
  <c r="C135" i="9"/>
  <c r="A135" i="9"/>
  <c r="C134" i="9"/>
  <c r="A134" i="9"/>
  <c r="C133" i="9"/>
  <c r="A133" i="9"/>
  <c r="C132" i="9"/>
  <c r="A132" i="9"/>
  <c r="C131" i="9"/>
  <c r="A131" i="9"/>
  <c r="C130" i="9"/>
  <c r="A130" i="9"/>
  <c r="C129" i="9"/>
  <c r="A129" i="9"/>
  <c r="C128" i="9"/>
  <c r="A128" i="9"/>
  <c r="C125" i="9"/>
  <c r="A125" i="9"/>
  <c r="C124" i="9"/>
  <c r="A124" i="9"/>
  <c r="C123" i="9"/>
  <c r="A123" i="9"/>
  <c r="C122" i="9"/>
  <c r="A122" i="9"/>
  <c r="C121" i="9"/>
  <c r="A121" i="9"/>
  <c r="C120" i="9"/>
  <c r="A120" i="9"/>
  <c r="C119" i="9"/>
  <c r="A119" i="9"/>
  <c r="C118" i="9"/>
  <c r="A118" i="9"/>
  <c r="C117" i="9"/>
  <c r="A117" i="9"/>
  <c r="C116" i="9"/>
  <c r="A116" i="9"/>
  <c r="C115" i="9"/>
  <c r="A115" i="9"/>
  <c r="C114" i="9"/>
  <c r="A114" i="9"/>
  <c r="C111" i="9"/>
  <c r="A111" i="9"/>
  <c r="C110" i="9"/>
  <c r="A110" i="9"/>
  <c r="C109" i="9"/>
  <c r="A109" i="9"/>
  <c r="C108" i="9"/>
  <c r="A108" i="9"/>
  <c r="C107" i="9"/>
  <c r="A107" i="9"/>
  <c r="C106" i="9"/>
  <c r="A106" i="9"/>
  <c r="C105" i="9"/>
  <c r="A105" i="9"/>
  <c r="C104" i="9"/>
  <c r="A104" i="9"/>
  <c r="C103" i="9"/>
  <c r="A103" i="9"/>
  <c r="C102" i="9"/>
  <c r="A102" i="9"/>
  <c r="C101" i="9"/>
  <c r="A101" i="9"/>
  <c r="C100" i="9"/>
  <c r="A100" i="9"/>
  <c r="C97" i="9"/>
  <c r="A97" i="9"/>
  <c r="C96" i="9"/>
  <c r="A96" i="9"/>
  <c r="C95" i="9"/>
  <c r="A95" i="9"/>
  <c r="C94" i="9"/>
  <c r="A94" i="9"/>
  <c r="C93" i="9"/>
  <c r="A93" i="9"/>
  <c r="C92" i="9"/>
  <c r="A92" i="9"/>
  <c r="C91" i="9"/>
  <c r="A91" i="9"/>
  <c r="C90" i="9"/>
  <c r="A90" i="9"/>
  <c r="C89" i="9"/>
  <c r="A89" i="9"/>
  <c r="C88" i="9"/>
  <c r="A88" i="9"/>
  <c r="C87" i="9"/>
  <c r="A87" i="9"/>
  <c r="C86" i="9"/>
  <c r="A86" i="9"/>
  <c r="C83" i="9"/>
  <c r="A83" i="9"/>
  <c r="C82" i="9"/>
  <c r="A82" i="9"/>
  <c r="C81" i="9"/>
  <c r="A81" i="9"/>
  <c r="C80" i="9"/>
  <c r="A80" i="9"/>
  <c r="C79" i="9"/>
  <c r="A79" i="9"/>
  <c r="C78" i="9"/>
  <c r="A78" i="9"/>
  <c r="C77" i="9"/>
  <c r="A77" i="9"/>
  <c r="C76" i="9"/>
  <c r="A76" i="9"/>
  <c r="C75" i="9"/>
  <c r="A75" i="9"/>
  <c r="C74" i="9"/>
  <c r="A74" i="9"/>
  <c r="C73" i="9"/>
  <c r="A73" i="9"/>
  <c r="C72" i="9"/>
  <c r="A72" i="9"/>
  <c r="C69" i="9"/>
  <c r="A69" i="9"/>
  <c r="C68" i="9"/>
  <c r="A68" i="9"/>
  <c r="C67" i="9"/>
  <c r="A67" i="9"/>
  <c r="C66" i="9"/>
  <c r="A66" i="9"/>
  <c r="C65" i="9"/>
  <c r="A65" i="9"/>
  <c r="C64" i="9"/>
  <c r="A64" i="9"/>
  <c r="C63" i="9"/>
  <c r="A63" i="9"/>
  <c r="C62" i="9"/>
  <c r="A62" i="9"/>
  <c r="C61" i="9"/>
  <c r="A61" i="9"/>
  <c r="C60" i="9"/>
  <c r="A60" i="9"/>
  <c r="C59" i="9"/>
  <c r="A59" i="9"/>
  <c r="C58" i="9"/>
  <c r="A58" i="9"/>
  <c r="C55" i="9"/>
  <c r="A55" i="9"/>
  <c r="C54" i="9"/>
  <c r="A54" i="9"/>
  <c r="C53" i="9"/>
  <c r="A53" i="9"/>
  <c r="C52" i="9"/>
  <c r="A52" i="9"/>
  <c r="C51" i="9"/>
  <c r="A51" i="9"/>
  <c r="C50" i="9"/>
  <c r="A50" i="9"/>
  <c r="C49" i="9"/>
  <c r="A49" i="9"/>
  <c r="C48" i="9"/>
  <c r="A48" i="9"/>
  <c r="C47" i="9"/>
  <c r="A47" i="9"/>
  <c r="C46" i="9"/>
  <c r="A46" i="9"/>
  <c r="C45" i="9"/>
  <c r="A45" i="9"/>
  <c r="C44" i="9"/>
  <c r="A44" i="9"/>
  <c r="A41" i="9"/>
  <c r="A40" i="9"/>
  <c r="A39" i="9"/>
  <c r="A38" i="9"/>
  <c r="A37" i="9"/>
  <c r="A36" i="9"/>
  <c r="A35" i="9"/>
  <c r="C34" i="9"/>
  <c r="A34" i="9"/>
  <c r="A33" i="9"/>
  <c r="A32" i="9"/>
  <c r="A31" i="9"/>
  <c r="A30" i="9"/>
  <c r="A27" i="9"/>
  <c r="C26" i="9"/>
  <c r="A26" i="9"/>
  <c r="A25" i="9"/>
  <c r="A24" i="9"/>
  <c r="A23" i="9"/>
  <c r="C22" i="9"/>
  <c r="A22" i="9"/>
  <c r="A21" i="9"/>
  <c r="C20" i="9"/>
  <c r="A20" i="9"/>
  <c r="A19" i="9"/>
  <c r="C18" i="9"/>
  <c r="A18" i="9"/>
  <c r="A17" i="9"/>
  <c r="A16" i="9"/>
  <c r="A13" i="9"/>
  <c r="C12" i="9"/>
  <c r="A12" i="9"/>
  <c r="A11" i="9"/>
  <c r="C10" i="9"/>
  <c r="A10" i="9"/>
  <c r="C9" i="9"/>
  <c r="A9" i="9"/>
  <c r="C8" i="9"/>
  <c r="A8" i="9"/>
  <c r="A7" i="9"/>
  <c r="C6" i="9"/>
  <c r="A6" i="9"/>
  <c r="C5" i="9"/>
  <c r="A5" i="9"/>
  <c r="C4" i="9"/>
  <c r="A4" i="9"/>
  <c r="A3" i="9"/>
  <c r="C2" i="9"/>
  <c r="A2" i="9"/>
  <c r="C307" i="8"/>
  <c r="A307" i="8"/>
  <c r="C306" i="8"/>
  <c r="A306" i="8"/>
  <c r="C305" i="8"/>
  <c r="A305" i="8"/>
  <c r="C304" i="8"/>
  <c r="A304" i="8"/>
  <c r="C303" i="8"/>
  <c r="A303" i="8"/>
  <c r="C302" i="8"/>
  <c r="A302" i="8"/>
  <c r="C301" i="8"/>
  <c r="A301" i="8"/>
  <c r="C300" i="8"/>
  <c r="A300" i="8"/>
  <c r="C299" i="8"/>
  <c r="A299" i="8"/>
  <c r="C298" i="8"/>
  <c r="A298" i="8"/>
  <c r="C297" i="8"/>
  <c r="A297" i="8"/>
  <c r="C296" i="8"/>
  <c r="A296" i="8"/>
  <c r="C293" i="8"/>
  <c r="A293" i="8"/>
  <c r="C292" i="8"/>
  <c r="A292" i="8"/>
  <c r="C291" i="8"/>
  <c r="A291" i="8"/>
  <c r="C290" i="8"/>
  <c r="A290" i="8"/>
  <c r="C289" i="8"/>
  <c r="A289" i="8"/>
  <c r="C288" i="8"/>
  <c r="A288" i="8"/>
  <c r="C287" i="8"/>
  <c r="A287" i="8"/>
  <c r="C286" i="8"/>
  <c r="A286" i="8"/>
  <c r="C285" i="8"/>
  <c r="A285" i="8"/>
  <c r="C284" i="8"/>
  <c r="A284" i="8"/>
  <c r="C283" i="8"/>
  <c r="A283" i="8"/>
  <c r="C282" i="8"/>
  <c r="A282" i="8"/>
  <c r="C279" i="8"/>
  <c r="A279" i="8"/>
  <c r="C278" i="8"/>
  <c r="A278" i="8"/>
  <c r="C277" i="8"/>
  <c r="A277" i="8"/>
  <c r="C276" i="8"/>
  <c r="A276" i="8"/>
  <c r="C275" i="8"/>
  <c r="A275" i="8"/>
  <c r="C274" i="8"/>
  <c r="A274" i="8"/>
  <c r="C273" i="8"/>
  <c r="A273" i="8"/>
  <c r="C272" i="8"/>
  <c r="A272" i="8"/>
  <c r="C271" i="8"/>
  <c r="A271" i="8"/>
  <c r="C270" i="8"/>
  <c r="A270" i="8"/>
  <c r="C269" i="8"/>
  <c r="A269" i="8"/>
  <c r="C268" i="8"/>
  <c r="A268" i="8"/>
  <c r="C265" i="8"/>
  <c r="A265" i="8"/>
  <c r="C264" i="8"/>
  <c r="A264" i="8"/>
  <c r="C263" i="8"/>
  <c r="A263" i="8"/>
  <c r="C262" i="8"/>
  <c r="A262" i="8"/>
  <c r="C261" i="8"/>
  <c r="A261" i="8"/>
  <c r="C260" i="8"/>
  <c r="A260" i="8"/>
  <c r="C259" i="8"/>
  <c r="A259" i="8"/>
  <c r="C258" i="8"/>
  <c r="A258" i="8"/>
  <c r="C257" i="8"/>
  <c r="A257" i="8"/>
  <c r="C256" i="8"/>
  <c r="A256" i="8"/>
  <c r="C255" i="8"/>
  <c r="A255" i="8"/>
  <c r="C254" i="8"/>
  <c r="A254" i="8"/>
  <c r="C251" i="8"/>
  <c r="A251" i="8"/>
  <c r="C250" i="8"/>
  <c r="A250" i="8"/>
  <c r="C249" i="8"/>
  <c r="A249" i="8"/>
  <c r="C248" i="8"/>
  <c r="A248" i="8"/>
  <c r="C247" i="8"/>
  <c r="A247" i="8"/>
  <c r="C246" i="8"/>
  <c r="A246" i="8"/>
  <c r="C245" i="8"/>
  <c r="A245" i="8"/>
  <c r="C244" i="8"/>
  <c r="A244" i="8"/>
  <c r="C243" i="8"/>
  <c r="A243" i="8"/>
  <c r="C242" i="8"/>
  <c r="A242" i="8"/>
  <c r="C241" i="8"/>
  <c r="A241" i="8"/>
  <c r="C240" i="8"/>
  <c r="A240" i="8"/>
  <c r="C237" i="8"/>
  <c r="A237" i="8"/>
  <c r="C236" i="8"/>
  <c r="A236" i="8"/>
  <c r="C235" i="8"/>
  <c r="A235" i="8"/>
  <c r="C234" i="8"/>
  <c r="A234" i="8"/>
  <c r="C233" i="8"/>
  <c r="A233" i="8"/>
  <c r="C232" i="8"/>
  <c r="A232" i="8"/>
  <c r="C231" i="8"/>
  <c r="A231" i="8"/>
  <c r="C230" i="8"/>
  <c r="A230" i="8"/>
  <c r="C229" i="8"/>
  <c r="A229" i="8"/>
  <c r="C228" i="8"/>
  <c r="A228" i="8"/>
  <c r="C227" i="8"/>
  <c r="A227" i="8"/>
  <c r="C226" i="8"/>
  <c r="A226" i="8"/>
  <c r="C223" i="8"/>
  <c r="A223" i="8"/>
  <c r="C222" i="8"/>
  <c r="A222" i="8"/>
  <c r="C221" i="8"/>
  <c r="A221" i="8"/>
  <c r="C220" i="8"/>
  <c r="A220" i="8"/>
  <c r="C219" i="8"/>
  <c r="A219" i="8"/>
  <c r="C218" i="8"/>
  <c r="A218" i="8"/>
  <c r="C217" i="8"/>
  <c r="A217" i="8"/>
  <c r="C216" i="8"/>
  <c r="A216" i="8"/>
  <c r="C215" i="8"/>
  <c r="A215" i="8"/>
  <c r="C214" i="8"/>
  <c r="A214" i="8"/>
  <c r="C213" i="8"/>
  <c r="A213" i="8"/>
  <c r="C212" i="8"/>
  <c r="A212" i="8"/>
  <c r="C209" i="8"/>
  <c r="A209" i="8"/>
  <c r="C208" i="8"/>
  <c r="A208" i="8"/>
  <c r="C207" i="8"/>
  <c r="A207" i="8"/>
  <c r="C206" i="8"/>
  <c r="A206" i="8"/>
  <c r="C205" i="8"/>
  <c r="A205" i="8"/>
  <c r="C204" i="8"/>
  <c r="A204" i="8"/>
  <c r="C203" i="8"/>
  <c r="A203" i="8"/>
  <c r="C202" i="8"/>
  <c r="A202" i="8"/>
  <c r="C201" i="8"/>
  <c r="A201" i="8"/>
  <c r="C200" i="8"/>
  <c r="A200" i="8"/>
  <c r="C199" i="8"/>
  <c r="A199" i="8"/>
  <c r="C198" i="8"/>
  <c r="A198" i="8"/>
  <c r="C195" i="8"/>
  <c r="A195" i="8"/>
  <c r="C194" i="8"/>
  <c r="A194" i="8"/>
  <c r="C193" i="8"/>
  <c r="A193" i="8"/>
  <c r="C192" i="8"/>
  <c r="A192" i="8"/>
  <c r="C191" i="8"/>
  <c r="A191" i="8"/>
  <c r="C190" i="8"/>
  <c r="A190" i="8"/>
  <c r="C189" i="8"/>
  <c r="A189" i="8"/>
  <c r="C188" i="8"/>
  <c r="A188" i="8"/>
  <c r="C187" i="8"/>
  <c r="A187" i="8"/>
  <c r="C186" i="8"/>
  <c r="A186" i="8"/>
  <c r="C185" i="8"/>
  <c r="A185" i="8"/>
  <c r="C184" i="8"/>
  <c r="A184" i="8"/>
  <c r="C181" i="8"/>
  <c r="A181" i="8"/>
  <c r="C180" i="8"/>
  <c r="A180" i="8"/>
  <c r="C179" i="8"/>
  <c r="A179" i="8"/>
  <c r="C178" i="8"/>
  <c r="A178" i="8"/>
  <c r="C177" i="8"/>
  <c r="A177" i="8"/>
  <c r="C176" i="8"/>
  <c r="A176" i="8"/>
  <c r="C175" i="8"/>
  <c r="A175" i="8"/>
  <c r="C174" i="8"/>
  <c r="A174" i="8"/>
  <c r="C173" i="8"/>
  <c r="A173" i="8"/>
  <c r="C172" i="8"/>
  <c r="A172" i="8"/>
  <c r="C171" i="8"/>
  <c r="A171" i="8"/>
  <c r="C170" i="8"/>
  <c r="A170" i="8"/>
  <c r="C167" i="8"/>
  <c r="A167" i="8"/>
  <c r="C166" i="8"/>
  <c r="A166" i="8"/>
  <c r="C165" i="8"/>
  <c r="A165" i="8"/>
  <c r="C164" i="8"/>
  <c r="A164" i="8"/>
  <c r="C163" i="8"/>
  <c r="A163" i="8"/>
  <c r="C162" i="8"/>
  <c r="A162" i="8"/>
  <c r="C161" i="8"/>
  <c r="A161" i="8"/>
  <c r="C160" i="8"/>
  <c r="A160" i="8"/>
  <c r="C159" i="8"/>
  <c r="A159" i="8"/>
  <c r="C158" i="8"/>
  <c r="A158" i="8"/>
  <c r="C157" i="8"/>
  <c r="A157" i="8"/>
  <c r="C156" i="8"/>
  <c r="A156" i="8"/>
  <c r="C153" i="8"/>
  <c r="A153" i="8"/>
  <c r="C152" i="8"/>
  <c r="A152" i="8"/>
  <c r="C151" i="8"/>
  <c r="A151" i="8"/>
  <c r="C150" i="8"/>
  <c r="A150" i="8"/>
  <c r="C149" i="8"/>
  <c r="A149" i="8"/>
  <c r="C148" i="8"/>
  <c r="A148" i="8"/>
  <c r="C147" i="8"/>
  <c r="A147" i="8"/>
  <c r="C146" i="8"/>
  <c r="A146" i="8"/>
  <c r="C145" i="8"/>
  <c r="A145" i="8"/>
  <c r="C144" i="8"/>
  <c r="A144" i="8"/>
  <c r="C143" i="8"/>
  <c r="A143" i="8"/>
  <c r="C142" i="8"/>
  <c r="A142" i="8"/>
  <c r="C139" i="8"/>
  <c r="A139" i="8"/>
  <c r="C138" i="8"/>
  <c r="A138" i="8"/>
  <c r="C137" i="8"/>
  <c r="A137" i="8"/>
  <c r="C136" i="8"/>
  <c r="A136" i="8"/>
  <c r="C135" i="8"/>
  <c r="A135" i="8"/>
  <c r="C134" i="8"/>
  <c r="A134" i="8"/>
  <c r="C133" i="8"/>
  <c r="A133" i="8"/>
  <c r="C132" i="8"/>
  <c r="A132" i="8"/>
  <c r="C131" i="8"/>
  <c r="A131" i="8"/>
  <c r="C130" i="8"/>
  <c r="A130" i="8"/>
  <c r="C129" i="8"/>
  <c r="A129" i="8"/>
  <c r="C128" i="8"/>
  <c r="A128" i="8"/>
  <c r="C125" i="8"/>
  <c r="A125" i="8"/>
  <c r="C124" i="8"/>
  <c r="A124" i="8"/>
  <c r="C123" i="8"/>
  <c r="A123" i="8"/>
  <c r="C122" i="8"/>
  <c r="A122" i="8"/>
  <c r="C121" i="8"/>
  <c r="A121" i="8"/>
  <c r="C120" i="8"/>
  <c r="A120" i="8"/>
  <c r="C119" i="8"/>
  <c r="A119" i="8"/>
  <c r="C118" i="8"/>
  <c r="A118" i="8"/>
  <c r="C117" i="8"/>
  <c r="A117" i="8"/>
  <c r="C116" i="8"/>
  <c r="A116" i="8"/>
  <c r="C115" i="8"/>
  <c r="A115" i="8"/>
  <c r="C114" i="8"/>
  <c r="A114" i="8"/>
  <c r="C111" i="8"/>
  <c r="A111" i="8"/>
  <c r="C110" i="8"/>
  <c r="A110" i="8"/>
  <c r="C109" i="8"/>
  <c r="A109" i="8"/>
  <c r="C108" i="8"/>
  <c r="A108" i="8"/>
  <c r="C107" i="8"/>
  <c r="A107" i="8"/>
  <c r="C106" i="8"/>
  <c r="A106" i="8"/>
  <c r="C105" i="8"/>
  <c r="A105" i="8"/>
  <c r="C104" i="8"/>
  <c r="A104" i="8"/>
  <c r="C103" i="8"/>
  <c r="A103" i="8"/>
  <c r="C102" i="8"/>
  <c r="A102" i="8"/>
  <c r="C101" i="8"/>
  <c r="A101" i="8"/>
  <c r="C100" i="8"/>
  <c r="A100" i="8"/>
  <c r="C97" i="8"/>
  <c r="A97" i="8"/>
  <c r="C96" i="8"/>
  <c r="A96" i="8"/>
  <c r="C95" i="8"/>
  <c r="A95" i="8"/>
  <c r="C94" i="8"/>
  <c r="A94" i="8"/>
  <c r="C93" i="8"/>
  <c r="A93" i="8"/>
  <c r="C92" i="8"/>
  <c r="A92" i="8"/>
  <c r="C91" i="8"/>
  <c r="A91" i="8"/>
  <c r="C90" i="8"/>
  <c r="A90" i="8"/>
  <c r="C89" i="8"/>
  <c r="A89" i="8"/>
  <c r="C88" i="8"/>
  <c r="A88" i="8"/>
  <c r="C87" i="8"/>
  <c r="A87" i="8"/>
  <c r="C86" i="8"/>
  <c r="A86" i="8"/>
  <c r="C83" i="8"/>
  <c r="A83" i="8"/>
  <c r="C82" i="8"/>
  <c r="A82" i="8"/>
  <c r="C81" i="8"/>
  <c r="A81" i="8"/>
  <c r="C80" i="8"/>
  <c r="A80" i="8"/>
  <c r="C79" i="8"/>
  <c r="A79" i="8"/>
  <c r="C78" i="8"/>
  <c r="A78" i="8"/>
  <c r="C77" i="8"/>
  <c r="A77" i="8"/>
  <c r="C76" i="8"/>
  <c r="A76" i="8"/>
  <c r="C75" i="8"/>
  <c r="A75" i="8"/>
  <c r="C74" i="8"/>
  <c r="A74" i="8"/>
  <c r="C73" i="8"/>
  <c r="A73" i="8"/>
  <c r="C72" i="8"/>
  <c r="A72" i="8"/>
  <c r="C69" i="8"/>
  <c r="A69" i="8"/>
  <c r="C68" i="8"/>
  <c r="A68" i="8"/>
  <c r="C67" i="8"/>
  <c r="A67" i="8"/>
  <c r="C66" i="8"/>
  <c r="A66" i="8"/>
  <c r="C27" i="7"/>
  <c r="A27" i="7"/>
  <c r="C26" i="7"/>
  <c r="A26" i="7"/>
  <c r="C25" i="7"/>
  <c r="A25" i="7"/>
  <c r="C24" i="7"/>
  <c r="A24" i="7"/>
  <c r="C23" i="7"/>
  <c r="A23" i="7"/>
  <c r="C22" i="7"/>
  <c r="A22" i="7"/>
  <c r="C21" i="7"/>
  <c r="A21" i="7"/>
  <c r="C20" i="7"/>
  <c r="A20" i="7"/>
  <c r="C19" i="7"/>
  <c r="A19" i="7"/>
  <c r="C18" i="7"/>
  <c r="A18" i="7"/>
  <c r="C17" i="7"/>
  <c r="A17" i="7"/>
  <c r="C16" i="7"/>
  <c r="A16" i="7"/>
  <c r="A13" i="7"/>
  <c r="A12" i="7"/>
  <c r="A11" i="7"/>
  <c r="A10" i="7"/>
  <c r="A9" i="7"/>
  <c r="A8" i="7"/>
  <c r="C7" i="7"/>
  <c r="A7" i="7"/>
  <c r="C6" i="7"/>
  <c r="A6" i="7"/>
  <c r="C5" i="7"/>
  <c r="A5" i="7"/>
  <c r="C4" i="7"/>
  <c r="A4" i="7"/>
  <c r="C3" i="7"/>
  <c r="A3" i="7"/>
  <c r="C2" i="7"/>
  <c r="A2" i="7"/>
  <c r="C535" i="4"/>
  <c r="B535" i="4"/>
  <c r="A535" i="4"/>
  <c r="E535" i="4"/>
  <c r="C534" i="4"/>
  <c r="B534" i="4"/>
  <c r="A534" i="4"/>
  <c r="A533" i="4"/>
  <c r="C533" i="4"/>
  <c r="B533" i="4"/>
  <c r="C532" i="4"/>
  <c r="B532" i="4"/>
  <c r="A532" i="4"/>
  <c r="E532" i="4"/>
  <c r="C531" i="4"/>
  <c r="B531" i="4"/>
  <c r="A531" i="4"/>
  <c r="E531" i="4"/>
  <c r="C530" i="4"/>
  <c r="B530" i="4"/>
  <c r="A530" i="4"/>
  <c r="C529" i="4"/>
  <c r="B529" i="4"/>
  <c r="A529" i="4"/>
  <c r="E529" i="4"/>
  <c r="C528" i="4"/>
  <c r="B528" i="4"/>
  <c r="A528" i="4"/>
  <c r="E528" i="4"/>
  <c r="C527" i="4"/>
  <c r="B527" i="4"/>
  <c r="A527" i="4"/>
  <c r="E527" i="4"/>
  <c r="C526" i="4"/>
  <c r="B526" i="4"/>
  <c r="A526" i="4"/>
  <c r="E526" i="4"/>
  <c r="C525" i="4"/>
  <c r="B525" i="4"/>
  <c r="A525" i="4"/>
  <c r="E525" i="4"/>
  <c r="C524" i="4"/>
  <c r="B524" i="4"/>
  <c r="A524" i="4"/>
  <c r="E524" i="4"/>
  <c r="C523" i="4"/>
  <c r="B523" i="4"/>
  <c r="A523" i="4"/>
  <c r="E523" i="4"/>
  <c r="C522" i="4"/>
  <c r="B522" i="4"/>
  <c r="A522" i="4"/>
  <c r="E522" i="4"/>
  <c r="C521" i="4"/>
  <c r="B521" i="4"/>
  <c r="A521" i="4"/>
  <c r="E521" i="4"/>
  <c r="C520" i="4"/>
  <c r="B520" i="4"/>
  <c r="A520" i="4"/>
  <c r="E520" i="4"/>
  <c r="C519" i="4"/>
  <c r="B519" i="4"/>
  <c r="A519" i="4"/>
  <c r="E519" i="4"/>
  <c r="C518" i="4"/>
  <c r="B518" i="4"/>
  <c r="A518" i="4"/>
  <c r="C517" i="4"/>
  <c r="B517" i="4"/>
  <c r="A517" i="4"/>
  <c r="E517" i="4"/>
  <c r="C516" i="4"/>
  <c r="B516" i="4"/>
  <c r="A516" i="4"/>
  <c r="E516" i="4"/>
  <c r="C515" i="4"/>
  <c r="B515" i="4"/>
  <c r="A515" i="4"/>
  <c r="E515" i="4"/>
  <c r="C514" i="4"/>
  <c r="B514" i="4"/>
  <c r="A514" i="4"/>
  <c r="E514" i="4"/>
  <c r="C513" i="4"/>
  <c r="B513" i="4"/>
  <c r="A513" i="4"/>
  <c r="E513" i="4"/>
  <c r="C512" i="4"/>
  <c r="B512" i="4"/>
  <c r="A512" i="4"/>
  <c r="E512" i="4"/>
  <c r="C511" i="4"/>
  <c r="B511" i="4"/>
  <c r="A511" i="4"/>
  <c r="E511" i="4"/>
  <c r="C510" i="4"/>
  <c r="B510" i="4"/>
  <c r="A510" i="4"/>
  <c r="E510" i="4"/>
  <c r="C509" i="4"/>
  <c r="B509" i="4"/>
  <c r="A509" i="4"/>
  <c r="E509" i="4"/>
  <c r="C508" i="4"/>
  <c r="B508" i="4"/>
  <c r="A508" i="4"/>
  <c r="E508" i="4"/>
  <c r="C507" i="4"/>
  <c r="B507" i="4"/>
  <c r="A507" i="4"/>
  <c r="E507" i="4"/>
  <c r="C506" i="4"/>
  <c r="B506" i="4"/>
  <c r="A506" i="4"/>
  <c r="E506" i="4"/>
  <c r="C505" i="4"/>
  <c r="B505" i="4"/>
  <c r="A505" i="4"/>
  <c r="E505" i="4"/>
  <c r="C504" i="4"/>
  <c r="B504" i="4"/>
  <c r="A504" i="4"/>
  <c r="E504" i="4"/>
  <c r="C503" i="4"/>
  <c r="B503" i="4"/>
  <c r="A503" i="4"/>
  <c r="E503" i="4"/>
  <c r="C502" i="4"/>
  <c r="B502" i="4"/>
  <c r="A502" i="4"/>
  <c r="C501" i="4"/>
  <c r="B501" i="4"/>
  <c r="A501" i="4"/>
  <c r="E501" i="4"/>
  <c r="C500" i="4"/>
  <c r="B500" i="4"/>
  <c r="A500" i="4"/>
  <c r="E500" i="4"/>
  <c r="C499" i="4"/>
  <c r="B499" i="4"/>
  <c r="A499" i="4"/>
  <c r="E499" i="4"/>
  <c r="C498" i="4"/>
  <c r="B498" i="4"/>
  <c r="A498" i="4"/>
  <c r="F498" i="4"/>
  <c r="C497" i="4"/>
  <c r="B497" i="4"/>
  <c r="A497" i="4"/>
  <c r="E497" i="4"/>
  <c r="C496" i="4"/>
  <c r="B496" i="4"/>
  <c r="A496" i="4"/>
  <c r="E496" i="4"/>
  <c r="C495" i="4"/>
  <c r="B495" i="4"/>
  <c r="A495" i="4"/>
  <c r="E495" i="4"/>
  <c r="C494" i="4"/>
  <c r="B494" i="4"/>
  <c r="A494" i="4"/>
  <c r="E494" i="4"/>
  <c r="C493" i="4"/>
  <c r="B493" i="4"/>
  <c r="A493" i="4"/>
  <c r="E493" i="4"/>
  <c r="C492" i="4"/>
  <c r="B492" i="4"/>
  <c r="A492" i="4"/>
  <c r="E492" i="4"/>
  <c r="C491" i="4"/>
  <c r="B491" i="4"/>
  <c r="A491" i="4"/>
  <c r="E491" i="4"/>
  <c r="C490" i="4"/>
  <c r="B490" i="4"/>
  <c r="A490" i="4"/>
  <c r="E490" i="4"/>
  <c r="C489" i="4"/>
  <c r="B489" i="4"/>
  <c r="A489" i="4"/>
  <c r="E489" i="4"/>
  <c r="C488" i="4"/>
  <c r="B488" i="4"/>
  <c r="A488" i="4"/>
  <c r="E488" i="4"/>
  <c r="C487" i="4"/>
  <c r="B487" i="4"/>
  <c r="A487" i="4"/>
  <c r="E487" i="4"/>
  <c r="C486" i="4"/>
  <c r="B486" i="4"/>
  <c r="A486" i="4"/>
  <c r="A485" i="4"/>
  <c r="C485" i="4"/>
  <c r="B485" i="4"/>
  <c r="C484" i="4"/>
  <c r="B484" i="4"/>
  <c r="A484" i="4"/>
  <c r="E484" i="4"/>
  <c r="C483" i="4"/>
  <c r="B483" i="4"/>
  <c r="A483" i="4"/>
  <c r="E483" i="4"/>
  <c r="C482" i="4"/>
  <c r="B482" i="4"/>
  <c r="A482" i="4"/>
  <c r="E482" i="4"/>
  <c r="C481" i="4"/>
  <c r="B481" i="4"/>
  <c r="A481" i="4"/>
  <c r="E481" i="4"/>
  <c r="C480" i="4"/>
  <c r="B480" i="4"/>
  <c r="A480" i="4"/>
  <c r="E480" i="4"/>
  <c r="C479" i="4"/>
  <c r="B479" i="4"/>
  <c r="A479" i="4"/>
  <c r="E479" i="4"/>
  <c r="C478" i="4"/>
  <c r="B478" i="4"/>
  <c r="A478" i="4"/>
  <c r="E478" i="4"/>
  <c r="C477" i="4"/>
  <c r="B477" i="4"/>
  <c r="A477" i="4"/>
  <c r="E477" i="4"/>
  <c r="C476" i="4"/>
  <c r="B476" i="4"/>
  <c r="A476" i="4"/>
  <c r="E476" i="4"/>
  <c r="C475" i="4"/>
  <c r="B475" i="4"/>
  <c r="A475" i="4"/>
  <c r="E475" i="4"/>
  <c r="C474" i="4"/>
  <c r="B474" i="4"/>
  <c r="A474" i="4"/>
  <c r="E474" i="4"/>
  <c r="C473" i="4"/>
  <c r="B473" i="4"/>
  <c r="A473" i="4"/>
  <c r="E473" i="4"/>
  <c r="C472" i="4"/>
  <c r="B472" i="4"/>
  <c r="A472" i="4"/>
  <c r="E472" i="4"/>
  <c r="C471" i="4"/>
  <c r="B471" i="4"/>
  <c r="A471" i="4"/>
  <c r="E471" i="4"/>
  <c r="C470" i="4"/>
  <c r="B470" i="4"/>
  <c r="A470" i="4"/>
  <c r="C469" i="4"/>
  <c r="B469" i="4"/>
  <c r="A469" i="4"/>
  <c r="E469" i="4"/>
  <c r="C468" i="4"/>
  <c r="B468" i="4"/>
  <c r="A468" i="4"/>
  <c r="E468" i="4"/>
  <c r="C467" i="4"/>
  <c r="B467" i="4"/>
  <c r="A467" i="4"/>
  <c r="E467" i="4"/>
  <c r="C466" i="4"/>
  <c r="B466" i="4"/>
  <c r="A466" i="4"/>
  <c r="A465" i="4"/>
  <c r="D465" i="4"/>
  <c r="C465" i="4"/>
  <c r="B465" i="4"/>
  <c r="E465" i="4"/>
  <c r="C464" i="4"/>
  <c r="B464" i="4"/>
  <c r="A464" i="4"/>
  <c r="E464" i="4"/>
  <c r="C463" i="4"/>
  <c r="B463" i="4"/>
  <c r="A463" i="4"/>
  <c r="E463" i="4"/>
  <c r="C462" i="4"/>
  <c r="B462" i="4"/>
  <c r="A462" i="4"/>
  <c r="E462" i="4"/>
  <c r="C461" i="4"/>
  <c r="B461" i="4"/>
  <c r="A461" i="4"/>
  <c r="E461" i="4"/>
  <c r="C460" i="4"/>
  <c r="B460" i="4"/>
  <c r="A460" i="4"/>
  <c r="E460" i="4"/>
  <c r="C459" i="4"/>
  <c r="B459" i="4"/>
  <c r="A459" i="4"/>
  <c r="C458" i="4"/>
  <c r="B458" i="4"/>
  <c r="A458" i="4"/>
  <c r="E458" i="4"/>
  <c r="A457" i="4"/>
  <c r="D457" i="4"/>
  <c r="C457" i="4"/>
  <c r="B457" i="4"/>
  <c r="C456" i="4"/>
  <c r="B456" i="4"/>
  <c r="A456" i="4"/>
  <c r="C455" i="4"/>
  <c r="B455" i="4"/>
  <c r="A455" i="4"/>
  <c r="C454" i="4"/>
  <c r="B454" i="4"/>
  <c r="A454" i="4"/>
  <c r="C453" i="4"/>
  <c r="B453" i="4"/>
  <c r="A453" i="4"/>
  <c r="D453" i="4"/>
  <c r="C452" i="4"/>
  <c r="B452" i="4"/>
  <c r="A452" i="4"/>
  <c r="F452" i="4"/>
  <c r="C451" i="4"/>
  <c r="B451" i="4"/>
  <c r="A451" i="4"/>
  <c r="F451" i="4"/>
  <c r="C450" i="4"/>
  <c r="B450" i="4"/>
  <c r="A450" i="4"/>
  <c r="D450" i="4"/>
  <c r="C449" i="4"/>
  <c r="B449" i="4"/>
  <c r="A449" i="4"/>
  <c r="F449" i="4"/>
  <c r="A448" i="4"/>
  <c r="D448" i="4"/>
  <c r="C448" i="4"/>
  <c r="B448" i="4"/>
  <c r="E448" i="4"/>
  <c r="C447" i="4"/>
  <c r="B447" i="4"/>
  <c r="A447" i="4"/>
  <c r="C446" i="4"/>
  <c r="B446" i="4"/>
  <c r="A446" i="4"/>
  <c r="E446" i="4"/>
  <c r="C445" i="4"/>
  <c r="B445" i="4"/>
  <c r="A445" i="4"/>
  <c r="E445" i="4"/>
  <c r="C444" i="4"/>
  <c r="B444" i="4"/>
  <c r="A444" i="4"/>
  <c r="E444" i="4"/>
  <c r="C443" i="4"/>
  <c r="B443" i="4"/>
  <c r="A443" i="4"/>
  <c r="C442" i="4"/>
  <c r="B442" i="4"/>
  <c r="A442" i="4"/>
  <c r="E442" i="4"/>
  <c r="C441" i="4"/>
  <c r="B441" i="4"/>
  <c r="A441" i="4"/>
  <c r="E441" i="4"/>
  <c r="A440" i="4"/>
  <c r="D440" i="4"/>
  <c r="C440" i="4"/>
  <c r="B440" i="4"/>
  <c r="E440" i="4"/>
  <c r="C439" i="4"/>
  <c r="B439" i="4"/>
  <c r="A439" i="4"/>
  <c r="E439" i="4"/>
  <c r="C438" i="4"/>
  <c r="B438" i="4"/>
  <c r="A438" i="4"/>
  <c r="C437" i="4"/>
  <c r="B437" i="4"/>
  <c r="A437" i="4"/>
  <c r="E437" i="4"/>
  <c r="C436" i="4"/>
  <c r="B436" i="4"/>
  <c r="A436" i="4"/>
  <c r="E436" i="4"/>
  <c r="C435" i="4"/>
  <c r="B435" i="4"/>
  <c r="A435" i="4"/>
  <c r="C434" i="4"/>
  <c r="B434" i="4"/>
  <c r="A434" i="4"/>
  <c r="E434" i="4"/>
  <c r="C433" i="4"/>
  <c r="B433" i="4"/>
  <c r="A433" i="4"/>
  <c r="C432" i="4"/>
  <c r="B432" i="4"/>
  <c r="A432" i="4"/>
  <c r="A431" i="4"/>
  <c r="D431" i="4"/>
  <c r="C431" i="4"/>
  <c r="B431" i="4"/>
  <c r="E431" i="4"/>
  <c r="A430" i="4"/>
  <c r="E430" i="4"/>
  <c r="C430" i="4"/>
  <c r="B430" i="4"/>
  <c r="C429" i="4"/>
  <c r="B429" i="4"/>
  <c r="A429" i="4"/>
  <c r="E429" i="4"/>
  <c r="C428" i="4"/>
  <c r="B428" i="4"/>
  <c r="A428" i="4"/>
  <c r="E428" i="4"/>
  <c r="C427" i="4"/>
  <c r="B427" i="4"/>
  <c r="A427" i="4"/>
  <c r="E427" i="4"/>
  <c r="C426" i="4"/>
  <c r="B426" i="4"/>
  <c r="A426" i="4"/>
  <c r="E426" i="4"/>
  <c r="C425" i="4"/>
  <c r="B425" i="4"/>
  <c r="A425" i="4"/>
  <c r="E425" i="4"/>
  <c r="C424" i="4"/>
  <c r="B424" i="4"/>
  <c r="A424" i="4"/>
  <c r="E424" i="4"/>
  <c r="A423" i="4"/>
  <c r="D423" i="4"/>
  <c r="C423" i="4"/>
  <c r="B423" i="4"/>
  <c r="E423" i="4"/>
  <c r="C422" i="4"/>
  <c r="B422" i="4"/>
  <c r="A422" i="4"/>
  <c r="C421" i="4"/>
  <c r="B421" i="4"/>
  <c r="A421" i="4"/>
  <c r="E421" i="4"/>
  <c r="C420" i="4"/>
  <c r="B420" i="4"/>
  <c r="A420" i="4"/>
  <c r="E420" i="4"/>
  <c r="C419" i="4"/>
  <c r="B419" i="4"/>
  <c r="A419" i="4"/>
  <c r="E419" i="4"/>
  <c r="C418" i="4"/>
  <c r="B418" i="4"/>
  <c r="A418" i="4"/>
  <c r="E418" i="4"/>
  <c r="C417" i="4"/>
  <c r="B417" i="4"/>
  <c r="A417" i="4"/>
  <c r="E417" i="4"/>
  <c r="C416" i="4"/>
  <c r="B416" i="4"/>
  <c r="A416" i="4"/>
  <c r="E416" i="4"/>
  <c r="C415" i="4"/>
  <c r="B415" i="4"/>
  <c r="A415" i="4"/>
  <c r="E415" i="4"/>
  <c r="C414" i="4"/>
  <c r="B414" i="4"/>
  <c r="A414" i="4"/>
  <c r="E414" i="4"/>
  <c r="C413" i="4"/>
  <c r="B413" i="4"/>
  <c r="A413" i="4"/>
  <c r="E413" i="4"/>
  <c r="C412" i="4"/>
  <c r="B412" i="4"/>
  <c r="A412" i="4"/>
  <c r="E412" i="4"/>
  <c r="C411" i="4"/>
  <c r="B411" i="4"/>
  <c r="A411" i="4"/>
  <c r="E411" i="4"/>
  <c r="C410" i="4"/>
  <c r="B410" i="4"/>
  <c r="A410" i="4"/>
  <c r="D410" i="4"/>
  <c r="C409" i="4"/>
  <c r="B409" i="4"/>
  <c r="A409" i="4"/>
  <c r="E409" i="4"/>
  <c r="C408" i="4"/>
  <c r="B408" i="4"/>
  <c r="A408" i="4"/>
  <c r="E408" i="4"/>
  <c r="C407" i="4"/>
  <c r="B407" i="4"/>
  <c r="A407" i="4"/>
  <c r="E407" i="4"/>
  <c r="C406" i="4"/>
  <c r="B406" i="4"/>
  <c r="A406" i="4"/>
  <c r="F406" i="4"/>
  <c r="C405" i="4"/>
  <c r="B405" i="4"/>
  <c r="A405" i="4"/>
  <c r="E405" i="4"/>
  <c r="C404" i="4"/>
  <c r="B404" i="4"/>
  <c r="A404" i="4"/>
  <c r="E404" i="4"/>
  <c r="A403" i="4"/>
  <c r="C401" i="4"/>
  <c r="B401" i="4"/>
  <c r="A401" i="4"/>
  <c r="F401" i="4"/>
  <c r="C400" i="4"/>
  <c r="B400" i="4"/>
  <c r="A400" i="4"/>
  <c r="F400" i="4"/>
  <c r="C399" i="4"/>
  <c r="B399" i="4"/>
  <c r="A399" i="4"/>
  <c r="F399" i="4"/>
  <c r="C398" i="4"/>
  <c r="B398" i="4"/>
  <c r="A398" i="4"/>
  <c r="F398" i="4"/>
  <c r="C397" i="4"/>
  <c r="B397" i="4"/>
  <c r="A397" i="4"/>
  <c r="F397" i="4"/>
  <c r="C396" i="4"/>
  <c r="B396" i="4"/>
  <c r="A396" i="4"/>
  <c r="F396" i="4"/>
  <c r="C395" i="4"/>
  <c r="B395" i="4"/>
  <c r="A395" i="4"/>
  <c r="F395" i="4"/>
  <c r="C394" i="4"/>
  <c r="B394" i="4"/>
  <c r="A394" i="4"/>
  <c r="D394" i="4"/>
  <c r="C393" i="4"/>
  <c r="B393" i="4"/>
  <c r="A393" i="4"/>
  <c r="F393" i="4"/>
  <c r="C392" i="4"/>
  <c r="B392" i="4"/>
  <c r="A392" i="4"/>
  <c r="A391" i="4"/>
  <c r="D391" i="4"/>
  <c r="C391" i="4"/>
  <c r="B391" i="4"/>
  <c r="F391" i="4"/>
  <c r="C390" i="4"/>
  <c r="B390" i="4"/>
  <c r="A390" i="4"/>
  <c r="C389" i="4"/>
  <c r="B389" i="4"/>
  <c r="A389" i="4"/>
  <c r="F389" i="4"/>
  <c r="C388" i="4"/>
  <c r="B388" i="4"/>
  <c r="A388" i="4"/>
  <c r="F388" i="4"/>
  <c r="C387" i="4"/>
  <c r="B387" i="4"/>
  <c r="A387" i="4"/>
  <c r="F387" i="4"/>
  <c r="C386" i="4"/>
  <c r="B386" i="4"/>
  <c r="A386" i="4"/>
  <c r="D386" i="4"/>
  <c r="C385" i="4"/>
  <c r="B385" i="4"/>
  <c r="A385" i="4"/>
  <c r="F385" i="4"/>
  <c r="C384" i="4"/>
  <c r="B384" i="4"/>
  <c r="A384" i="4"/>
  <c r="F384" i="4"/>
  <c r="C383" i="4"/>
  <c r="B383" i="4"/>
  <c r="A383" i="4"/>
  <c r="F383" i="4"/>
  <c r="C382" i="4"/>
  <c r="B382" i="4"/>
  <c r="A382" i="4"/>
  <c r="F382" i="4"/>
  <c r="C381" i="4"/>
  <c r="B381" i="4"/>
  <c r="A381" i="4"/>
  <c r="F381" i="4"/>
  <c r="C380" i="4"/>
  <c r="B380" i="4"/>
  <c r="A380" i="4"/>
  <c r="F380" i="4"/>
  <c r="C379" i="4"/>
  <c r="B379" i="4"/>
  <c r="A379" i="4"/>
  <c r="F379" i="4"/>
  <c r="C378" i="4"/>
  <c r="B378" i="4"/>
  <c r="A378" i="4"/>
  <c r="D378" i="4"/>
  <c r="C377" i="4"/>
  <c r="B377" i="4"/>
  <c r="A377" i="4"/>
  <c r="F377" i="4"/>
  <c r="C376" i="4"/>
  <c r="B376" i="4"/>
  <c r="A376" i="4"/>
  <c r="F376" i="4"/>
  <c r="C375" i="4"/>
  <c r="B375" i="4"/>
  <c r="A375" i="4"/>
  <c r="F375" i="4"/>
  <c r="C374" i="4"/>
  <c r="B374" i="4"/>
  <c r="A374" i="4"/>
  <c r="F374" i="4"/>
  <c r="C373" i="4"/>
  <c r="B373" i="4"/>
  <c r="F373" i="4"/>
  <c r="C372" i="4"/>
  <c r="B372" i="4"/>
  <c r="A372" i="4"/>
  <c r="F372" i="4"/>
  <c r="C371" i="4"/>
  <c r="B371" i="4"/>
  <c r="A371" i="4"/>
  <c r="F371" i="4"/>
  <c r="C370" i="4"/>
  <c r="B370" i="4"/>
  <c r="A370" i="4"/>
  <c r="D370" i="4"/>
  <c r="C369" i="4"/>
  <c r="B369" i="4"/>
  <c r="A369" i="4"/>
  <c r="F369" i="4"/>
  <c r="A368" i="4"/>
  <c r="F368" i="4"/>
  <c r="C368" i="4"/>
  <c r="B368" i="4"/>
  <c r="A367" i="4"/>
  <c r="D367" i="4"/>
  <c r="C367" i="4"/>
  <c r="B367" i="4"/>
  <c r="F367" i="4"/>
  <c r="A366" i="4"/>
  <c r="F366" i="4"/>
  <c r="C366" i="4"/>
  <c r="B366" i="4"/>
  <c r="A365" i="4"/>
  <c r="D365" i="4"/>
  <c r="C365" i="4"/>
  <c r="B365" i="4"/>
  <c r="F365" i="4"/>
  <c r="A364" i="4"/>
  <c r="F364" i="4"/>
  <c r="C364" i="4"/>
  <c r="B364" i="4"/>
  <c r="A363" i="4"/>
  <c r="D363" i="4"/>
  <c r="C363" i="4"/>
  <c r="B363" i="4"/>
  <c r="F363" i="4"/>
  <c r="C362" i="4"/>
  <c r="B362" i="4"/>
  <c r="A362" i="4"/>
  <c r="C361" i="4"/>
  <c r="B361" i="4"/>
  <c r="A361" i="4"/>
  <c r="F361" i="4"/>
  <c r="C360" i="4"/>
  <c r="B360" i="4"/>
  <c r="A360" i="4"/>
  <c r="A359" i="4"/>
  <c r="D359" i="4"/>
  <c r="C359" i="4"/>
  <c r="B359" i="4"/>
  <c r="F359" i="4"/>
  <c r="C358" i="4"/>
  <c r="B358" i="4"/>
  <c r="A358" i="4"/>
  <c r="E358" i="4"/>
  <c r="C357" i="4"/>
  <c r="B357" i="4"/>
  <c r="A357" i="4"/>
  <c r="F357" i="4"/>
  <c r="C356" i="4"/>
  <c r="B356" i="4"/>
  <c r="A356" i="4"/>
  <c r="F356" i="4"/>
  <c r="C355" i="4"/>
  <c r="B355" i="4"/>
  <c r="A355" i="4"/>
  <c r="F355" i="4"/>
  <c r="C354" i="4"/>
  <c r="B354" i="4"/>
  <c r="A354" i="4"/>
  <c r="E354" i="4"/>
  <c r="D354" i="4"/>
  <c r="C353" i="4"/>
  <c r="B353" i="4"/>
  <c r="A353" i="4"/>
  <c r="F353" i="4"/>
  <c r="C352" i="4"/>
  <c r="B352" i="4"/>
  <c r="A352" i="4"/>
  <c r="F352" i="4"/>
  <c r="C351" i="4"/>
  <c r="B351" i="4"/>
  <c r="F351" i="4"/>
  <c r="C350" i="4"/>
  <c r="B350" i="4"/>
  <c r="A350" i="4"/>
  <c r="F350" i="4"/>
  <c r="C349" i="4"/>
  <c r="B349" i="4"/>
  <c r="A349" i="4"/>
  <c r="F349" i="4"/>
  <c r="C348" i="4"/>
  <c r="B348" i="4"/>
  <c r="A348" i="4"/>
  <c r="F348" i="4"/>
  <c r="C347" i="4"/>
  <c r="B347" i="4"/>
  <c r="A347" i="4"/>
  <c r="F347" i="4"/>
  <c r="C346" i="4"/>
  <c r="B346" i="4"/>
  <c r="A346" i="4"/>
  <c r="D346" i="4"/>
  <c r="C345" i="4"/>
  <c r="B345" i="4"/>
  <c r="A345" i="4"/>
  <c r="D345" i="4"/>
  <c r="C344" i="4"/>
  <c r="B344" i="4"/>
  <c r="A344" i="4"/>
  <c r="E344" i="4"/>
  <c r="C343" i="4"/>
  <c r="B343" i="4"/>
  <c r="A343" i="4"/>
  <c r="D343" i="4"/>
  <c r="C342" i="4"/>
  <c r="B342" i="4"/>
  <c r="A342" i="4"/>
  <c r="F342" i="4"/>
  <c r="C341" i="4"/>
  <c r="B341" i="4"/>
  <c r="A341" i="4"/>
  <c r="D341" i="4"/>
  <c r="C340" i="4"/>
  <c r="B340" i="4"/>
  <c r="A340" i="4"/>
  <c r="E340" i="4"/>
  <c r="C339" i="4"/>
  <c r="B339" i="4"/>
  <c r="A339" i="4"/>
  <c r="D339" i="4"/>
  <c r="C338" i="4"/>
  <c r="B338" i="4"/>
  <c r="F338" i="4"/>
  <c r="C337" i="4"/>
  <c r="B337" i="4"/>
  <c r="A337" i="4"/>
  <c r="E337" i="4"/>
  <c r="C336" i="4"/>
  <c r="B336" i="4"/>
  <c r="A336" i="4"/>
  <c r="F336" i="4"/>
  <c r="C335" i="4"/>
  <c r="B335" i="4"/>
  <c r="A335" i="4"/>
  <c r="E335" i="4"/>
  <c r="C334" i="4"/>
  <c r="B334" i="4"/>
  <c r="A334" i="4"/>
  <c r="F334" i="4"/>
  <c r="C333" i="4"/>
  <c r="B333" i="4"/>
  <c r="A333" i="4"/>
  <c r="E333" i="4"/>
  <c r="C332" i="4"/>
  <c r="B332" i="4"/>
  <c r="A332" i="4"/>
  <c r="F332" i="4"/>
  <c r="C331" i="4"/>
  <c r="B331" i="4"/>
  <c r="A331" i="4"/>
  <c r="E331" i="4"/>
  <c r="C330" i="4"/>
  <c r="B330" i="4"/>
  <c r="A330" i="4"/>
  <c r="F330" i="4"/>
  <c r="C329" i="4"/>
  <c r="B329" i="4"/>
  <c r="A329" i="4"/>
  <c r="E329" i="4"/>
  <c r="C328" i="4"/>
  <c r="B328" i="4"/>
  <c r="A328" i="4"/>
  <c r="F328" i="4"/>
  <c r="C327" i="4"/>
  <c r="B327" i="4"/>
  <c r="A327" i="4"/>
  <c r="C326" i="4"/>
  <c r="B326" i="4"/>
  <c r="A326" i="4"/>
  <c r="F326" i="4"/>
  <c r="C325" i="4"/>
  <c r="B325" i="4"/>
  <c r="A325" i="4"/>
  <c r="F325" i="4"/>
  <c r="C324" i="4"/>
  <c r="B324" i="4"/>
  <c r="A324" i="4"/>
  <c r="D324" i="4"/>
  <c r="C323" i="4"/>
  <c r="B323" i="4"/>
  <c r="A323" i="4"/>
  <c r="E323" i="4"/>
  <c r="C322" i="4"/>
  <c r="B322" i="4"/>
  <c r="A322" i="4"/>
  <c r="F322" i="4"/>
  <c r="C321" i="4"/>
  <c r="B321" i="4"/>
  <c r="A321" i="4"/>
  <c r="D321" i="4"/>
  <c r="E321" i="4"/>
  <c r="C320" i="4"/>
  <c r="B320" i="4"/>
  <c r="A320" i="4"/>
  <c r="F320" i="4"/>
  <c r="C319" i="4"/>
  <c r="B319" i="4"/>
  <c r="A319" i="4"/>
  <c r="E319" i="4"/>
  <c r="C318" i="4"/>
  <c r="B318" i="4"/>
  <c r="A318" i="4"/>
  <c r="F318" i="4"/>
  <c r="C317" i="4"/>
  <c r="B317" i="4"/>
  <c r="A317" i="4"/>
  <c r="E317" i="4"/>
  <c r="C316" i="4"/>
  <c r="B316" i="4"/>
  <c r="A316" i="4"/>
  <c r="E316" i="4"/>
  <c r="F316" i="4"/>
  <c r="C315" i="4"/>
  <c r="B315" i="4"/>
  <c r="A315" i="4"/>
  <c r="D315" i="4"/>
  <c r="E315" i="4"/>
  <c r="C314" i="4"/>
  <c r="B314" i="4"/>
  <c r="A314" i="4"/>
  <c r="F314" i="4"/>
  <c r="A313" i="4"/>
  <c r="D313" i="4"/>
  <c r="C313" i="4"/>
  <c r="B313" i="4"/>
  <c r="E313" i="4"/>
  <c r="A312" i="4"/>
  <c r="D312" i="4"/>
  <c r="C312" i="4"/>
  <c r="B312" i="4"/>
  <c r="F312" i="4"/>
  <c r="C311" i="4"/>
  <c r="B311" i="4"/>
  <c r="A311" i="4"/>
  <c r="C310" i="4"/>
  <c r="B310" i="4"/>
  <c r="A310" i="4"/>
  <c r="F310" i="4"/>
  <c r="C309" i="4"/>
  <c r="B309" i="4"/>
  <c r="A309" i="4"/>
  <c r="E309" i="4"/>
  <c r="C308" i="4"/>
  <c r="B308" i="4"/>
  <c r="A308" i="4"/>
  <c r="F308" i="4"/>
  <c r="C307" i="4"/>
  <c r="B307" i="4"/>
  <c r="A307" i="4"/>
  <c r="C306" i="4"/>
  <c r="B306" i="4"/>
  <c r="A306" i="4"/>
  <c r="F306" i="4"/>
  <c r="C305" i="4"/>
  <c r="B305" i="4"/>
  <c r="A305" i="4"/>
  <c r="E305" i="4"/>
  <c r="C304" i="4"/>
  <c r="B304" i="4"/>
  <c r="A304" i="4"/>
  <c r="F304" i="4"/>
  <c r="C303" i="4"/>
  <c r="B303" i="4"/>
  <c r="A303" i="4"/>
  <c r="C302" i="4"/>
  <c r="B302" i="4"/>
  <c r="A302" i="4"/>
  <c r="F302" i="4"/>
  <c r="C301" i="4"/>
  <c r="B301" i="4"/>
  <c r="A301" i="4"/>
  <c r="E301" i="4"/>
  <c r="C300" i="4"/>
  <c r="B300" i="4"/>
  <c r="A300" i="4"/>
  <c r="F300" i="4"/>
  <c r="C299" i="4"/>
  <c r="B299" i="4"/>
  <c r="C298" i="4"/>
  <c r="B298" i="4"/>
  <c r="A298" i="4"/>
  <c r="C297" i="4"/>
  <c r="B297" i="4"/>
  <c r="C296" i="4"/>
  <c r="B296" i="4"/>
  <c r="A296" i="4"/>
  <c r="F296" i="4"/>
  <c r="C295" i="4"/>
  <c r="B295" i="4"/>
  <c r="A295" i="4"/>
  <c r="C294" i="4"/>
  <c r="B294" i="4"/>
  <c r="A294" i="4"/>
  <c r="F294" i="4"/>
  <c r="A293" i="4"/>
  <c r="F293" i="4"/>
  <c r="C293" i="4"/>
  <c r="B293" i="4"/>
  <c r="E293" i="4"/>
  <c r="A292" i="4"/>
  <c r="D292" i="4"/>
  <c r="C292" i="4"/>
  <c r="B292" i="4"/>
  <c r="F292" i="4"/>
  <c r="A291" i="4"/>
  <c r="F291" i="4"/>
  <c r="C291" i="4"/>
  <c r="B291" i="4"/>
  <c r="E291" i="4"/>
  <c r="A290" i="4"/>
  <c r="E290" i="4"/>
  <c r="C290" i="4"/>
  <c r="B290" i="4"/>
  <c r="A289" i="4"/>
  <c r="F289" i="4"/>
  <c r="C289" i="4"/>
  <c r="B289" i="4"/>
  <c r="E289" i="4"/>
  <c r="A288" i="4"/>
  <c r="D288" i="4"/>
  <c r="C288" i="4"/>
  <c r="B288" i="4"/>
  <c r="F288" i="4"/>
  <c r="A287" i="4"/>
  <c r="F287" i="4"/>
  <c r="C287" i="4"/>
  <c r="B287" i="4"/>
  <c r="C286" i="4"/>
  <c r="B286" i="4"/>
  <c r="A286" i="4"/>
  <c r="F286" i="4"/>
  <c r="C285" i="4"/>
  <c r="B285" i="4"/>
  <c r="A285" i="4"/>
  <c r="D285" i="4"/>
  <c r="C284" i="4"/>
  <c r="B284" i="4"/>
  <c r="A284" i="4"/>
  <c r="C283" i="4"/>
  <c r="B283" i="4"/>
  <c r="A283" i="4"/>
  <c r="C282" i="4"/>
  <c r="B282" i="4"/>
  <c r="A282" i="4"/>
  <c r="E282" i="4"/>
  <c r="C281" i="4"/>
  <c r="B281" i="4"/>
  <c r="A281" i="4"/>
  <c r="E281" i="4"/>
  <c r="C280" i="4"/>
  <c r="B280" i="4"/>
  <c r="A280" i="4"/>
  <c r="F280" i="4"/>
  <c r="C279" i="4"/>
  <c r="B279" i="4"/>
  <c r="A279" i="4"/>
  <c r="C278" i="4"/>
  <c r="B278" i="4"/>
  <c r="A278" i="4"/>
  <c r="F278" i="4"/>
  <c r="C277" i="4"/>
  <c r="B277" i="4"/>
  <c r="A277" i="4"/>
  <c r="E277" i="4"/>
  <c r="C276" i="4"/>
  <c r="B276" i="4"/>
  <c r="A276" i="4"/>
  <c r="F276" i="4"/>
  <c r="C275" i="4"/>
  <c r="B275" i="4"/>
  <c r="A275" i="4"/>
  <c r="E275" i="4"/>
  <c r="C274" i="4"/>
  <c r="B274" i="4"/>
  <c r="A274" i="4"/>
  <c r="E274" i="4"/>
  <c r="C273" i="4"/>
  <c r="B273" i="4"/>
  <c r="A273" i="4"/>
  <c r="E273" i="4"/>
  <c r="C272" i="4"/>
  <c r="B272" i="4"/>
  <c r="A272" i="4"/>
  <c r="F272" i="4"/>
  <c r="C271" i="4"/>
  <c r="B271" i="4"/>
  <c r="A271" i="4"/>
  <c r="E271" i="4"/>
  <c r="C270" i="4"/>
  <c r="B270" i="4"/>
  <c r="A270" i="4"/>
  <c r="F270" i="4"/>
  <c r="A269" i="4"/>
  <c r="C267" i="4"/>
  <c r="B267" i="4"/>
  <c r="A267" i="4"/>
  <c r="E267" i="4"/>
  <c r="C266" i="4"/>
  <c r="B266" i="4"/>
  <c r="A266" i="4"/>
  <c r="D266" i="4"/>
  <c r="C265" i="4"/>
  <c r="B265" i="4"/>
  <c r="A265" i="4"/>
  <c r="F265" i="4"/>
  <c r="C264" i="4"/>
  <c r="B264" i="4"/>
  <c r="A264" i="4"/>
  <c r="D264" i="4"/>
  <c r="C263" i="4"/>
  <c r="B263" i="4"/>
  <c r="A263" i="4"/>
  <c r="F263" i="4"/>
  <c r="C262" i="4"/>
  <c r="B262" i="4"/>
  <c r="A262" i="4"/>
  <c r="D262" i="4"/>
  <c r="C261" i="4"/>
  <c r="B261" i="4"/>
  <c r="A261" i="4"/>
  <c r="F261" i="4"/>
  <c r="C260" i="4"/>
  <c r="B260" i="4"/>
  <c r="A260" i="4"/>
  <c r="F260" i="4"/>
  <c r="C259" i="4"/>
  <c r="B259" i="4"/>
  <c r="A259" i="4"/>
  <c r="F259" i="4"/>
  <c r="C258" i="4"/>
  <c r="B258" i="4"/>
  <c r="A258" i="4"/>
  <c r="D258" i="4"/>
  <c r="C257" i="4"/>
  <c r="B257" i="4"/>
  <c r="A257" i="4"/>
  <c r="F257" i="4"/>
  <c r="C256" i="4"/>
  <c r="B256" i="4"/>
  <c r="A256" i="4"/>
  <c r="D256" i="4"/>
  <c r="C255" i="4"/>
  <c r="B255" i="4"/>
  <c r="A255" i="4"/>
  <c r="F255" i="4"/>
  <c r="C254" i="4"/>
  <c r="B254" i="4"/>
  <c r="A254" i="4"/>
  <c r="D254" i="4"/>
  <c r="C253" i="4"/>
  <c r="B253" i="4"/>
  <c r="A253" i="4"/>
  <c r="F253" i="4"/>
  <c r="C252" i="4"/>
  <c r="B252" i="4"/>
  <c r="A252" i="4"/>
  <c r="C251" i="4"/>
  <c r="B251" i="4"/>
  <c r="A251" i="4"/>
  <c r="F251" i="4"/>
  <c r="C250" i="4"/>
  <c r="B250" i="4"/>
  <c r="A250" i="4"/>
  <c r="D250" i="4"/>
  <c r="A249" i="4"/>
  <c r="D249" i="4"/>
  <c r="C249" i="4"/>
  <c r="B249" i="4"/>
  <c r="F249" i="4"/>
  <c r="C248" i="4"/>
  <c r="B248" i="4"/>
  <c r="A248" i="4"/>
  <c r="E248" i="4"/>
  <c r="C247" i="4"/>
  <c r="B247" i="4"/>
  <c r="A247" i="4"/>
  <c r="E247" i="4"/>
  <c r="C246" i="4"/>
  <c r="B246" i="4"/>
  <c r="A246" i="4"/>
  <c r="E246" i="4"/>
  <c r="C245" i="4"/>
  <c r="B245" i="4"/>
  <c r="A245" i="4"/>
  <c r="E245" i="4"/>
  <c r="C244" i="4"/>
  <c r="B244" i="4"/>
  <c r="A244" i="4"/>
  <c r="E244" i="4"/>
  <c r="C243" i="4"/>
  <c r="B243" i="4"/>
  <c r="A243" i="4"/>
  <c r="E243" i="4"/>
  <c r="C242" i="4"/>
  <c r="B242" i="4"/>
  <c r="A242" i="4"/>
  <c r="E242" i="4"/>
  <c r="C241" i="4"/>
  <c r="B241" i="4"/>
  <c r="A241" i="4"/>
  <c r="E241" i="4"/>
  <c r="C240" i="4"/>
  <c r="B240" i="4"/>
  <c r="A240" i="4"/>
  <c r="E240" i="4"/>
  <c r="A239" i="4"/>
  <c r="D239" i="4"/>
  <c r="C239" i="4"/>
  <c r="B239" i="4"/>
  <c r="C238" i="4"/>
  <c r="B238" i="4"/>
  <c r="A238" i="4"/>
  <c r="C237" i="4"/>
  <c r="B237" i="4"/>
  <c r="A237" i="4"/>
  <c r="E237" i="4"/>
  <c r="C236" i="4"/>
  <c r="B236" i="4"/>
  <c r="A236" i="4"/>
  <c r="F236" i="4"/>
  <c r="C235" i="4"/>
  <c r="B235" i="4"/>
  <c r="A235" i="4"/>
  <c r="F235" i="4"/>
  <c r="C234" i="4"/>
  <c r="B234" i="4"/>
  <c r="A234" i="4"/>
  <c r="E234" i="4"/>
  <c r="A233" i="4"/>
  <c r="D233" i="4"/>
  <c r="C233" i="4"/>
  <c r="B233" i="4"/>
  <c r="E233" i="4"/>
  <c r="C232" i="4"/>
  <c r="B232" i="4"/>
  <c r="C231" i="4"/>
  <c r="B231" i="4"/>
  <c r="A231" i="4"/>
  <c r="E231" i="4"/>
  <c r="C230" i="4"/>
  <c r="B230" i="4"/>
  <c r="A230" i="4"/>
  <c r="E230" i="4"/>
  <c r="C229" i="4"/>
  <c r="B229" i="4"/>
  <c r="A229" i="4"/>
  <c r="E229" i="4"/>
  <c r="C228" i="4"/>
  <c r="B228" i="4"/>
  <c r="A228" i="4"/>
  <c r="E228" i="4"/>
  <c r="C227" i="4"/>
  <c r="B227" i="4"/>
  <c r="A227" i="4"/>
  <c r="E227" i="4"/>
  <c r="C226" i="4"/>
  <c r="B226" i="4"/>
  <c r="A226" i="4"/>
  <c r="E226" i="4"/>
  <c r="C225" i="4"/>
  <c r="B225" i="4"/>
  <c r="A225" i="4"/>
  <c r="E225" i="4"/>
  <c r="C224" i="4"/>
  <c r="B224" i="4"/>
  <c r="A224" i="4"/>
  <c r="E224" i="4"/>
  <c r="C223" i="4"/>
  <c r="B223" i="4"/>
  <c r="A223" i="4"/>
  <c r="E223" i="4"/>
  <c r="C222" i="4"/>
  <c r="B222" i="4"/>
  <c r="A222" i="4"/>
  <c r="E222" i="4"/>
  <c r="C221" i="4"/>
  <c r="B221" i="4"/>
  <c r="A221" i="4"/>
  <c r="E221" i="4"/>
  <c r="C220" i="4"/>
  <c r="B220" i="4"/>
  <c r="A220" i="4"/>
  <c r="E220" i="4"/>
  <c r="C219" i="4"/>
  <c r="B219" i="4"/>
  <c r="A219" i="4"/>
  <c r="E219" i="4"/>
  <c r="C218" i="4"/>
  <c r="B218" i="4"/>
  <c r="A218" i="4"/>
  <c r="E218" i="4"/>
  <c r="C217" i="4"/>
  <c r="B217" i="4"/>
  <c r="A217" i="4"/>
  <c r="E217" i="4"/>
  <c r="C216" i="4"/>
  <c r="B216" i="4"/>
  <c r="A216" i="4"/>
  <c r="E216" i="4"/>
  <c r="C215" i="4"/>
  <c r="B215" i="4"/>
  <c r="A215" i="4"/>
  <c r="E215" i="4"/>
  <c r="C214" i="4"/>
  <c r="B214" i="4"/>
  <c r="A214" i="4"/>
  <c r="E214" i="4"/>
  <c r="C213" i="4"/>
  <c r="B213" i="4"/>
  <c r="A213" i="4"/>
  <c r="E213" i="4"/>
  <c r="C212" i="4"/>
  <c r="B212" i="4"/>
  <c r="A212" i="4"/>
  <c r="E212" i="4"/>
  <c r="C211" i="4"/>
  <c r="B211" i="4"/>
  <c r="A211" i="4"/>
  <c r="E211" i="4"/>
  <c r="C210" i="4"/>
  <c r="B210" i="4"/>
  <c r="A210" i="4"/>
  <c r="E210" i="4"/>
  <c r="C209" i="4"/>
  <c r="B209" i="4"/>
  <c r="A209" i="4"/>
  <c r="E209" i="4"/>
  <c r="C208" i="4"/>
  <c r="B208" i="4"/>
  <c r="A208" i="4"/>
  <c r="E208" i="4"/>
  <c r="C207" i="4"/>
  <c r="B207" i="4"/>
  <c r="A207" i="4"/>
  <c r="E207" i="4"/>
  <c r="C206" i="4"/>
  <c r="B206" i="4"/>
  <c r="A206" i="4"/>
  <c r="E206" i="4"/>
  <c r="C205" i="4"/>
  <c r="B205" i="4"/>
  <c r="A205" i="4"/>
  <c r="E205" i="4"/>
  <c r="C204" i="4"/>
  <c r="B204" i="4"/>
  <c r="A204" i="4"/>
  <c r="E204" i="4"/>
  <c r="C203" i="4"/>
  <c r="B203" i="4"/>
  <c r="A203" i="4"/>
  <c r="E203" i="4"/>
  <c r="C202" i="4"/>
  <c r="B202" i="4"/>
  <c r="A202" i="4"/>
  <c r="E202" i="4"/>
  <c r="C201" i="4"/>
  <c r="B201" i="4"/>
  <c r="A201" i="4"/>
  <c r="D201" i="4"/>
  <c r="E201" i="4"/>
  <c r="C200" i="4"/>
  <c r="B200" i="4"/>
  <c r="A200" i="4"/>
  <c r="F200" i="4"/>
  <c r="C199" i="4"/>
  <c r="B199" i="4"/>
  <c r="A199" i="4"/>
  <c r="E199" i="4"/>
  <c r="C198" i="4"/>
  <c r="B198" i="4"/>
  <c r="A198" i="4"/>
  <c r="F198" i="4"/>
  <c r="C197" i="4"/>
  <c r="B197" i="4"/>
  <c r="A197" i="4"/>
  <c r="E197" i="4"/>
  <c r="C196" i="4"/>
  <c r="B196" i="4"/>
  <c r="A196" i="4"/>
  <c r="F196" i="4"/>
  <c r="C195" i="4"/>
  <c r="B195" i="4"/>
  <c r="A195" i="4"/>
  <c r="E195" i="4"/>
  <c r="C194" i="4"/>
  <c r="B194" i="4"/>
  <c r="A194" i="4"/>
  <c r="F194" i="4"/>
  <c r="C193" i="4"/>
  <c r="B193" i="4"/>
  <c r="A193" i="4"/>
  <c r="E193" i="4"/>
  <c r="C192" i="4"/>
  <c r="B192" i="4"/>
  <c r="A192" i="4"/>
  <c r="F192" i="4"/>
  <c r="C191" i="4"/>
  <c r="B191" i="4"/>
  <c r="A191" i="4"/>
  <c r="E191" i="4"/>
  <c r="C190" i="4"/>
  <c r="B190" i="4"/>
  <c r="A190" i="4"/>
  <c r="F190" i="4"/>
  <c r="C189" i="4"/>
  <c r="B189" i="4"/>
  <c r="A189" i="4"/>
  <c r="D189" i="4"/>
  <c r="E189" i="4"/>
  <c r="C188" i="4"/>
  <c r="B188" i="4"/>
  <c r="A188" i="4"/>
  <c r="F188" i="4"/>
  <c r="A187" i="4"/>
  <c r="C187" i="4"/>
  <c r="B187" i="4"/>
  <c r="E187" i="4"/>
  <c r="C186" i="4"/>
  <c r="B186" i="4"/>
  <c r="A186" i="4"/>
  <c r="D186" i="4"/>
  <c r="F186" i="4"/>
  <c r="C185" i="4"/>
  <c r="B185" i="4"/>
  <c r="A185" i="4"/>
  <c r="E185" i="4"/>
  <c r="C184" i="4"/>
  <c r="B184" i="4"/>
  <c r="A184" i="4"/>
  <c r="E184" i="4"/>
  <c r="F184" i="4"/>
  <c r="C183" i="4"/>
  <c r="B183" i="4"/>
  <c r="A183" i="4"/>
  <c r="F183" i="4"/>
  <c r="E183" i="4"/>
  <c r="C182" i="4"/>
  <c r="B182" i="4"/>
  <c r="A182" i="4"/>
  <c r="E182" i="4"/>
  <c r="F182" i="4"/>
  <c r="C181" i="4"/>
  <c r="B181" i="4"/>
  <c r="A181" i="4"/>
  <c r="F181" i="4"/>
  <c r="E181" i="4"/>
  <c r="C180" i="4"/>
  <c r="B180" i="4"/>
  <c r="A180" i="4"/>
  <c r="E180" i="4"/>
  <c r="F180" i="4"/>
  <c r="A179" i="4"/>
  <c r="D179" i="4"/>
  <c r="C179" i="4"/>
  <c r="B179" i="4"/>
  <c r="E179" i="4"/>
  <c r="C178" i="4"/>
  <c r="B178" i="4"/>
  <c r="A178" i="4"/>
  <c r="F178" i="4"/>
  <c r="C177" i="4"/>
  <c r="B177" i="4"/>
  <c r="A177" i="4"/>
  <c r="E177" i="4"/>
  <c r="C176" i="4"/>
  <c r="B176" i="4"/>
  <c r="A176" i="4"/>
  <c r="C175" i="4"/>
  <c r="B175" i="4"/>
  <c r="A175" i="4"/>
  <c r="C174" i="4"/>
  <c r="B174" i="4"/>
  <c r="A174" i="4"/>
  <c r="C173" i="4"/>
  <c r="B173" i="4"/>
  <c r="A173" i="4"/>
  <c r="E173" i="4"/>
  <c r="C172" i="4"/>
  <c r="B172" i="4"/>
  <c r="A172" i="4"/>
  <c r="F172" i="4"/>
  <c r="C171" i="4"/>
  <c r="B171" i="4"/>
  <c r="A171" i="4"/>
  <c r="C170" i="4"/>
  <c r="B170" i="4"/>
  <c r="A170" i="4"/>
  <c r="F170" i="4"/>
  <c r="C169" i="4"/>
  <c r="B169" i="4"/>
  <c r="A169" i="4"/>
  <c r="E169" i="4"/>
  <c r="C168" i="4"/>
  <c r="B168" i="4"/>
  <c r="A168" i="4"/>
  <c r="C167" i="4"/>
  <c r="B167" i="4"/>
  <c r="A167" i="4"/>
  <c r="C166" i="4"/>
  <c r="B166" i="4"/>
  <c r="A166" i="4"/>
  <c r="C165" i="4"/>
  <c r="B165" i="4"/>
  <c r="A165" i="4"/>
  <c r="E165" i="4"/>
  <c r="C164" i="4"/>
  <c r="B164" i="4"/>
  <c r="A164" i="4"/>
  <c r="F164" i="4"/>
  <c r="C163" i="4"/>
  <c r="B163" i="4"/>
  <c r="A163" i="4"/>
  <c r="E163" i="4"/>
  <c r="C162" i="4"/>
  <c r="B162" i="4"/>
  <c r="A162" i="4"/>
  <c r="F162" i="4"/>
  <c r="C161" i="4"/>
  <c r="B161" i="4"/>
  <c r="A161" i="4"/>
  <c r="E161" i="4"/>
  <c r="C160" i="4"/>
  <c r="B160" i="4"/>
  <c r="A160" i="4"/>
  <c r="C159" i="4"/>
  <c r="B159" i="4"/>
  <c r="A159" i="4"/>
  <c r="C158" i="4"/>
  <c r="B158" i="4"/>
  <c r="A158" i="4"/>
  <c r="C157" i="4"/>
  <c r="B157" i="4"/>
  <c r="A157" i="4"/>
  <c r="E157" i="4"/>
  <c r="C156" i="4"/>
  <c r="B156" i="4"/>
  <c r="A156" i="4"/>
  <c r="F156" i="4"/>
  <c r="C155" i="4"/>
  <c r="B155" i="4"/>
  <c r="A155" i="4"/>
  <c r="C154" i="4"/>
  <c r="B154" i="4"/>
  <c r="A154" i="4"/>
  <c r="F154" i="4"/>
  <c r="C153" i="4"/>
  <c r="B153" i="4"/>
  <c r="A153" i="4"/>
  <c r="E153" i="4"/>
  <c r="C152" i="4"/>
  <c r="B152" i="4"/>
  <c r="A152" i="4"/>
  <c r="D152" i="4"/>
  <c r="C151" i="4"/>
  <c r="B151" i="4"/>
  <c r="A151" i="4"/>
  <c r="C150" i="4"/>
  <c r="B150" i="4"/>
  <c r="A150" i="4"/>
  <c r="C149" i="4"/>
  <c r="B149" i="4"/>
  <c r="A149" i="4"/>
  <c r="E149" i="4"/>
  <c r="C148" i="4"/>
  <c r="B148" i="4"/>
  <c r="A148" i="4"/>
  <c r="F148" i="4"/>
  <c r="C147" i="4"/>
  <c r="B147" i="4"/>
  <c r="A147" i="4"/>
  <c r="E147" i="4"/>
  <c r="C146" i="4"/>
  <c r="B146" i="4"/>
  <c r="A146" i="4"/>
  <c r="F146" i="4"/>
  <c r="C145" i="4"/>
  <c r="B145" i="4"/>
  <c r="A145" i="4"/>
  <c r="E145" i="4"/>
  <c r="C144" i="4"/>
  <c r="B144" i="4"/>
  <c r="A144" i="4"/>
  <c r="D144" i="4"/>
  <c r="C143" i="4"/>
  <c r="B143" i="4"/>
  <c r="A143" i="4"/>
  <c r="C142" i="4"/>
  <c r="B142" i="4"/>
  <c r="A142" i="4"/>
  <c r="C141" i="4"/>
  <c r="B141" i="4"/>
  <c r="A141" i="4"/>
  <c r="C140" i="4"/>
  <c r="B140" i="4"/>
  <c r="A140" i="4"/>
  <c r="F140" i="4"/>
  <c r="C139" i="4"/>
  <c r="B139" i="4"/>
  <c r="A139" i="4"/>
  <c r="C138" i="4"/>
  <c r="B138" i="4"/>
  <c r="A138" i="4"/>
  <c r="F138" i="4"/>
  <c r="C137" i="4"/>
  <c r="B137" i="4"/>
  <c r="A137" i="4"/>
  <c r="E137" i="4"/>
  <c r="C136" i="4"/>
  <c r="B136" i="4"/>
  <c r="A136" i="4"/>
  <c r="A135" i="4"/>
  <c r="C133" i="4"/>
  <c r="B133" i="4"/>
  <c r="A133" i="4"/>
  <c r="E133" i="4"/>
  <c r="C132" i="4"/>
  <c r="B132" i="4"/>
  <c r="A132" i="4"/>
  <c r="E132" i="4"/>
  <c r="C131" i="4"/>
  <c r="B131" i="4"/>
  <c r="A131" i="4"/>
  <c r="E131" i="4"/>
  <c r="C130" i="4"/>
  <c r="B130" i="4"/>
  <c r="A130" i="4"/>
  <c r="E130" i="4"/>
  <c r="C129" i="4"/>
  <c r="B129" i="4"/>
  <c r="A129" i="4"/>
  <c r="E129" i="4"/>
  <c r="C128" i="4"/>
  <c r="B128" i="4"/>
  <c r="A128" i="4"/>
  <c r="E128" i="4"/>
  <c r="C127" i="4"/>
  <c r="B127" i="4"/>
  <c r="A127" i="4"/>
  <c r="E127" i="4"/>
  <c r="C126" i="4"/>
  <c r="B126" i="4"/>
  <c r="A126" i="4"/>
  <c r="E126" i="4"/>
  <c r="C125" i="4"/>
  <c r="B125" i="4"/>
  <c r="A125" i="4"/>
  <c r="E125" i="4"/>
  <c r="C124" i="4"/>
  <c r="B124" i="4"/>
  <c r="A124" i="4"/>
  <c r="E124" i="4"/>
  <c r="C123" i="4"/>
  <c r="B123" i="4"/>
  <c r="A123" i="4"/>
  <c r="E123" i="4"/>
  <c r="C122" i="4"/>
  <c r="B122" i="4"/>
  <c r="A122" i="4"/>
  <c r="E122" i="4"/>
  <c r="C121" i="4"/>
  <c r="B121" i="4"/>
  <c r="A121" i="4"/>
  <c r="E121" i="4"/>
  <c r="C120" i="4"/>
  <c r="B120" i="4"/>
  <c r="A120" i="4"/>
  <c r="E120" i="4"/>
  <c r="C119" i="4"/>
  <c r="B119" i="4"/>
  <c r="A119" i="4"/>
  <c r="E119" i="4"/>
  <c r="C118" i="4"/>
  <c r="B118" i="4"/>
  <c r="A118" i="4"/>
  <c r="E118" i="4"/>
  <c r="C117" i="4"/>
  <c r="B117" i="4"/>
  <c r="A117" i="4"/>
  <c r="E117" i="4"/>
  <c r="C116" i="4"/>
  <c r="B116" i="4"/>
  <c r="A116" i="4"/>
  <c r="E116" i="4"/>
  <c r="C115" i="4"/>
  <c r="B115" i="4"/>
  <c r="A115" i="4"/>
  <c r="E115" i="4"/>
  <c r="C114" i="4"/>
  <c r="B114" i="4"/>
  <c r="A114" i="4"/>
  <c r="E114" i="4"/>
  <c r="C113" i="4"/>
  <c r="B113" i="4"/>
  <c r="A113" i="4"/>
  <c r="E113" i="4"/>
  <c r="C112" i="4"/>
  <c r="B112" i="4"/>
  <c r="A112" i="4"/>
  <c r="E112" i="4"/>
  <c r="C111" i="4"/>
  <c r="B111" i="4"/>
  <c r="A111" i="4"/>
  <c r="E111" i="4"/>
  <c r="C110" i="4"/>
  <c r="B110" i="4"/>
  <c r="A110" i="4"/>
  <c r="E110" i="4"/>
  <c r="C109" i="4"/>
  <c r="B109" i="4"/>
  <c r="A109" i="4"/>
  <c r="E109" i="4"/>
  <c r="C108" i="4"/>
  <c r="B108" i="4"/>
  <c r="A108" i="4"/>
  <c r="E108" i="4"/>
  <c r="C107" i="4"/>
  <c r="B107" i="4"/>
  <c r="A107" i="4"/>
  <c r="E107" i="4"/>
  <c r="C106" i="4"/>
  <c r="B106" i="4"/>
  <c r="A106" i="4"/>
  <c r="E106" i="4"/>
  <c r="C105" i="4"/>
  <c r="B105" i="4"/>
  <c r="A105" i="4"/>
  <c r="E105" i="4"/>
  <c r="C104" i="4"/>
  <c r="B104" i="4"/>
  <c r="A104" i="4"/>
  <c r="E104" i="4"/>
  <c r="C103" i="4"/>
  <c r="B103" i="4"/>
  <c r="A103" i="4"/>
  <c r="E103" i="4"/>
  <c r="C102" i="4"/>
  <c r="B102" i="4"/>
  <c r="A102" i="4"/>
  <c r="E102" i="4"/>
  <c r="C101" i="4"/>
  <c r="B101" i="4"/>
  <c r="A101" i="4"/>
  <c r="E101" i="4"/>
  <c r="C100" i="4"/>
  <c r="B100" i="4"/>
  <c r="A100" i="4"/>
  <c r="E100" i="4"/>
  <c r="C99" i="4"/>
  <c r="B99" i="4"/>
  <c r="A99" i="4"/>
  <c r="E99" i="4"/>
  <c r="C98" i="4"/>
  <c r="B98" i="4"/>
  <c r="A98" i="4"/>
  <c r="E98" i="4"/>
  <c r="C97" i="4"/>
  <c r="B97" i="4"/>
  <c r="A97" i="4"/>
  <c r="E97" i="4"/>
  <c r="C96" i="4"/>
  <c r="B96" i="4"/>
  <c r="A96" i="4"/>
  <c r="E96" i="4"/>
  <c r="C95" i="4"/>
  <c r="B95" i="4"/>
  <c r="A95" i="4"/>
  <c r="E95" i="4"/>
  <c r="C94" i="4"/>
  <c r="B94" i="4"/>
  <c r="A94" i="4"/>
  <c r="E94" i="4"/>
  <c r="C93" i="4"/>
  <c r="B93" i="4"/>
  <c r="A93" i="4"/>
  <c r="E93" i="4"/>
  <c r="C92" i="4"/>
  <c r="B92" i="4"/>
  <c r="A92" i="4"/>
  <c r="E92" i="4"/>
  <c r="C91" i="4"/>
  <c r="B91" i="4"/>
  <c r="A91" i="4"/>
  <c r="E91" i="4"/>
  <c r="C90" i="4"/>
  <c r="B90" i="4"/>
  <c r="A90" i="4"/>
  <c r="E90" i="4"/>
  <c r="C89" i="4"/>
  <c r="B89" i="4"/>
  <c r="A89" i="4"/>
  <c r="E89" i="4"/>
  <c r="C88" i="4"/>
  <c r="B88" i="4"/>
  <c r="A88" i="4"/>
  <c r="E88" i="4"/>
  <c r="C87" i="4"/>
  <c r="B87" i="4"/>
  <c r="A87" i="4"/>
  <c r="E87" i="4"/>
  <c r="C86" i="4"/>
  <c r="B86" i="4"/>
  <c r="A86" i="4"/>
  <c r="E86" i="4"/>
  <c r="C85" i="4"/>
  <c r="B85" i="4"/>
  <c r="A85" i="4"/>
  <c r="E85" i="4"/>
  <c r="C84" i="4"/>
  <c r="B84" i="4"/>
  <c r="A84" i="4"/>
  <c r="E84" i="4"/>
  <c r="C83" i="4"/>
  <c r="B83" i="4"/>
  <c r="A83" i="4"/>
  <c r="E83" i="4"/>
  <c r="C82" i="4"/>
  <c r="B82" i="4"/>
  <c r="A82" i="4"/>
  <c r="E82" i="4"/>
  <c r="C81" i="4"/>
  <c r="B81" i="4"/>
  <c r="A81" i="4"/>
  <c r="E81" i="4"/>
  <c r="C80" i="4"/>
  <c r="B80" i="4"/>
  <c r="A80" i="4"/>
  <c r="E80" i="4"/>
  <c r="C79" i="4"/>
  <c r="B79" i="4"/>
  <c r="A79" i="4"/>
  <c r="E79" i="4"/>
  <c r="C78" i="4"/>
  <c r="B78" i="4"/>
  <c r="A78" i="4"/>
  <c r="E78" i="4"/>
  <c r="C77" i="4"/>
  <c r="B77" i="4"/>
  <c r="A77" i="4"/>
  <c r="E77" i="4"/>
  <c r="C76" i="4"/>
  <c r="B76" i="4"/>
  <c r="A76" i="4"/>
  <c r="E76" i="4"/>
  <c r="C75" i="4"/>
  <c r="B75" i="4"/>
  <c r="A75" i="4"/>
  <c r="E75" i="4"/>
  <c r="C74" i="4"/>
  <c r="B74" i="4"/>
  <c r="A74" i="4"/>
  <c r="E74" i="4"/>
  <c r="C73" i="4"/>
  <c r="B73" i="4"/>
  <c r="A73" i="4"/>
  <c r="E73" i="4"/>
  <c r="C72" i="4"/>
  <c r="B72" i="4"/>
  <c r="A72" i="4"/>
  <c r="E72" i="4"/>
  <c r="C71" i="4"/>
  <c r="B71" i="4"/>
  <c r="A71" i="4"/>
  <c r="E71" i="4"/>
  <c r="C70" i="4"/>
  <c r="B70" i="4"/>
  <c r="A70" i="4"/>
  <c r="E70" i="4"/>
  <c r="C69" i="4"/>
  <c r="B69" i="4"/>
  <c r="A69" i="4"/>
  <c r="E69" i="4"/>
  <c r="C68" i="4"/>
  <c r="B68" i="4"/>
  <c r="A68" i="4"/>
  <c r="E68" i="4"/>
  <c r="C67" i="4"/>
  <c r="B67" i="4"/>
  <c r="A67" i="4"/>
  <c r="E67" i="4"/>
  <c r="C66" i="4"/>
  <c r="B66" i="4"/>
  <c r="A66" i="4"/>
  <c r="E66" i="4"/>
  <c r="C65" i="4"/>
  <c r="B65" i="4"/>
  <c r="A65" i="4"/>
  <c r="E65" i="4"/>
  <c r="C64" i="4"/>
  <c r="B64" i="4"/>
  <c r="A64" i="4"/>
  <c r="E64" i="4"/>
  <c r="C63" i="4"/>
  <c r="B63" i="4"/>
  <c r="A63" i="4"/>
  <c r="E63" i="4"/>
  <c r="C62" i="4"/>
  <c r="B62" i="4"/>
  <c r="A62" i="4"/>
  <c r="E62" i="4"/>
  <c r="C61" i="4"/>
  <c r="B61" i="4"/>
  <c r="A61" i="4"/>
  <c r="E61" i="4"/>
  <c r="C60" i="4"/>
  <c r="B60" i="4"/>
  <c r="A60" i="4"/>
  <c r="E60" i="4"/>
  <c r="C59" i="4"/>
  <c r="B59" i="4"/>
  <c r="A59" i="4"/>
  <c r="E59" i="4"/>
  <c r="C58" i="4"/>
  <c r="B58" i="4"/>
  <c r="A58" i="4"/>
  <c r="E58" i="4"/>
  <c r="A57" i="4"/>
  <c r="D57" i="4"/>
  <c r="C57" i="4"/>
  <c r="B57" i="4"/>
  <c r="A56" i="4"/>
  <c r="F56" i="4"/>
  <c r="C56" i="4"/>
  <c r="B56" i="4"/>
  <c r="E56" i="4"/>
  <c r="A55" i="4"/>
  <c r="D55" i="4"/>
  <c r="C55" i="4"/>
  <c r="B55" i="4"/>
  <c r="F55" i="4"/>
  <c r="A54" i="4"/>
  <c r="F54" i="4"/>
  <c r="C54" i="4"/>
  <c r="B54" i="4"/>
  <c r="E54" i="4"/>
  <c r="A53" i="4"/>
  <c r="D53" i="4"/>
  <c r="C53" i="4"/>
  <c r="B53" i="4"/>
  <c r="F53" i="4"/>
  <c r="A52" i="4"/>
  <c r="F52" i="4"/>
  <c r="C52" i="4"/>
  <c r="B52" i="4"/>
  <c r="A51" i="4"/>
  <c r="D51" i="4"/>
  <c r="C51" i="4"/>
  <c r="B51" i="4"/>
  <c r="F51" i="4"/>
  <c r="C50" i="4"/>
  <c r="B50" i="4"/>
  <c r="A50" i="4"/>
  <c r="E50" i="4"/>
  <c r="A49" i="4"/>
  <c r="D49" i="4"/>
  <c r="C49" i="4"/>
  <c r="B49" i="4"/>
  <c r="A48" i="4"/>
  <c r="F48" i="4"/>
  <c r="C48" i="4"/>
  <c r="B48" i="4"/>
  <c r="E48" i="4"/>
  <c r="A47" i="4"/>
  <c r="D47" i="4"/>
  <c r="C47" i="4"/>
  <c r="B47" i="4"/>
  <c r="A46" i="4"/>
  <c r="F46" i="4"/>
  <c r="C46" i="4"/>
  <c r="B46" i="4"/>
  <c r="E46" i="4"/>
  <c r="A45" i="4"/>
  <c r="D45" i="4"/>
  <c r="C45" i="4"/>
  <c r="B45" i="4"/>
  <c r="F45" i="4"/>
  <c r="C44" i="4"/>
  <c r="B44" i="4"/>
  <c r="A44" i="4"/>
  <c r="E44" i="4"/>
  <c r="C43" i="4"/>
  <c r="B43" i="4"/>
  <c r="A43" i="4"/>
  <c r="F43" i="4"/>
  <c r="C42" i="4"/>
  <c r="B42" i="4"/>
  <c r="A42" i="4"/>
  <c r="E42" i="4"/>
  <c r="C41" i="4"/>
  <c r="B41" i="4"/>
  <c r="A41" i="4"/>
  <c r="F41" i="4"/>
  <c r="C40" i="4"/>
  <c r="B40" i="4"/>
  <c r="A40" i="4"/>
  <c r="E40" i="4"/>
  <c r="C39" i="4"/>
  <c r="B39" i="4"/>
  <c r="A39" i="4"/>
  <c r="F39" i="4"/>
  <c r="C38" i="4"/>
  <c r="B38" i="4"/>
  <c r="A38" i="4"/>
  <c r="E38" i="4"/>
  <c r="C37" i="4"/>
  <c r="B37" i="4"/>
  <c r="A37" i="4"/>
  <c r="E37" i="4"/>
  <c r="C36" i="4"/>
  <c r="B36" i="4"/>
  <c r="A36" i="4"/>
  <c r="E36" i="4"/>
  <c r="C35" i="4"/>
  <c r="B35" i="4"/>
  <c r="A35" i="4"/>
  <c r="F35" i="4"/>
  <c r="C34" i="4"/>
  <c r="B34" i="4"/>
  <c r="A34" i="4"/>
  <c r="E34" i="4"/>
  <c r="C33" i="4"/>
  <c r="B33" i="4"/>
  <c r="A33" i="4"/>
  <c r="F33" i="4"/>
  <c r="C32" i="4"/>
  <c r="B32" i="4"/>
  <c r="A32" i="4"/>
  <c r="E32" i="4"/>
  <c r="C31" i="4"/>
  <c r="B31" i="4"/>
  <c r="A31" i="4"/>
  <c r="F31" i="4"/>
  <c r="C30" i="4"/>
  <c r="B30" i="4"/>
  <c r="A30" i="4"/>
  <c r="E30" i="4"/>
  <c r="C29" i="4"/>
  <c r="B29" i="4"/>
  <c r="A29" i="4"/>
  <c r="E29" i="4"/>
  <c r="C28" i="4"/>
  <c r="B28" i="4"/>
  <c r="A28" i="4"/>
  <c r="E28" i="4"/>
  <c r="C27" i="4"/>
  <c r="B27" i="4"/>
  <c r="A27" i="4"/>
  <c r="F27" i="4"/>
  <c r="C26" i="4"/>
  <c r="B26" i="4"/>
  <c r="A26" i="4"/>
  <c r="E26" i="4"/>
  <c r="C25" i="4"/>
  <c r="B25" i="4"/>
  <c r="A25" i="4"/>
  <c r="F25" i="4"/>
  <c r="C24" i="4"/>
  <c r="B24" i="4"/>
  <c r="A24" i="4"/>
  <c r="E24" i="4"/>
  <c r="C23" i="4"/>
  <c r="B23" i="4"/>
  <c r="A23" i="4"/>
  <c r="E23" i="4"/>
  <c r="C22" i="4"/>
  <c r="B22" i="4"/>
  <c r="A22" i="4"/>
  <c r="E22" i="4"/>
  <c r="C21" i="4"/>
  <c r="B21" i="4"/>
  <c r="A21" i="4"/>
  <c r="F21" i="4"/>
  <c r="C20" i="4"/>
  <c r="B20" i="4"/>
  <c r="A20" i="4"/>
  <c r="E20" i="4"/>
  <c r="C19" i="4"/>
  <c r="B19" i="4"/>
  <c r="A19" i="4"/>
  <c r="F19" i="4"/>
  <c r="C18" i="4"/>
  <c r="B18" i="4"/>
  <c r="A18" i="4"/>
  <c r="E18" i="4"/>
  <c r="C17" i="4"/>
  <c r="B17" i="4"/>
  <c r="A17" i="4"/>
  <c r="F17" i="4"/>
  <c r="C16" i="4"/>
  <c r="B16" i="4"/>
  <c r="A16" i="4"/>
  <c r="E16" i="4"/>
  <c r="C15" i="4"/>
  <c r="B15" i="4"/>
  <c r="A15" i="4"/>
  <c r="F15" i="4"/>
  <c r="C14" i="4"/>
  <c r="B14" i="4"/>
  <c r="A14" i="4"/>
  <c r="E14" i="4"/>
  <c r="C13" i="4"/>
  <c r="B13" i="4"/>
  <c r="A13" i="4"/>
  <c r="E13" i="4"/>
  <c r="C12" i="4"/>
  <c r="B12" i="4"/>
  <c r="A12" i="4"/>
  <c r="E12" i="4"/>
  <c r="C11" i="4"/>
  <c r="B11" i="4"/>
  <c r="A11" i="4"/>
  <c r="F11" i="4"/>
  <c r="C10" i="4"/>
  <c r="B10" i="4"/>
  <c r="A10" i="4"/>
  <c r="E10" i="4"/>
  <c r="C9" i="4"/>
  <c r="B9" i="4"/>
  <c r="A9" i="4"/>
  <c r="E9" i="4"/>
  <c r="C8" i="4"/>
  <c r="B8" i="4"/>
  <c r="A8" i="4"/>
  <c r="E8" i="4"/>
  <c r="C7" i="4"/>
  <c r="B7" i="4"/>
  <c r="A7" i="4"/>
  <c r="F7" i="4"/>
  <c r="C6" i="4"/>
  <c r="B6" i="4"/>
  <c r="A6" i="4"/>
  <c r="E6" i="4"/>
  <c r="C5" i="4"/>
  <c r="B5" i="4"/>
  <c r="A5" i="4"/>
  <c r="F5" i="4"/>
  <c r="C4" i="4"/>
  <c r="B4" i="4"/>
  <c r="A4" i="4"/>
  <c r="E4" i="4"/>
  <c r="C3" i="4"/>
  <c r="B3" i="4"/>
  <c r="A3" i="4"/>
  <c r="F3" i="4"/>
  <c r="C2" i="4"/>
  <c r="B2" i="4"/>
  <c r="A2" i="4"/>
  <c r="E2" i="4"/>
  <c r="A1" i="4"/>
  <c r="A55" i="3"/>
  <c r="A47" i="3"/>
  <c r="A46" i="3"/>
  <c r="M43" i="3"/>
  <c r="E43" i="3"/>
  <c r="D43" i="3"/>
  <c r="A41" i="3"/>
  <c r="A33" i="3"/>
  <c r="A32" i="3"/>
  <c r="M29" i="3"/>
  <c r="E29" i="3"/>
  <c r="D29" i="3"/>
  <c r="A27" i="3"/>
  <c r="A19" i="3"/>
  <c r="A18" i="3"/>
  <c r="M15" i="3"/>
  <c r="E15" i="3"/>
  <c r="D15" i="3"/>
  <c r="A13" i="3"/>
  <c r="A5" i="3"/>
  <c r="A4" i="3"/>
  <c r="M1" i="3"/>
  <c r="H1" i="3"/>
  <c r="E1" i="3"/>
  <c r="D1" i="3"/>
  <c r="A4" i="2"/>
  <c r="D195" i="4"/>
  <c r="D500" i="4"/>
  <c r="D524" i="4"/>
  <c r="D529" i="4"/>
  <c r="D137" i="4"/>
  <c r="D139" i="4"/>
  <c r="D141" i="4"/>
  <c r="D147" i="4"/>
  <c r="D149" i="4"/>
  <c r="D153" i="4"/>
  <c r="D155" i="4"/>
  <c r="D157" i="4"/>
  <c r="D161" i="4"/>
  <c r="D163" i="4"/>
  <c r="D169" i="4"/>
  <c r="D171" i="4"/>
  <c r="D173" i="4"/>
  <c r="D185" i="4"/>
  <c r="D193" i="4"/>
  <c r="D237" i="4"/>
  <c r="D261" i="4"/>
  <c r="E262" i="4"/>
  <c r="D263" i="4"/>
  <c r="F271" i="4"/>
  <c r="D272" i="4"/>
  <c r="F273" i="4"/>
  <c r="F275" i="4"/>
  <c r="D276" i="4"/>
  <c r="F277" i="4"/>
  <c r="F301" i="4"/>
  <c r="E394" i="4"/>
  <c r="D395" i="4"/>
  <c r="D397" i="4"/>
  <c r="D399" i="4"/>
  <c r="D401" i="4"/>
  <c r="D405" i="4"/>
  <c r="D413" i="4"/>
  <c r="D421" i="4"/>
  <c r="D428" i="4"/>
  <c r="D436" i="4"/>
  <c r="D445" i="4"/>
  <c r="D460" i="4"/>
  <c r="D469" i="4"/>
  <c r="D508" i="4"/>
  <c r="D513" i="4"/>
  <c r="D183" i="4"/>
  <c r="D191" i="4"/>
  <c r="D199" i="4"/>
  <c r="D225" i="4"/>
  <c r="F309" i="4"/>
  <c r="D323" i="4"/>
  <c r="D331" i="4"/>
  <c r="D379" i="4"/>
  <c r="E410" i="4"/>
  <c r="D411" i="4"/>
  <c r="D419" i="4"/>
  <c r="D451" i="4"/>
  <c r="D467" i="4"/>
  <c r="D181" i="4"/>
  <c r="D197" i="4"/>
  <c r="D229" i="4"/>
  <c r="D245" i="4"/>
  <c r="D320" i="4"/>
  <c r="D328" i="4"/>
  <c r="D329" i="4"/>
  <c r="D408" i="4"/>
  <c r="D416" i="4"/>
  <c r="D425" i="4"/>
  <c r="D516" i="4"/>
  <c r="F2" i="4"/>
  <c r="D3" i="4"/>
  <c r="F4" i="4"/>
  <c r="D5" i="4"/>
  <c r="F6" i="4"/>
  <c r="D7" i="4"/>
  <c r="F8" i="4"/>
  <c r="D9" i="4"/>
  <c r="F10" i="4"/>
  <c r="D11" i="4"/>
  <c r="F12" i="4"/>
  <c r="D13" i="4"/>
  <c r="F14" i="4"/>
  <c r="D15" i="4"/>
  <c r="F16" i="4"/>
  <c r="D17" i="4"/>
  <c r="F18" i="4"/>
  <c r="D19" i="4"/>
  <c r="F20" i="4"/>
  <c r="D21" i="4"/>
  <c r="F22" i="4"/>
  <c r="D23" i="4"/>
  <c r="F24" i="4"/>
  <c r="D25" i="4"/>
  <c r="F26" i="4"/>
  <c r="D27" i="4"/>
  <c r="F28" i="4"/>
  <c r="D29" i="4"/>
  <c r="F30" i="4"/>
  <c r="D31" i="4"/>
  <c r="F32" i="4"/>
  <c r="D33" i="4"/>
  <c r="F34" i="4"/>
  <c r="D35" i="4"/>
  <c r="F36" i="4"/>
  <c r="D37" i="4"/>
  <c r="F38" i="4"/>
  <c r="D39" i="4"/>
  <c r="F40" i="4"/>
  <c r="D41" i="4"/>
  <c r="F42" i="4"/>
  <c r="D43" i="4"/>
  <c r="F44" i="4"/>
  <c r="D531" i="4"/>
  <c r="D247" i="4"/>
  <c r="D253" i="4"/>
  <c r="E254" i="4"/>
  <c r="D255" i="4"/>
  <c r="D381" i="4"/>
  <c r="D520" i="4"/>
  <c r="D527" i="4"/>
  <c r="D535" i="4"/>
  <c r="D235" i="4"/>
  <c r="D243" i="4"/>
  <c r="D369" i="4"/>
  <c r="E370" i="4"/>
  <c r="D371" i="4"/>
  <c r="D373" i="4"/>
  <c r="D375" i="4"/>
  <c r="D377" i="4"/>
  <c r="E378" i="4"/>
  <c r="D241" i="4"/>
  <c r="D504" i="4"/>
  <c r="D511" i="4"/>
  <c r="D227" i="4"/>
  <c r="D493" i="4"/>
  <c r="D231" i="4"/>
  <c r="D496" i="4"/>
  <c r="F234" i="4"/>
  <c r="F495" i="4"/>
  <c r="F501" i="4"/>
  <c r="F503" i="4"/>
  <c r="F509" i="4"/>
  <c r="F515" i="4"/>
  <c r="F521" i="4"/>
  <c r="F523" i="4"/>
  <c r="F230" i="4"/>
  <c r="F246" i="4"/>
  <c r="F528" i="4"/>
  <c r="D211" i="4"/>
  <c r="D224" i="4"/>
  <c r="F227" i="4"/>
  <c r="D228" i="4"/>
  <c r="F231" i="4"/>
  <c r="D232" i="4"/>
  <c r="F239" i="4"/>
  <c r="D240" i="4"/>
  <c r="F243" i="4"/>
  <c r="D244" i="4"/>
  <c r="F247" i="4"/>
  <c r="D248" i="4"/>
  <c r="D251" i="4"/>
  <c r="D265" i="4"/>
  <c r="E266" i="4"/>
  <c r="D267" i="4"/>
  <c r="D383" i="4"/>
  <c r="D477" i="4"/>
  <c r="D492" i="4"/>
  <c r="F496" i="4"/>
  <c r="D497" i="4"/>
  <c r="D499" i="4"/>
  <c r="F504" i="4"/>
  <c r="D505" i="4"/>
  <c r="D507" i="4"/>
  <c r="F511" i="4"/>
  <c r="D512" i="4"/>
  <c r="F516" i="4"/>
  <c r="D517" i="4"/>
  <c r="D519" i="4"/>
  <c r="F524" i="4"/>
  <c r="D525" i="4"/>
  <c r="F529" i="4"/>
  <c r="F531" i="4"/>
  <c r="D532" i="4"/>
  <c r="F226" i="4"/>
  <c r="F242" i="4"/>
  <c r="A12" i="2"/>
  <c r="F232" i="4"/>
  <c r="F240" i="4"/>
  <c r="F244" i="4"/>
  <c r="F248" i="4"/>
  <c r="F497" i="4"/>
  <c r="F499" i="4"/>
  <c r="F505" i="4"/>
  <c r="F507" i="4"/>
  <c r="F512" i="4"/>
  <c r="F517" i="4"/>
  <c r="F519" i="4"/>
  <c r="F525" i="4"/>
  <c r="F532" i="4"/>
  <c r="F224" i="4"/>
  <c r="F228" i="4"/>
  <c r="F267" i="4"/>
  <c r="F492" i="4"/>
  <c r="L1" i="3"/>
  <c r="A12" i="3"/>
  <c r="L15" i="3"/>
  <c r="A26" i="3"/>
  <c r="L29" i="3"/>
  <c r="A40" i="3"/>
  <c r="L43" i="3"/>
  <c r="A54" i="3"/>
  <c r="F225" i="4"/>
  <c r="D226" i="4"/>
  <c r="F229" i="4"/>
  <c r="D230" i="4"/>
  <c r="F233" i="4"/>
  <c r="D234" i="4"/>
  <c r="F241" i="4"/>
  <c r="D242" i="4"/>
  <c r="F245" i="4"/>
  <c r="D246" i="4"/>
  <c r="D257" i="4"/>
  <c r="E258" i="4"/>
  <c r="D259" i="4"/>
  <c r="E386" i="4"/>
  <c r="D387" i="4"/>
  <c r="D389" i="4"/>
  <c r="D489" i="4"/>
  <c r="F493" i="4"/>
  <c r="D495" i="4"/>
  <c r="F500" i="4"/>
  <c r="D501" i="4"/>
  <c r="D503" i="4"/>
  <c r="F508" i="4"/>
  <c r="D509" i="4"/>
  <c r="F513" i="4"/>
  <c r="D515" i="4"/>
  <c r="F520" i="4"/>
  <c r="D521" i="4"/>
  <c r="D523" i="4"/>
  <c r="F527" i="4"/>
  <c r="D528" i="4"/>
  <c r="F533" i="4"/>
  <c r="F535" i="4"/>
  <c r="D219" i="4"/>
  <c r="D223" i="4"/>
  <c r="D215" i="4"/>
  <c r="H15" i="3"/>
  <c r="A8" i="2"/>
  <c r="H29" i="3"/>
  <c r="D203" i="4"/>
  <c r="D480" i="4"/>
  <c r="H43" i="3"/>
  <c r="D207" i="4"/>
  <c r="D473" i="4"/>
  <c r="I1" i="3"/>
  <c r="I29" i="3"/>
  <c r="D205" i="4"/>
  <c r="D213" i="4"/>
  <c r="D221" i="4"/>
  <c r="D355" i="4"/>
  <c r="D357" i="4"/>
  <c r="D475" i="4"/>
  <c r="D483" i="4"/>
  <c r="D491" i="4"/>
  <c r="I15" i="3"/>
  <c r="I43" i="3"/>
  <c r="D209" i="4"/>
  <c r="D217" i="4"/>
  <c r="D351" i="4"/>
  <c r="D471" i="4"/>
  <c r="D487" i="4"/>
  <c r="A8" i="3"/>
  <c r="A50" i="3"/>
  <c r="F204" i="4"/>
  <c r="F220" i="4"/>
  <c r="F488" i="4"/>
  <c r="A22" i="3"/>
  <c r="A36" i="3"/>
  <c r="F208" i="4"/>
  <c r="F212" i="4"/>
  <c r="F216" i="4"/>
  <c r="F476" i="4"/>
  <c r="F481" i="4"/>
  <c r="A9" i="2"/>
  <c r="A9" i="3"/>
  <c r="A23" i="3"/>
  <c r="A37" i="3"/>
  <c r="A51" i="3"/>
  <c r="D202" i="4"/>
  <c r="F205" i="4"/>
  <c r="D206" i="4"/>
  <c r="F209" i="4"/>
  <c r="D210" i="4"/>
  <c r="F213" i="4"/>
  <c r="D214" i="4"/>
  <c r="F217" i="4"/>
  <c r="D218" i="4"/>
  <c r="F221" i="4"/>
  <c r="D222" i="4"/>
  <c r="D336" i="4"/>
  <c r="D337" i="4"/>
  <c r="E339" i="4"/>
  <c r="E341" i="4"/>
  <c r="D342" i="4"/>
  <c r="E343" i="4"/>
  <c r="E345" i="4"/>
  <c r="E346" i="4"/>
  <c r="D347" i="4"/>
  <c r="D349" i="4"/>
  <c r="F471" i="4"/>
  <c r="D472" i="4"/>
  <c r="F477" i="4"/>
  <c r="D479" i="4"/>
  <c r="F483" i="4"/>
  <c r="D484" i="4"/>
  <c r="F489" i="4"/>
  <c r="F491" i="4"/>
  <c r="F206" i="4"/>
  <c r="F337" i="4"/>
  <c r="F202" i="4"/>
  <c r="F210" i="4"/>
  <c r="F214" i="4"/>
  <c r="F218" i="4"/>
  <c r="F222" i="4"/>
  <c r="F472" i="4"/>
  <c r="F479" i="4"/>
  <c r="F484" i="4"/>
  <c r="F203" i="4"/>
  <c r="D204" i="4"/>
  <c r="F207" i="4"/>
  <c r="D208" i="4"/>
  <c r="F211" i="4"/>
  <c r="D212" i="4"/>
  <c r="F215" i="4"/>
  <c r="D216" i="4"/>
  <c r="F219" i="4"/>
  <c r="D220" i="4"/>
  <c r="F223" i="4"/>
  <c r="F473" i="4"/>
  <c r="F475" i="4"/>
  <c r="D476" i="4"/>
  <c r="F480" i="4"/>
  <c r="D481" i="4"/>
  <c r="F487" i="4"/>
  <c r="D488" i="4"/>
  <c r="F297" i="4"/>
  <c r="E311" i="4"/>
  <c r="D311" i="4"/>
  <c r="E327" i="4"/>
  <c r="D327" i="4"/>
  <c r="F327" i="4"/>
  <c r="D142" i="4"/>
  <c r="E156" i="4"/>
  <c r="D160" i="4"/>
  <c r="D164" i="4"/>
  <c r="E172" i="4"/>
  <c r="D176" i="4"/>
  <c r="D180" i="4"/>
  <c r="D182" i="4"/>
  <c r="E186" i="4"/>
  <c r="E190" i="4"/>
  <c r="D190" i="4"/>
  <c r="E194" i="4"/>
  <c r="D194" i="4"/>
  <c r="E198" i="4"/>
  <c r="D198" i="4"/>
  <c r="E200" i="4"/>
  <c r="D200" i="4"/>
  <c r="F281" i="4"/>
  <c r="E285" i="4"/>
  <c r="F285" i="4"/>
  <c r="E325" i="4"/>
  <c r="D325" i="4"/>
  <c r="D136" i="4"/>
  <c r="D140" i="4"/>
  <c r="E148" i="4"/>
  <c r="D154" i="4"/>
  <c r="D166" i="4"/>
  <c r="E178" i="4"/>
  <c r="D184" i="4"/>
  <c r="E188" i="4"/>
  <c r="D188" i="4"/>
  <c r="E192" i="4"/>
  <c r="D192" i="4"/>
  <c r="E196" i="4"/>
  <c r="D196" i="4"/>
  <c r="D280" i="4"/>
  <c r="F284" i="4"/>
  <c r="D284" i="4"/>
  <c r="E295" i="4"/>
  <c r="F295" i="4"/>
  <c r="F299" i="4"/>
  <c r="E279" i="4"/>
  <c r="F279" i="4"/>
  <c r="E283" i="4"/>
  <c r="F283" i="4"/>
  <c r="F298" i="4"/>
  <c r="D298" i="4"/>
  <c r="F311" i="4"/>
  <c r="F409" i="4"/>
  <c r="F415" i="4"/>
  <c r="F420" i="4"/>
  <c r="F427" i="4"/>
  <c r="F439" i="4"/>
  <c r="F444" i="4"/>
  <c r="F461" i="4"/>
  <c r="F468" i="4"/>
  <c r="F404" i="4"/>
  <c r="F143" i="4"/>
  <c r="F147" i="4"/>
  <c r="F151" i="4"/>
  <c r="F159" i="4"/>
  <c r="F163" i="4"/>
  <c r="F167" i="4"/>
  <c r="F175" i="4"/>
  <c r="F179" i="4"/>
  <c r="F191" i="4"/>
  <c r="F195" i="4"/>
  <c r="F199" i="4"/>
  <c r="F305" i="4"/>
  <c r="F313" i="4"/>
  <c r="D316" i="4"/>
  <c r="D319" i="4"/>
  <c r="F329" i="4"/>
  <c r="F331" i="4"/>
  <c r="D332" i="4"/>
  <c r="D333" i="4"/>
  <c r="D335" i="4"/>
  <c r="F405" i="4"/>
  <c r="D406" i="4"/>
  <c r="D407" i="4"/>
  <c r="F411" i="4"/>
  <c r="D412" i="4"/>
  <c r="F416" i="4"/>
  <c r="D417" i="4"/>
  <c r="F421" i="4"/>
  <c r="F423" i="4"/>
  <c r="D424" i="4"/>
  <c r="F428" i="4"/>
  <c r="D429" i="4"/>
  <c r="F440" i="4"/>
  <c r="D441" i="4"/>
  <c r="F445" i="4"/>
  <c r="D452" i="4"/>
  <c r="F457" i="4"/>
  <c r="F463" i="4"/>
  <c r="D464" i="4"/>
  <c r="F333" i="4"/>
  <c r="F335" i="4"/>
  <c r="F417" i="4"/>
  <c r="F447" i="4"/>
  <c r="F319" i="4"/>
  <c r="F407" i="4"/>
  <c r="F412" i="4"/>
  <c r="F424" i="4"/>
  <c r="F429" i="4"/>
  <c r="F441" i="4"/>
  <c r="F464" i="4"/>
  <c r="F137" i="4"/>
  <c r="F145" i="4"/>
  <c r="F153" i="4"/>
  <c r="F157" i="4"/>
  <c r="F161" i="4"/>
  <c r="F169" i="4"/>
  <c r="F173" i="4"/>
  <c r="F177" i="4"/>
  <c r="F185" i="4"/>
  <c r="F189" i="4"/>
  <c r="F193" i="4"/>
  <c r="F197" i="4"/>
  <c r="F201" i="4"/>
  <c r="F321" i="4"/>
  <c r="F323" i="4"/>
  <c r="D404" i="4"/>
  <c r="F408" i="4"/>
  <c r="D409" i="4"/>
  <c r="F413" i="4"/>
  <c r="D415" i="4"/>
  <c r="F419" i="4"/>
  <c r="D420" i="4"/>
  <c r="F425" i="4"/>
  <c r="D427" i="4"/>
  <c r="F431" i="4"/>
  <c r="D432" i="4"/>
  <c r="F436" i="4"/>
  <c r="D439" i="4"/>
  <c r="F443" i="4"/>
  <c r="D444" i="4"/>
  <c r="F448" i="4"/>
  <c r="D449" i="4"/>
  <c r="F453" i="4"/>
  <c r="F455" i="4"/>
  <c r="D456" i="4"/>
  <c r="F460" i="4"/>
  <c r="D461" i="4"/>
  <c r="F465" i="4"/>
  <c r="D468" i="4"/>
  <c r="F1" i="2"/>
  <c r="A10" i="2"/>
  <c r="J1" i="2"/>
  <c r="E7" i="4"/>
  <c r="E11" i="4"/>
  <c r="E17" i="4"/>
  <c r="E19" i="4"/>
  <c r="E25" i="4"/>
  <c r="E27" i="4"/>
  <c r="E31" i="4"/>
  <c r="E35" i="4"/>
  <c r="E39" i="4"/>
  <c r="E45" i="4"/>
  <c r="E47" i="4"/>
  <c r="E51" i="4"/>
  <c r="F290" i="4"/>
  <c r="D290" i="4"/>
  <c r="B1" i="2"/>
  <c r="G1" i="2"/>
  <c r="A3" i="2"/>
  <c r="A11" i="2"/>
  <c r="E3" i="4"/>
  <c r="E5" i="4"/>
  <c r="E15" i="4"/>
  <c r="E21" i="4"/>
  <c r="E33" i="4"/>
  <c r="E41" i="4"/>
  <c r="E43" i="4"/>
  <c r="E53" i="4"/>
  <c r="E55" i="4"/>
  <c r="D1" i="2"/>
  <c r="H1" i="2"/>
  <c r="L1" i="2"/>
  <c r="A5" i="2"/>
  <c r="A6" i="2"/>
  <c r="A13" i="2"/>
  <c r="B1" i="3"/>
  <c r="F1" i="3"/>
  <c r="J1" i="3"/>
  <c r="A2" i="3"/>
  <c r="A6" i="3"/>
  <c r="A10" i="3"/>
  <c r="B15" i="3"/>
  <c r="F15" i="3"/>
  <c r="J15" i="3"/>
  <c r="A16" i="3"/>
  <c r="A20" i="3"/>
  <c r="A24" i="3"/>
  <c r="B29" i="3"/>
  <c r="F29" i="3"/>
  <c r="J29" i="3"/>
  <c r="A30" i="3"/>
  <c r="A34" i="3"/>
  <c r="A38" i="3"/>
  <c r="B43" i="3"/>
  <c r="F43" i="3"/>
  <c r="J43" i="3"/>
  <c r="A44" i="3"/>
  <c r="A48" i="3"/>
  <c r="A52" i="3"/>
  <c r="D2" i="4"/>
  <c r="D4" i="4"/>
  <c r="D6" i="4"/>
  <c r="D8" i="4"/>
  <c r="F9" i="4"/>
  <c r="D10" i="4"/>
  <c r="D12" i="4"/>
  <c r="F13" i="4"/>
  <c r="D14" i="4"/>
  <c r="D16" i="4"/>
  <c r="D18" i="4"/>
  <c r="D20" i="4"/>
  <c r="D22" i="4"/>
  <c r="F23" i="4"/>
  <c r="D24" i="4"/>
  <c r="D26" i="4"/>
  <c r="D28" i="4"/>
  <c r="F29" i="4"/>
  <c r="D30" i="4"/>
  <c r="D32" i="4"/>
  <c r="D34" i="4"/>
  <c r="D36" i="4"/>
  <c r="F37" i="4"/>
  <c r="D38" i="4"/>
  <c r="D40" i="4"/>
  <c r="D42" i="4"/>
  <c r="D44" i="4"/>
  <c r="D46" i="4"/>
  <c r="D48" i="4"/>
  <c r="D50" i="4"/>
  <c r="D54" i="4"/>
  <c r="D56" i="4"/>
  <c r="F282" i="4"/>
  <c r="D282" i="4"/>
  <c r="A2" i="2"/>
  <c r="D252" i="4"/>
  <c r="E252" i="4"/>
  <c r="C1" i="2"/>
  <c r="K1" i="2"/>
  <c r="E1" i="2"/>
  <c r="I1" i="2"/>
  <c r="M1" i="2"/>
  <c r="A7" i="2"/>
  <c r="C1" i="3"/>
  <c r="G1" i="3"/>
  <c r="K1" i="3"/>
  <c r="A3" i="3"/>
  <c r="A7" i="3"/>
  <c r="A11" i="3"/>
  <c r="C15" i="3"/>
  <c r="G15" i="3"/>
  <c r="K15" i="3"/>
  <c r="A17" i="3"/>
  <c r="A21" i="3"/>
  <c r="A25" i="3"/>
  <c r="C29" i="3"/>
  <c r="G29" i="3"/>
  <c r="K29" i="3"/>
  <c r="A31" i="3"/>
  <c r="A35" i="3"/>
  <c r="A39" i="3"/>
  <c r="C43" i="3"/>
  <c r="G43" i="3"/>
  <c r="K43" i="3"/>
  <c r="A45" i="3"/>
  <c r="A49" i="3"/>
  <c r="A53" i="3"/>
  <c r="D58" i="4"/>
  <c r="F58" i="4"/>
  <c r="F59" i="4"/>
  <c r="D59" i="4"/>
  <c r="D60" i="4"/>
  <c r="F60" i="4"/>
  <c r="F61" i="4"/>
  <c r="D61" i="4"/>
  <c r="D62" i="4"/>
  <c r="F62" i="4"/>
  <c r="F63" i="4"/>
  <c r="D63" i="4"/>
  <c r="D64" i="4"/>
  <c r="F64" i="4"/>
  <c r="F65" i="4"/>
  <c r="D65" i="4"/>
  <c r="D66" i="4"/>
  <c r="F66" i="4"/>
  <c r="F67" i="4"/>
  <c r="D67" i="4"/>
  <c r="D68" i="4"/>
  <c r="F68" i="4"/>
  <c r="F69" i="4"/>
  <c r="D69" i="4"/>
  <c r="D70" i="4"/>
  <c r="F70" i="4"/>
  <c r="F71" i="4"/>
  <c r="D71" i="4"/>
  <c r="D72" i="4"/>
  <c r="F72" i="4"/>
  <c r="F73" i="4"/>
  <c r="D73" i="4"/>
  <c r="D74" i="4"/>
  <c r="F74" i="4"/>
  <c r="F75" i="4"/>
  <c r="D75" i="4"/>
  <c r="D76" i="4"/>
  <c r="F76" i="4"/>
  <c r="F77" i="4"/>
  <c r="D77" i="4"/>
  <c r="D78" i="4"/>
  <c r="F78" i="4"/>
  <c r="F79" i="4"/>
  <c r="D79" i="4"/>
  <c r="D80" i="4"/>
  <c r="F80" i="4"/>
  <c r="F81" i="4"/>
  <c r="D81" i="4"/>
  <c r="D82" i="4"/>
  <c r="F82" i="4"/>
  <c r="F83" i="4"/>
  <c r="D83" i="4"/>
  <c r="D84" i="4"/>
  <c r="F84" i="4"/>
  <c r="F85" i="4"/>
  <c r="D85" i="4"/>
  <c r="D86" i="4"/>
  <c r="F86" i="4"/>
  <c r="F87" i="4"/>
  <c r="D87" i="4"/>
  <c r="D88" i="4"/>
  <c r="F88" i="4"/>
  <c r="F89" i="4"/>
  <c r="D89" i="4"/>
  <c r="D90" i="4"/>
  <c r="F90" i="4"/>
  <c r="F91" i="4"/>
  <c r="D91" i="4"/>
  <c r="D92" i="4"/>
  <c r="F92" i="4"/>
  <c r="F93" i="4"/>
  <c r="D93" i="4"/>
  <c r="D94" i="4"/>
  <c r="F94" i="4"/>
  <c r="F95" i="4"/>
  <c r="D95" i="4"/>
  <c r="D96" i="4"/>
  <c r="F96" i="4"/>
  <c r="F97" i="4"/>
  <c r="D97" i="4"/>
  <c r="D98" i="4"/>
  <c r="F98" i="4"/>
  <c r="F99" i="4"/>
  <c r="D99" i="4"/>
  <c r="D100" i="4"/>
  <c r="F100" i="4"/>
  <c r="F101" i="4"/>
  <c r="D101" i="4"/>
  <c r="D102" i="4"/>
  <c r="F102" i="4"/>
  <c r="F103" i="4"/>
  <c r="D103" i="4"/>
  <c r="D104" i="4"/>
  <c r="F104" i="4"/>
  <c r="F105" i="4"/>
  <c r="D105" i="4"/>
  <c r="D106" i="4"/>
  <c r="F106" i="4"/>
  <c r="F107" i="4"/>
  <c r="D107" i="4"/>
  <c r="D108" i="4"/>
  <c r="F108" i="4"/>
  <c r="F109" i="4"/>
  <c r="D109" i="4"/>
  <c r="D110" i="4"/>
  <c r="F110" i="4"/>
  <c r="F111" i="4"/>
  <c r="D111" i="4"/>
  <c r="D112" i="4"/>
  <c r="F112" i="4"/>
  <c r="F113" i="4"/>
  <c r="D113" i="4"/>
  <c r="D114" i="4"/>
  <c r="F114" i="4"/>
  <c r="F115" i="4"/>
  <c r="D115" i="4"/>
  <c r="D116" i="4"/>
  <c r="F116" i="4"/>
  <c r="F117" i="4"/>
  <c r="D117" i="4"/>
  <c r="D118" i="4"/>
  <c r="F118" i="4"/>
  <c r="F119" i="4"/>
  <c r="D119" i="4"/>
  <c r="D120" i="4"/>
  <c r="F120" i="4"/>
  <c r="F121" i="4"/>
  <c r="D121" i="4"/>
  <c r="D122" i="4"/>
  <c r="F122" i="4"/>
  <c r="F123" i="4"/>
  <c r="D123" i="4"/>
  <c r="D124" i="4"/>
  <c r="F124" i="4"/>
  <c r="F125" i="4"/>
  <c r="D125" i="4"/>
  <c r="D126" i="4"/>
  <c r="F126" i="4"/>
  <c r="F127" i="4"/>
  <c r="D127" i="4"/>
  <c r="D128" i="4"/>
  <c r="F128" i="4"/>
  <c r="F129" i="4"/>
  <c r="D129" i="4"/>
  <c r="D130" i="4"/>
  <c r="F130" i="4"/>
  <c r="F131" i="4"/>
  <c r="D131" i="4"/>
  <c r="D132" i="4"/>
  <c r="F132" i="4"/>
  <c r="F133" i="4"/>
  <c r="D133" i="4"/>
  <c r="F252" i="4"/>
  <c r="D260" i="4"/>
  <c r="E260" i="4"/>
  <c r="F274" i="4"/>
  <c r="D274" i="4"/>
  <c r="F250" i="4"/>
  <c r="F256" i="4"/>
  <c r="F264" i="4"/>
  <c r="E270" i="4"/>
  <c r="E278" i="4"/>
  <c r="E286" i="4"/>
  <c r="E294" i="4"/>
  <c r="E314" i="4"/>
  <c r="E318" i="4"/>
  <c r="E330" i="4"/>
  <c r="E334" i="4"/>
  <c r="D358" i="4"/>
  <c r="D360" i="4"/>
  <c r="E360" i="4"/>
  <c r="E361" i="4"/>
  <c r="D390" i="4"/>
  <c r="E390" i="4"/>
  <c r="D392" i="4"/>
  <c r="E392" i="4"/>
  <c r="E393" i="4"/>
  <c r="D454" i="4"/>
  <c r="F454" i="4"/>
  <c r="E454" i="4"/>
  <c r="F466" i="4"/>
  <c r="D466" i="4"/>
  <c r="D498" i="4"/>
  <c r="F530" i="4"/>
  <c r="D530" i="4"/>
  <c r="E251" i="4"/>
  <c r="F258" i="4"/>
  <c r="F266" i="4"/>
  <c r="E272" i="4"/>
  <c r="E280" i="4"/>
  <c r="E288" i="4"/>
  <c r="E304" i="4"/>
  <c r="F340" i="4"/>
  <c r="D340" i="4"/>
  <c r="F341" i="4"/>
  <c r="D366" i="4"/>
  <c r="E366" i="4"/>
  <c r="D368" i="4"/>
  <c r="E368" i="4"/>
  <c r="E369" i="4"/>
  <c r="D398" i="4"/>
  <c r="E398" i="4"/>
  <c r="D400" i="4"/>
  <c r="E400" i="4"/>
  <c r="E401" i="4"/>
  <c r="E406" i="4"/>
  <c r="D438" i="4"/>
  <c r="F438" i="4"/>
  <c r="E438" i="4"/>
  <c r="F450" i="4"/>
  <c r="D486" i="4"/>
  <c r="F486" i="4"/>
  <c r="E486" i="4"/>
  <c r="D518" i="4"/>
  <c r="F518" i="4"/>
  <c r="E518" i="4"/>
  <c r="E298" i="4"/>
  <c r="D308" i="4"/>
  <c r="E312" i="4"/>
  <c r="E328" i="4"/>
  <c r="E332" i="4"/>
  <c r="E336" i="4"/>
  <c r="F344" i="4"/>
  <c r="D344" i="4"/>
  <c r="F345" i="4"/>
  <c r="D353" i="4"/>
  <c r="D374" i="4"/>
  <c r="E374" i="4"/>
  <c r="D376" i="4"/>
  <c r="E376" i="4"/>
  <c r="E377" i="4"/>
  <c r="D385" i="4"/>
  <c r="D422" i="4"/>
  <c r="F422" i="4"/>
  <c r="E422" i="4"/>
  <c r="F434" i="4"/>
  <c r="D434" i="4"/>
  <c r="F482" i="4"/>
  <c r="D482" i="4"/>
  <c r="F514" i="4"/>
  <c r="D514" i="4"/>
  <c r="E249" i="4"/>
  <c r="E250" i="4"/>
  <c r="F254" i="4"/>
  <c r="E256" i="4"/>
  <c r="F262" i="4"/>
  <c r="E264" i="4"/>
  <c r="D270" i="4"/>
  <c r="E276" i="4"/>
  <c r="D278" i="4"/>
  <c r="E284" i="4"/>
  <c r="D286" i="4"/>
  <c r="E292" i="4"/>
  <c r="D294" i="4"/>
  <c r="E300" i="4"/>
  <c r="E308" i="4"/>
  <c r="D314" i="4"/>
  <c r="D318" i="4"/>
  <c r="D322" i="4"/>
  <c r="D330" i="4"/>
  <c r="D334" i="4"/>
  <c r="D338" i="4"/>
  <c r="D350" i="4"/>
  <c r="E350" i="4"/>
  <c r="D352" i="4"/>
  <c r="E352" i="4"/>
  <c r="E353" i="4"/>
  <c r="F358" i="4"/>
  <c r="F360" i="4"/>
  <c r="D361" i="4"/>
  <c r="D382" i="4"/>
  <c r="E382" i="4"/>
  <c r="D384" i="4"/>
  <c r="E384" i="4"/>
  <c r="E385" i="4"/>
  <c r="F390" i="4"/>
  <c r="F392" i="4"/>
  <c r="D393" i="4"/>
  <c r="F418" i="4"/>
  <c r="D418" i="4"/>
  <c r="E466" i="4"/>
  <c r="D470" i="4"/>
  <c r="F470" i="4"/>
  <c r="E470" i="4"/>
  <c r="D502" i="4"/>
  <c r="F502" i="4"/>
  <c r="E502" i="4"/>
  <c r="E530" i="4"/>
  <c r="D534" i="4"/>
  <c r="E534" i="4"/>
  <c r="F534" i="4"/>
  <c r="E253" i="4"/>
  <c r="E255" i="4"/>
  <c r="E257" i="4"/>
  <c r="E259" i="4"/>
  <c r="E261" i="4"/>
  <c r="E263" i="4"/>
  <c r="E265" i="4"/>
  <c r="D271" i="4"/>
  <c r="D273" i="4"/>
  <c r="D275" i="4"/>
  <c r="D277" i="4"/>
  <c r="D279" i="4"/>
  <c r="D281" i="4"/>
  <c r="D283" i="4"/>
  <c r="D289" i="4"/>
  <c r="D291" i="4"/>
  <c r="D295" i="4"/>
  <c r="D297" i="4"/>
  <c r="D299" i="4"/>
  <c r="D303" i="4"/>
  <c r="D305" i="4"/>
  <c r="D307" i="4"/>
  <c r="E342" i="4"/>
  <c r="F346" i="4"/>
  <c r="F354" i="4"/>
  <c r="F370" i="4"/>
  <c r="F378" i="4"/>
  <c r="F386" i="4"/>
  <c r="F394" i="4"/>
  <c r="F410" i="4"/>
  <c r="D414" i="4"/>
  <c r="F414" i="4"/>
  <c r="D430" i="4"/>
  <c r="F430" i="4"/>
  <c r="D446" i="4"/>
  <c r="F446" i="4"/>
  <c r="F462" i="4"/>
  <c r="D478" i="4"/>
  <c r="F478" i="4"/>
  <c r="D494" i="4"/>
  <c r="F494" i="4"/>
  <c r="D510" i="4"/>
  <c r="F510" i="4"/>
  <c r="D526" i="4"/>
  <c r="F526" i="4"/>
  <c r="F339" i="4"/>
  <c r="F343" i="4"/>
  <c r="D348" i="4"/>
  <c r="E348" i="4"/>
  <c r="E349" i="4"/>
  <c r="D356" i="4"/>
  <c r="E356" i="4"/>
  <c r="E357" i="4"/>
  <c r="D364" i="4"/>
  <c r="E364" i="4"/>
  <c r="E365" i="4"/>
  <c r="D372" i="4"/>
  <c r="E372" i="4"/>
  <c r="D380" i="4"/>
  <c r="E380" i="4"/>
  <c r="E381" i="4"/>
  <c r="D388" i="4"/>
  <c r="E388" i="4"/>
  <c r="E389" i="4"/>
  <c r="D396" i="4"/>
  <c r="E396" i="4"/>
  <c r="E397" i="4"/>
  <c r="F426" i="4"/>
  <c r="D426" i="4"/>
  <c r="F442" i="4"/>
  <c r="F458" i="4"/>
  <c r="D458" i="4"/>
  <c r="F474" i="4"/>
  <c r="D474" i="4"/>
  <c r="F490" i="4"/>
  <c r="D490" i="4"/>
  <c r="F506" i="4"/>
  <c r="D506" i="4"/>
  <c r="F522" i="4"/>
  <c r="D522" i="4"/>
  <c r="E347" i="4"/>
  <c r="E355" i="4"/>
  <c r="E359" i="4"/>
  <c r="E363" i="4"/>
  <c r="E367" i="4"/>
  <c r="E371" i="4"/>
  <c r="E375" i="4"/>
  <c r="E379" i="4"/>
  <c r="E383" i="4"/>
  <c r="E387" i="4"/>
  <c r="E391" i="4"/>
  <c r="E395" i="4"/>
  <c r="E399" i="4"/>
  <c r="E232" i="4"/>
  <c r="E351" i="4"/>
  <c r="C30" i="9"/>
  <c r="C16" i="9"/>
  <c r="C38" i="9"/>
  <c r="C24" i="9"/>
  <c r="C3" i="9"/>
  <c r="C7" i="9"/>
  <c r="C11" i="9"/>
  <c r="C39" i="9"/>
  <c r="C35" i="9"/>
  <c r="C31" i="9"/>
  <c r="F174" i="4"/>
  <c r="E174" i="4"/>
  <c r="E3" i="12"/>
  <c r="F3" i="12"/>
  <c r="F2" i="12"/>
  <c r="C16" i="12"/>
  <c r="E498" i="4"/>
  <c r="D302" i="4"/>
  <c r="D52" i="4"/>
  <c r="E49" i="4"/>
  <c r="D306" i="4"/>
  <c r="F324" i="4"/>
  <c r="D174" i="4"/>
  <c r="D162" i="4"/>
  <c r="E154" i="4"/>
  <c r="D172" i="4"/>
  <c r="E164" i="4"/>
  <c r="D138" i="4"/>
  <c r="E52" i="4"/>
  <c r="E141" i="4"/>
  <c r="F141" i="4"/>
  <c r="E287" i="4"/>
  <c r="D317" i="4"/>
  <c r="F317" i="4"/>
  <c r="E432" i="4"/>
  <c r="F432" i="4"/>
  <c r="E443" i="4"/>
  <c r="D443" i="4"/>
  <c r="E447" i="4"/>
  <c r="D447" i="4"/>
  <c r="E449" i="4"/>
  <c r="E450" i="4"/>
  <c r="E451" i="4"/>
  <c r="E452" i="4"/>
  <c r="E453" i="4"/>
  <c r="F57" i="4"/>
  <c r="F150" i="4"/>
  <c r="E150" i="4"/>
  <c r="F158" i="4"/>
  <c r="E158" i="4"/>
  <c r="D362" i="4"/>
  <c r="E362" i="4"/>
  <c r="E455" i="4"/>
  <c r="D455" i="4"/>
  <c r="E459" i="4"/>
  <c r="D459" i="4"/>
  <c r="D485" i="4"/>
  <c r="E485" i="4"/>
  <c r="D287" i="4"/>
  <c r="D170" i="4"/>
  <c r="F144" i="4"/>
  <c r="E144" i="4"/>
  <c r="F160" i="4"/>
  <c r="E160" i="4"/>
  <c r="F176" i="4"/>
  <c r="E176" i="4"/>
  <c r="E435" i="4"/>
  <c r="D435" i="4"/>
  <c r="F435" i="4"/>
  <c r="F49" i="4"/>
  <c r="F142" i="4"/>
  <c r="E142" i="4"/>
  <c r="F166" i="4"/>
  <c r="E166" i="4"/>
  <c r="F238" i="4"/>
  <c r="D238" i="4"/>
  <c r="E433" i="4"/>
  <c r="D433" i="4"/>
  <c r="E2" i="12"/>
  <c r="E324" i="4"/>
  <c r="E306" i="4"/>
  <c r="E310" i="4"/>
  <c r="E57" i="4"/>
  <c r="F469" i="4"/>
  <c r="E162" i="4"/>
  <c r="D150" i="4"/>
  <c r="D146" i="4"/>
  <c r="E138" i="4"/>
  <c r="D463" i="4"/>
  <c r="F136" i="4"/>
  <c r="E136" i="4"/>
  <c r="F152" i="4"/>
  <c r="E152" i="4"/>
  <c r="F168" i="4"/>
  <c r="E168" i="4"/>
  <c r="D442" i="4"/>
  <c r="D462" i="4"/>
  <c r="F362" i="4"/>
  <c r="D309" i="4"/>
  <c r="D301" i="4"/>
  <c r="D293" i="4"/>
  <c r="D326" i="4"/>
  <c r="D310" i="4"/>
  <c r="D300" i="4"/>
  <c r="E296" i="4"/>
  <c r="E326" i="4"/>
  <c r="E302" i="4"/>
  <c r="F467" i="4"/>
  <c r="D437" i="4"/>
  <c r="F165" i="4"/>
  <c r="F149" i="4"/>
  <c r="F459" i="4"/>
  <c r="F433" i="4"/>
  <c r="F315" i="4"/>
  <c r="D304" i="4"/>
  <c r="D178" i="4"/>
  <c r="E170" i="4"/>
  <c r="D158" i="4"/>
  <c r="D148" i="4"/>
  <c r="E140" i="4"/>
  <c r="D296" i="4"/>
  <c r="D168" i="4"/>
  <c r="D156" i="4"/>
  <c r="E146" i="4"/>
  <c r="F485" i="4"/>
  <c r="F237" i="4"/>
  <c r="D236" i="4"/>
  <c r="F437" i="4"/>
  <c r="D177" i="4"/>
  <c r="D165" i="4"/>
  <c r="D145" i="4"/>
  <c r="F50" i="4"/>
  <c r="F47" i="4"/>
  <c r="E139" i="4"/>
  <c r="F139" i="4"/>
  <c r="E143" i="4"/>
  <c r="D143" i="4"/>
  <c r="E151" i="4"/>
  <c r="D151" i="4"/>
  <c r="E155" i="4"/>
  <c r="F155" i="4"/>
  <c r="E159" i="4"/>
  <c r="D159" i="4"/>
  <c r="E167" i="4"/>
  <c r="D167" i="4"/>
  <c r="E171" i="4"/>
  <c r="F171" i="4"/>
  <c r="E175" i="4"/>
  <c r="D175" i="4"/>
  <c r="D187" i="4"/>
  <c r="F187" i="4"/>
  <c r="E235" i="4"/>
  <c r="E236" i="4"/>
  <c r="E238" i="4"/>
  <c r="E239" i="4"/>
  <c r="E303" i="4"/>
  <c r="F303" i="4"/>
  <c r="E307" i="4"/>
  <c r="F307" i="4"/>
  <c r="E456" i="4"/>
  <c r="F456" i="4"/>
  <c r="D533" i="4"/>
  <c r="E533" i="4"/>
  <c r="E457" i="4"/>
  <c r="C2" i="12"/>
  <c r="C3" i="12"/>
  <c r="E51" i="13"/>
  <c r="C51" i="13"/>
  <c r="C35" i="13"/>
  <c r="E55" i="13"/>
  <c r="C55" i="13"/>
  <c r="C5" i="13"/>
  <c r="C19" i="13"/>
  <c r="E53" i="13"/>
  <c r="C53" i="13"/>
  <c r="C6" i="13"/>
  <c r="C20" i="13"/>
  <c r="C11" i="13"/>
  <c r="C25" i="13"/>
  <c r="C4" i="13"/>
  <c r="C18" i="13"/>
  <c r="C12" i="13"/>
  <c r="C26" i="13"/>
  <c r="C8" i="13"/>
  <c r="C22" i="13"/>
  <c r="C9" i="13"/>
  <c r="C23" i="13"/>
  <c r="C7" i="13"/>
  <c r="C21" i="13"/>
  <c r="C17" i="13"/>
  <c r="E44" i="13"/>
  <c r="C44" i="13"/>
  <c r="E45" i="13"/>
  <c r="C45" i="13"/>
  <c r="C32" i="13"/>
  <c r="E47" i="13"/>
  <c r="C47" i="13"/>
  <c r="E36" i="13"/>
  <c r="C36" i="13"/>
  <c r="E38" i="13"/>
  <c r="E52" i="13"/>
  <c r="C52" i="13"/>
  <c r="E40" i="13"/>
  <c r="C40" i="13"/>
  <c r="C31" i="13"/>
  <c r="C30" i="13"/>
  <c r="E50" i="13"/>
  <c r="C50" i="13"/>
  <c r="C38" i="13"/>
  <c r="E54" i="13"/>
  <c r="C54" i="13"/>
  <c r="E46" i="13"/>
  <c r="C46" i="13"/>
  <c r="C33" i="13"/>
  <c r="D334" i="33"/>
</calcChain>
</file>

<file path=xl/comments1.xml><?xml version="1.0" encoding="utf-8"?>
<comments xmlns="http://schemas.openxmlformats.org/spreadsheetml/2006/main">
  <authors>
    <author>G</author>
  </authors>
  <commentList>
    <comment ref="A297" authorId="0">
      <text>
        <r>
          <rPr>
            <b/>
            <sz val="9"/>
            <color indexed="81"/>
            <rFont val="Calibri"/>
            <family val="2"/>
          </rPr>
          <t>G:</t>
        </r>
        <r>
          <rPr>
            <sz val="9"/>
            <color indexed="81"/>
            <rFont val="Calibri"/>
            <family val="2"/>
          </rPr>
          <t xml:space="preserve">
Calculated using inflow/outflow formula. Used the number of GT prisoners with &lt;12m detention remaining as outflow, reported by the 'National Offender Population Profile' reports in 2008 and 2009 by the Department of Correctional Services. Refer to 'Pen Rates' for workings.</t>
        </r>
      </text>
    </comment>
    <comment ref="A320" authorId="0">
      <text>
        <r>
          <rPr>
            <b/>
            <sz val="9"/>
            <color indexed="81"/>
            <rFont val="Calibri"/>
            <family val="2"/>
          </rPr>
          <t>G:</t>
        </r>
        <r>
          <rPr>
            <sz val="9"/>
            <color indexed="81"/>
            <rFont val="Calibri"/>
            <family val="2"/>
          </rPr>
          <t xml:space="preserve">
Calculated using inflow/outflow formula. Used the number of GT prisoners with &lt;12m detention remaining as outflow, reported by the 'National Offender Population Profile' reports in 2008 and 2009 by the Department of Correctional Services. Refer to 'Pen Rates' for workings.</t>
        </r>
      </text>
    </comment>
    <comment ref="A338" authorId="0">
      <text>
        <r>
          <rPr>
            <b/>
            <sz val="9"/>
            <color indexed="81"/>
            <rFont val="Calibri"/>
            <family val="2"/>
          </rPr>
          <t>G:</t>
        </r>
        <r>
          <rPr>
            <sz val="9"/>
            <color indexed="81"/>
            <rFont val="Calibri"/>
            <family val="2"/>
          </rPr>
          <t xml:space="preserve">
Calculated using inflow/outflow formula. Used the number of GT prisoners with &lt;12m detention remaining as outflow, reported by the 'National Offender Population Profile' reports in 2008 and 2009 by the Department of Correctional Services. Refer to 'Pen Rates' for workings.</t>
        </r>
      </text>
    </comment>
    <comment ref="A351" authorId="0">
      <text>
        <r>
          <rPr>
            <b/>
            <sz val="9"/>
            <color indexed="81"/>
            <rFont val="Calibri"/>
            <family val="2"/>
          </rPr>
          <t>G:</t>
        </r>
        <r>
          <rPr>
            <sz val="9"/>
            <color indexed="81"/>
            <rFont val="Calibri"/>
            <family val="2"/>
          </rPr>
          <t xml:space="preserve">
Calculated using inflow/outflow formula. Used the number of GT prisoners with &lt;12m detention remaining as outflow, reported by the 'National Offender Population Profile' reports in 2008 and 2009 by the Department of Correctional Services. Refer to 'Pen Rates' for workings.</t>
        </r>
      </text>
    </comment>
  </commentList>
</comments>
</file>

<file path=xl/comments2.xml><?xml version="1.0" encoding="utf-8"?>
<comments xmlns="http://schemas.openxmlformats.org/spreadsheetml/2006/main">
  <authors>
    <author>G</author>
    <author>Azfar Hussain</author>
  </authors>
  <commentList>
    <comment ref="V6" authorId="0">
      <text>
        <r>
          <rPr>
            <b/>
            <sz val="9"/>
            <color indexed="81"/>
            <rFont val="Calibri"/>
            <family val="2"/>
          </rPr>
          <t>G:</t>
        </r>
        <r>
          <rPr>
            <sz val="9"/>
            <color indexed="81"/>
            <rFont val="Calibri"/>
            <family val="2"/>
          </rPr>
          <t xml:space="preserve">
Madhukar Pai et al. 2016 (0.5-0.8)
</t>
        </r>
      </text>
    </comment>
    <comment ref="V17" authorId="0">
      <text>
        <r>
          <rPr>
            <b/>
            <sz val="9"/>
            <color indexed="81"/>
            <rFont val="Calibri"/>
            <family val="2"/>
          </rPr>
          <t>G:</t>
        </r>
        <r>
          <rPr>
            <sz val="9"/>
            <color indexed="81"/>
            <rFont val="Calibri"/>
            <family val="2"/>
          </rPr>
          <t xml:space="preserve">
Claassens et al. 2017</t>
        </r>
      </text>
    </comment>
    <comment ref="V28" authorId="0">
      <text>
        <r>
          <rPr>
            <b/>
            <sz val="9"/>
            <color indexed="81"/>
            <rFont val="Calibri"/>
            <family val="2"/>
          </rPr>
          <t>G:</t>
        </r>
        <r>
          <rPr>
            <sz val="9"/>
            <color indexed="81"/>
            <rFont val="Calibri"/>
            <family val="2"/>
          </rPr>
          <t xml:space="preserve">
Claassens et al. 2017</t>
        </r>
      </text>
    </comment>
    <comment ref="V39" authorId="0">
      <text>
        <r>
          <rPr>
            <b/>
            <sz val="9"/>
            <color indexed="81"/>
            <rFont val="Calibri"/>
            <family val="2"/>
          </rPr>
          <t>G:</t>
        </r>
        <r>
          <rPr>
            <sz val="9"/>
            <color indexed="81"/>
            <rFont val="Calibri"/>
            <family val="2"/>
          </rPr>
          <t xml:space="preserve">
Claassens et al. 2017</t>
        </r>
      </text>
    </comment>
    <comment ref="V50" authorId="0">
      <text>
        <r>
          <rPr>
            <b/>
            <sz val="9"/>
            <color indexed="81"/>
            <rFont val="Calibri"/>
            <family val="2"/>
          </rPr>
          <t>G:</t>
        </r>
        <r>
          <rPr>
            <sz val="9"/>
            <color indexed="81"/>
            <rFont val="Calibri"/>
            <family val="2"/>
          </rPr>
          <t xml:space="preserve">
Claassens et al. 2017</t>
        </r>
      </text>
    </comment>
    <comment ref="V51" authorId="0">
      <text>
        <r>
          <rPr>
            <b/>
            <sz val="9"/>
            <color indexed="81"/>
            <rFont val="Calibri"/>
            <family val="2"/>
          </rPr>
          <t>G:</t>
        </r>
        <r>
          <rPr>
            <sz val="9"/>
            <color indexed="81"/>
            <rFont val="Calibri"/>
            <family val="2"/>
          </rPr>
          <t xml:space="preserve">
Deery 2014</t>
        </r>
      </text>
    </comment>
    <comment ref="V52" authorId="0">
      <text>
        <r>
          <rPr>
            <b/>
            <sz val="9"/>
            <color indexed="81"/>
            <rFont val="Calibri"/>
            <family val="2"/>
          </rPr>
          <t>G:</t>
        </r>
        <r>
          <rPr>
            <sz val="9"/>
            <color indexed="81"/>
            <rFont val="Calibri"/>
            <family val="2"/>
          </rPr>
          <t xml:space="preserve">
Average of 12 and 6 months IPT
</t>
        </r>
      </text>
    </comment>
    <comment ref="V53" authorId="0">
      <text>
        <r>
          <rPr>
            <b/>
            <sz val="9"/>
            <color indexed="81"/>
            <rFont val="Calibri"/>
            <family val="2"/>
          </rPr>
          <t>G:</t>
        </r>
        <r>
          <rPr>
            <sz val="9"/>
            <color indexed="81"/>
            <rFont val="Calibri"/>
            <family val="2"/>
          </rPr>
          <t xml:space="preserve">
Menzies et al. 2011</t>
        </r>
      </text>
    </comment>
    <comment ref="V61" authorId="0">
      <text>
        <r>
          <rPr>
            <b/>
            <sz val="9"/>
            <color indexed="81"/>
            <rFont val="Calibri"/>
            <family val="2"/>
          </rPr>
          <t>G:</t>
        </r>
        <r>
          <rPr>
            <sz val="9"/>
            <color indexed="81"/>
            <rFont val="Calibri"/>
            <family val="2"/>
          </rPr>
          <t xml:space="preserve">
Claassens et al. 2017</t>
        </r>
      </text>
    </comment>
    <comment ref="V62" authorId="0">
      <text>
        <r>
          <rPr>
            <b/>
            <sz val="9"/>
            <color indexed="81"/>
            <rFont val="Calibri"/>
            <family val="2"/>
          </rPr>
          <t>G:</t>
        </r>
        <r>
          <rPr>
            <sz val="9"/>
            <color indexed="81"/>
            <rFont val="Calibri"/>
            <family val="2"/>
          </rPr>
          <t xml:space="preserve">
Deery 2014</t>
        </r>
      </text>
    </comment>
    <comment ref="V63" authorId="0">
      <text>
        <r>
          <rPr>
            <b/>
            <sz val="9"/>
            <color indexed="81"/>
            <rFont val="Calibri"/>
            <family val="2"/>
          </rPr>
          <t>G:</t>
        </r>
        <r>
          <rPr>
            <sz val="9"/>
            <color indexed="81"/>
            <rFont val="Calibri"/>
            <family val="2"/>
          </rPr>
          <t xml:space="preserve">
Average of 12 and 6 months IPT
</t>
        </r>
      </text>
    </comment>
    <comment ref="V64" authorId="0">
      <text>
        <r>
          <rPr>
            <b/>
            <sz val="9"/>
            <color indexed="81"/>
            <rFont val="Calibri"/>
            <family val="2"/>
          </rPr>
          <t>G:</t>
        </r>
        <r>
          <rPr>
            <sz val="9"/>
            <color indexed="81"/>
            <rFont val="Calibri"/>
            <family val="2"/>
          </rPr>
          <t xml:space="preserve">
Menzies et al. 2011</t>
        </r>
      </text>
    </comment>
    <comment ref="V72" authorId="0">
      <text>
        <r>
          <rPr>
            <b/>
            <sz val="9"/>
            <color indexed="81"/>
            <rFont val="Calibri"/>
            <family val="2"/>
          </rPr>
          <t>G:</t>
        </r>
        <r>
          <rPr>
            <sz val="9"/>
            <color indexed="81"/>
            <rFont val="Calibri"/>
            <family val="2"/>
          </rPr>
          <t xml:space="preserve">
Claassens et al. 2017</t>
        </r>
      </text>
    </comment>
    <comment ref="V73" authorId="0">
      <text>
        <r>
          <rPr>
            <b/>
            <sz val="9"/>
            <color indexed="81"/>
            <rFont val="Calibri"/>
            <family val="2"/>
          </rPr>
          <t>G:</t>
        </r>
        <r>
          <rPr>
            <sz val="9"/>
            <color indexed="81"/>
            <rFont val="Calibri"/>
            <family val="2"/>
          </rPr>
          <t xml:space="preserve">
Deery 2014</t>
        </r>
      </text>
    </comment>
    <comment ref="V74" authorId="0">
      <text>
        <r>
          <rPr>
            <b/>
            <sz val="9"/>
            <color indexed="81"/>
            <rFont val="Calibri"/>
            <family val="2"/>
          </rPr>
          <t>G:</t>
        </r>
        <r>
          <rPr>
            <sz val="9"/>
            <color indexed="81"/>
            <rFont val="Calibri"/>
            <family val="2"/>
          </rPr>
          <t xml:space="preserve">
Average of 12 and 6 months IPT
</t>
        </r>
      </text>
    </comment>
    <comment ref="V75" authorId="0">
      <text>
        <r>
          <rPr>
            <b/>
            <sz val="9"/>
            <color indexed="81"/>
            <rFont val="Calibri"/>
            <family val="2"/>
          </rPr>
          <t>G:</t>
        </r>
        <r>
          <rPr>
            <sz val="9"/>
            <color indexed="81"/>
            <rFont val="Calibri"/>
            <family val="2"/>
          </rPr>
          <t xml:space="preserve">
Average of 12 and 6 months IPT
</t>
        </r>
      </text>
    </comment>
    <comment ref="U81" authorId="1">
      <text>
        <r>
          <rPr>
            <b/>
            <sz val="9"/>
            <color indexed="81"/>
            <rFont val="Tahoma"/>
            <family val="2"/>
          </rPr>
          <t>Azfar Hussain:</t>
        </r>
        <r>
          <rPr>
            <sz val="9"/>
            <color indexed="81"/>
            <rFont val="Tahoma"/>
            <family val="2"/>
          </rPr>
          <t xml:space="preserve">
Original value: $41,512,361</t>
        </r>
      </text>
    </comment>
    <comment ref="D82" authorId="1">
      <text>
        <r>
          <rPr>
            <b/>
            <sz val="9"/>
            <color indexed="81"/>
            <rFont val="Tahoma"/>
            <family val="2"/>
          </rPr>
          <t>Azfar Hussain:</t>
        </r>
        <r>
          <rPr>
            <sz val="9"/>
            <color indexed="81"/>
            <rFont val="Tahoma"/>
            <family val="2"/>
          </rPr>
          <t xml:space="preserve">
Unit Cost of $2807 annualised to $5614</t>
        </r>
      </text>
    </comment>
    <comment ref="U83" authorId="0">
      <text>
        <r>
          <rPr>
            <b/>
            <sz val="9"/>
            <color indexed="81"/>
            <rFont val="Calibri"/>
            <family val="2"/>
          </rPr>
          <t>G:</t>
        </r>
        <r>
          <rPr>
            <sz val="9"/>
            <color indexed="81"/>
            <rFont val="Calibri"/>
            <family val="2"/>
          </rPr>
          <t xml:space="preserve">
Country Data from 2015
Original value: 89.1%</t>
        </r>
      </text>
    </comment>
    <comment ref="U84" authorId="0">
      <text>
        <r>
          <rPr>
            <b/>
            <sz val="9"/>
            <color indexed="81"/>
            <rFont val="Calibri"/>
            <family val="2"/>
          </rPr>
          <t>G:</t>
        </r>
        <r>
          <rPr>
            <sz val="9"/>
            <color indexed="81"/>
            <rFont val="Calibri"/>
            <family val="2"/>
          </rPr>
          <t xml:space="preserve">
1-abandoment from 2015 country data
Original value: 95.2%</t>
        </r>
      </text>
    </comment>
    <comment ref="U92" authorId="1">
      <text>
        <r>
          <rPr>
            <b/>
            <sz val="9"/>
            <color indexed="81"/>
            <rFont val="Tahoma"/>
            <family val="2"/>
          </rPr>
          <t>Azfar Hussain:</t>
        </r>
        <r>
          <rPr>
            <sz val="9"/>
            <color indexed="81"/>
            <rFont val="Tahoma"/>
            <family val="2"/>
          </rPr>
          <t xml:space="preserve">
No change</t>
        </r>
      </text>
    </comment>
    <comment ref="D93" authorId="1">
      <text>
        <r>
          <rPr>
            <b/>
            <sz val="9"/>
            <color indexed="81"/>
            <rFont val="Tahoma"/>
            <family val="2"/>
          </rPr>
          <t>Azfar Hussain:</t>
        </r>
        <r>
          <rPr>
            <sz val="9"/>
            <color indexed="81"/>
            <rFont val="Tahoma"/>
            <family val="2"/>
          </rPr>
          <t xml:space="preserve">
No change</t>
        </r>
      </text>
    </comment>
    <comment ref="U94" authorId="0">
      <text>
        <r>
          <rPr>
            <b/>
            <sz val="9"/>
            <color indexed="81"/>
            <rFont val="Calibri"/>
            <family val="2"/>
          </rPr>
          <t>G:</t>
        </r>
        <r>
          <rPr>
            <sz val="9"/>
            <color indexed="81"/>
            <rFont val="Calibri"/>
            <family val="2"/>
          </rPr>
          <t xml:space="preserve">
from 2014 country data
Original value: 43.98%</t>
        </r>
      </text>
    </comment>
    <comment ref="U95" authorId="0">
      <text>
        <r>
          <rPr>
            <b/>
            <sz val="9"/>
            <color indexed="81"/>
            <rFont val="Calibri"/>
            <family val="2"/>
          </rPr>
          <t>G:</t>
        </r>
        <r>
          <rPr>
            <sz val="9"/>
            <color indexed="81"/>
            <rFont val="Calibri"/>
            <family val="2"/>
          </rPr>
          <t xml:space="preserve">
1-abandoment from 2014 country data
Original value: 54.76%</t>
        </r>
      </text>
    </comment>
    <comment ref="U103" authorId="1">
      <text>
        <r>
          <rPr>
            <b/>
            <sz val="9"/>
            <color indexed="81"/>
            <rFont val="Tahoma"/>
            <family val="2"/>
          </rPr>
          <t>Azfar Hussain:</t>
        </r>
        <r>
          <rPr>
            <sz val="9"/>
            <color indexed="81"/>
            <rFont val="Tahoma"/>
            <family val="2"/>
          </rPr>
          <t xml:space="preserve">
No change</t>
        </r>
      </text>
    </comment>
    <comment ref="D104" authorId="1">
      <text>
        <r>
          <rPr>
            <b/>
            <sz val="9"/>
            <color indexed="81"/>
            <rFont val="Tahoma"/>
            <family val="2"/>
          </rPr>
          <t>Azfar Hussain:</t>
        </r>
        <r>
          <rPr>
            <sz val="9"/>
            <color indexed="81"/>
            <rFont val="Tahoma"/>
            <family val="2"/>
          </rPr>
          <t xml:space="preserve">
No change</t>
        </r>
      </text>
    </comment>
    <comment ref="U105" authorId="0">
      <text>
        <r>
          <rPr>
            <b/>
            <sz val="9"/>
            <color indexed="81"/>
            <rFont val="Calibri"/>
            <family val="2"/>
          </rPr>
          <t>G:</t>
        </r>
        <r>
          <rPr>
            <sz val="9"/>
            <color indexed="81"/>
            <rFont val="Calibri"/>
            <family val="2"/>
          </rPr>
          <t xml:space="preserve">
WHO report 2016
Original value: 69.3%</t>
        </r>
      </text>
    </comment>
    <comment ref="U106" authorId="0">
      <text>
        <r>
          <rPr>
            <b/>
            <sz val="9"/>
            <color indexed="81"/>
            <rFont val="Calibri"/>
            <family val="2"/>
          </rPr>
          <t>G:</t>
        </r>
        <r>
          <rPr>
            <sz val="9"/>
            <color indexed="81"/>
            <rFont val="Calibri"/>
            <family val="2"/>
          </rPr>
          <t xml:space="preserve">
WHO report 2016
Original value: 89.10%</t>
        </r>
      </text>
    </comment>
    <comment ref="U116" authorId="0">
      <text>
        <r>
          <rPr>
            <b/>
            <sz val="9"/>
            <color indexed="81"/>
            <rFont val="Calibri"/>
            <family val="2"/>
          </rPr>
          <t>G:</t>
        </r>
        <r>
          <rPr>
            <sz val="9"/>
            <color indexed="81"/>
            <rFont val="Calibri"/>
            <family val="2"/>
          </rPr>
          <t xml:space="preserve">
WHO report 2016
Original value: 69.3%</t>
        </r>
      </text>
    </comment>
    <comment ref="U117" authorId="0">
      <text>
        <r>
          <rPr>
            <b/>
            <sz val="9"/>
            <color indexed="81"/>
            <rFont val="Calibri"/>
            <family val="2"/>
          </rPr>
          <t>G:</t>
        </r>
        <r>
          <rPr>
            <sz val="9"/>
            <color indexed="81"/>
            <rFont val="Calibri"/>
            <family val="2"/>
          </rPr>
          <t xml:space="preserve">
WHO report 2016
Original value: 89.10%</t>
        </r>
      </text>
    </comment>
    <comment ref="D126" authorId="1">
      <text>
        <r>
          <rPr>
            <b/>
            <sz val="9"/>
            <color indexed="81"/>
            <rFont val="Tahoma"/>
            <family val="2"/>
          </rPr>
          <t>Azfar Hussain:</t>
        </r>
        <r>
          <rPr>
            <sz val="9"/>
            <color indexed="81"/>
            <rFont val="Tahoma"/>
            <family val="2"/>
          </rPr>
          <t xml:space="preserve">
Original non-annualised value: $31,411</t>
        </r>
      </text>
    </comment>
    <comment ref="U127" authorId="0">
      <text>
        <r>
          <rPr>
            <b/>
            <sz val="9"/>
            <color indexed="81"/>
            <rFont val="Calibri"/>
            <family val="2"/>
          </rPr>
          <t>G:</t>
        </r>
        <r>
          <rPr>
            <sz val="9"/>
            <color indexed="81"/>
            <rFont val="Calibri"/>
            <family val="2"/>
          </rPr>
          <t xml:space="preserve">
Kibert et al. 2017</t>
        </r>
      </text>
    </comment>
    <comment ref="U128" authorId="0">
      <text>
        <r>
          <rPr>
            <b/>
            <sz val="9"/>
            <color indexed="81"/>
            <rFont val="Calibri"/>
            <family val="2"/>
          </rPr>
          <t>G:</t>
        </r>
        <r>
          <rPr>
            <sz val="9"/>
            <color indexed="81"/>
            <rFont val="Calibri"/>
            <family val="2"/>
          </rPr>
          <t xml:space="preserve">
Kibert et al. 2017</t>
        </r>
      </text>
    </comment>
    <comment ref="D137" authorId="1">
      <text>
        <r>
          <rPr>
            <b/>
            <sz val="9"/>
            <color indexed="81"/>
            <rFont val="Tahoma"/>
            <family val="2"/>
          </rPr>
          <t>Azfar Hussain:</t>
        </r>
        <r>
          <rPr>
            <sz val="9"/>
            <color indexed="81"/>
            <rFont val="Tahoma"/>
            <family val="2"/>
          </rPr>
          <t xml:space="preserve">
Original non-annualised value: $37,258</t>
        </r>
      </text>
    </comment>
    <comment ref="U138" authorId="0">
      <text>
        <r>
          <rPr>
            <b/>
            <sz val="9"/>
            <color indexed="81"/>
            <rFont val="Calibri"/>
            <family val="2"/>
          </rPr>
          <t>G:</t>
        </r>
        <r>
          <rPr>
            <sz val="9"/>
            <color indexed="81"/>
            <rFont val="Calibri"/>
            <family val="2"/>
          </rPr>
          <t xml:space="preserve">
WHO report 2016</t>
        </r>
      </text>
    </comment>
    <comment ref="U139" authorId="0">
      <text>
        <r>
          <rPr>
            <b/>
            <sz val="9"/>
            <color indexed="81"/>
            <rFont val="Calibri"/>
            <family val="2"/>
          </rPr>
          <t>G:</t>
        </r>
        <r>
          <rPr>
            <sz val="9"/>
            <color indexed="81"/>
            <rFont val="Calibri"/>
            <family val="2"/>
          </rPr>
          <t xml:space="preserve">
WHO report 2016</t>
        </r>
      </text>
    </comment>
    <comment ref="U147" authorId="1">
      <text>
        <r>
          <rPr>
            <b/>
            <sz val="9"/>
            <color indexed="81"/>
            <rFont val="Tahoma"/>
            <family val="2"/>
          </rPr>
          <t>Azfar Hussain:</t>
        </r>
        <r>
          <rPr>
            <sz val="9"/>
            <color indexed="81"/>
            <rFont val="Tahoma"/>
            <family val="2"/>
          </rPr>
          <t xml:space="preserve">
Original value: $944,544</t>
        </r>
      </text>
    </comment>
    <comment ref="D148" authorId="1">
      <text>
        <r>
          <rPr>
            <b/>
            <sz val="9"/>
            <color indexed="81"/>
            <rFont val="Tahoma"/>
            <family val="2"/>
          </rPr>
          <t>Azfar Hussain:</t>
        </r>
        <r>
          <rPr>
            <sz val="9"/>
            <color indexed="81"/>
            <rFont val="Tahoma"/>
            <family val="2"/>
          </rPr>
          <t xml:space="preserve">
Original value: $97,175</t>
        </r>
      </text>
    </comment>
    <comment ref="U149" authorId="0">
      <text>
        <r>
          <rPr>
            <b/>
            <sz val="9"/>
            <color indexed="81"/>
            <rFont val="Calibri"/>
            <family val="2"/>
          </rPr>
          <t>G:</t>
        </r>
        <r>
          <rPr>
            <sz val="9"/>
            <color indexed="81"/>
            <rFont val="Calibri"/>
            <family val="2"/>
          </rPr>
          <t xml:space="preserve">
from 2014 country data</t>
        </r>
      </text>
    </comment>
    <comment ref="U150" authorId="0">
      <text>
        <r>
          <rPr>
            <b/>
            <sz val="9"/>
            <color indexed="81"/>
            <rFont val="Calibri"/>
            <family val="2"/>
          </rPr>
          <t>G:</t>
        </r>
        <r>
          <rPr>
            <sz val="9"/>
            <color indexed="81"/>
            <rFont val="Calibri"/>
            <family val="2"/>
          </rPr>
          <t xml:space="preserve">
1-abandoment from 2011 country data</t>
        </r>
      </text>
    </comment>
    <comment ref="U160" authorId="0">
      <text>
        <r>
          <rPr>
            <b/>
            <sz val="9"/>
            <color indexed="81"/>
            <rFont val="Calibri"/>
            <family val="2"/>
          </rPr>
          <t>G:</t>
        </r>
        <r>
          <rPr>
            <sz val="9"/>
            <color indexed="81"/>
            <rFont val="Calibri"/>
            <family val="2"/>
          </rPr>
          <t xml:space="preserve">
Pym et al. 2016 (ERJ), avg. of pre-XDR/XDR</t>
        </r>
      </text>
    </comment>
    <comment ref="U161" authorId="0">
      <text>
        <r>
          <rPr>
            <b/>
            <sz val="9"/>
            <color indexed="81"/>
            <rFont val="Calibri"/>
            <family val="2"/>
          </rPr>
          <t>G:</t>
        </r>
        <r>
          <rPr>
            <sz val="9"/>
            <color indexed="81"/>
            <rFont val="Calibri"/>
            <family val="2"/>
          </rPr>
          <t xml:space="preserve">
WHO report 2016</t>
        </r>
      </text>
    </comment>
    <comment ref="U169" authorId="1">
      <text>
        <r>
          <rPr>
            <b/>
            <sz val="9"/>
            <color indexed="81"/>
            <rFont val="Tahoma"/>
            <family val="2"/>
          </rPr>
          <t>Azfar Hussain:</t>
        </r>
        <r>
          <rPr>
            <sz val="9"/>
            <color indexed="81"/>
            <rFont val="Tahoma"/>
            <family val="2"/>
          </rPr>
          <t xml:space="preserve">
Original budget: $90,533,507</t>
        </r>
      </text>
    </comment>
    <comment ref="D170" authorId="1">
      <text>
        <r>
          <rPr>
            <b/>
            <sz val="9"/>
            <color indexed="81"/>
            <rFont val="Tahoma"/>
            <family val="2"/>
          </rPr>
          <t>Azfar Hussain:</t>
        </r>
        <r>
          <rPr>
            <sz val="9"/>
            <color indexed="81"/>
            <rFont val="Tahoma"/>
            <family val="2"/>
          </rPr>
          <t xml:space="preserve">
Original Value: $2,865
Revised value of $3,438 annualised to $6,876</t>
        </r>
      </text>
    </comment>
    <comment ref="U171" authorId="0">
      <text>
        <r>
          <rPr>
            <b/>
            <sz val="9"/>
            <color indexed="81"/>
            <rFont val="Calibri"/>
            <family val="2"/>
          </rPr>
          <t>G:</t>
        </r>
        <r>
          <rPr>
            <sz val="9"/>
            <color indexed="81"/>
            <rFont val="Calibri"/>
            <family val="2"/>
          </rPr>
          <t xml:space="preserve">
Country Data from 2015
Original value: 85.6%</t>
        </r>
      </text>
    </comment>
    <comment ref="U172" authorId="0">
      <text>
        <r>
          <rPr>
            <b/>
            <sz val="9"/>
            <color indexed="81"/>
            <rFont val="Calibri"/>
            <family val="2"/>
          </rPr>
          <t>G:</t>
        </r>
        <r>
          <rPr>
            <sz val="9"/>
            <color indexed="81"/>
            <rFont val="Calibri"/>
            <family val="2"/>
          </rPr>
          <t xml:space="preserve">
1-abandoment from 2015 country data
Original value: 94.2%</t>
        </r>
      </text>
    </comment>
    <comment ref="U180" authorId="1">
      <text>
        <r>
          <rPr>
            <b/>
            <sz val="9"/>
            <color indexed="81"/>
            <rFont val="Tahoma"/>
            <family val="2"/>
          </rPr>
          <t>Azfar Hussain:</t>
        </r>
        <r>
          <rPr>
            <sz val="9"/>
            <color indexed="81"/>
            <rFont val="Tahoma"/>
            <family val="2"/>
          </rPr>
          <t xml:space="preserve">
Original value: $13,888,870</t>
        </r>
      </text>
    </comment>
    <comment ref="D181" authorId="1">
      <text>
        <r>
          <rPr>
            <b/>
            <sz val="9"/>
            <color indexed="81"/>
            <rFont val="Tahoma"/>
            <family val="2"/>
          </rPr>
          <t>Azfar Hussain:</t>
        </r>
        <r>
          <rPr>
            <sz val="9"/>
            <color indexed="81"/>
            <rFont val="Tahoma"/>
            <family val="2"/>
          </rPr>
          <t xml:space="preserve">
Original value: $31,056</t>
        </r>
      </text>
    </comment>
    <comment ref="U182" authorId="0">
      <text>
        <r>
          <rPr>
            <b/>
            <sz val="9"/>
            <color indexed="81"/>
            <rFont val="Calibri"/>
            <family val="2"/>
          </rPr>
          <t>G:</t>
        </r>
        <r>
          <rPr>
            <sz val="9"/>
            <color indexed="81"/>
            <rFont val="Calibri"/>
            <family val="2"/>
          </rPr>
          <t xml:space="preserve">
from 2014 country data
Original value: 40.66%</t>
        </r>
      </text>
    </comment>
    <comment ref="U183" authorId="0">
      <text>
        <r>
          <rPr>
            <b/>
            <sz val="9"/>
            <color indexed="81"/>
            <rFont val="Calibri"/>
            <family val="2"/>
          </rPr>
          <t>G:</t>
        </r>
        <r>
          <rPr>
            <sz val="9"/>
            <color indexed="81"/>
            <rFont val="Calibri"/>
            <family val="2"/>
          </rPr>
          <t xml:space="preserve">
1-abandoment from 2014 country data
Original value: 60.28%</t>
        </r>
      </text>
    </comment>
    <comment ref="U191" authorId="1">
      <text>
        <r>
          <rPr>
            <b/>
            <sz val="9"/>
            <color indexed="81"/>
            <rFont val="Tahoma"/>
            <family val="2"/>
          </rPr>
          <t>Azfar Hussain:</t>
        </r>
        <r>
          <rPr>
            <sz val="9"/>
            <color indexed="81"/>
            <rFont val="Tahoma"/>
            <family val="2"/>
          </rPr>
          <t xml:space="preserve">
Original value: $15,712,783</t>
        </r>
      </text>
    </comment>
    <comment ref="D192" authorId="1">
      <text>
        <r>
          <rPr>
            <b/>
            <sz val="9"/>
            <color indexed="81"/>
            <rFont val="Tahoma"/>
            <family val="2"/>
          </rPr>
          <t>Azfar Hussain:</t>
        </r>
        <r>
          <rPr>
            <sz val="9"/>
            <color indexed="81"/>
            <rFont val="Tahoma"/>
            <family val="2"/>
          </rPr>
          <t xml:space="preserve">
Original value: $35,134</t>
        </r>
      </text>
    </comment>
    <comment ref="U193" authorId="0">
      <text>
        <r>
          <rPr>
            <b/>
            <sz val="9"/>
            <color indexed="81"/>
            <rFont val="Calibri"/>
            <family val="2"/>
          </rPr>
          <t>G:</t>
        </r>
        <r>
          <rPr>
            <sz val="9"/>
            <color indexed="81"/>
            <rFont val="Calibri"/>
            <family val="2"/>
          </rPr>
          <t xml:space="preserve">
Same as the HIV- populations
Original value: 69.3%</t>
        </r>
      </text>
    </comment>
    <comment ref="U194" authorId="0">
      <text>
        <r>
          <rPr>
            <b/>
            <sz val="9"/>
            <color indexed="81"/>
            <rFont val="Calibri"/>
            <family val="2"/>
          </rPr>
          <t>G:</t>
        </r>
        <r>
          <rPr>
            <sz val="9"/>
            <color indexed="81"/>
            <rFont val="Calibri"/>
            <family val="2"/>
          </rPr>
          <t xml:space="preserve">
WHO report 2016
Original value 89.1%</t>
        </r>
      </text>
    </comment>
    <comment ref="U204" authorId="0">
      <text>
        <r>
          <rPr>
            <b/>
            <sz val="9"/>
            <color indexed="81"/>
            <rFont val="Calibri"/>
            <family val="2"/>
          </rPr>
          <t>G:</t>
        </r>
        <r>
          <rPr>
            <sz val="9"/>
            <color indexed="81"/>
            <rFont val="Calibri"/>
            <family val="2"/>
          </rPr>
          <t xml:space="preserve">
Average of BDQ-Modified/SC-KM/SC-BDQ efficacies and adherence</t>
        </r>
      </text>
    </comment>
    <comment ref="U213" authorId="1">
      <text>
        <r>
          <rPr>
            <b/>
            <sz val="9"/>
            <color indexed="81"/>
            <rFont val="Tahoma"/>
            <family val="2"/>
          </rPr>
          <t>Azfar Hussain:</t>
        </r>
        <r>
          <rPr>
            <sz val="9"/>
            <color indexed="81"/>
            <rFont val="Tahoma"/>
            <family val="2"/>
          </rPr>
          <t xml:space="preserve">
Original value: $5,707,834</t>
        </r>
      </text>
    </comment>
    <comment ref="D214" authorId="1">
      <text>
        <r>
          <rPr>
            <b/>
            <sz val="9"/>
            <color indexed="81"/>
            <rFont val="Tahoma"/>
            <family val="2"/>
          </rPr>
          <t>Azfar Hussain:</t>
        </r>
        <r>
          <rPr>
            <sz val="9"/>
            <color indexed="81"/>
            <rFont val="Tahoma"/>
            <family val="2"/>
          </rPr>
          <t xml:space="preserve">
Original value: $97,204</t>
        </r>
      </text>
    </comment>
    <comment ref="U215" authorId="0">
      <text>
        <r>
          <rPr>
            <b/>
            <sz val="9"/>
            <color indexed="81"/>
            <rFont val="Calibri"/>
            <family val="2"/>
          </rPr>
          <t>G:</t>
        </r>
        <r>
          <rPr>
            <sz val="9"/>
            <color indexed="81"/>
            <rFont val="Calibri"/>
            <family val="2"/>
          </rPr>
          <t xml:space="preserve">
from 2014 country data</t>
        </r>
      </text>
    </comment>
    <comment ref="U216" authorId="0">
      <text>
        <r>
          <rPr>
            <b/>
            <sz val="9"/>
            <color indexed="81"/>
            <rFont val="Calibri"/>
            <family val="2"/>
          </rPr>
          <t>G:</t>
        </r>
        <r>
          <rPr>
            <sz val="9"/>
            <color indexed="81"/>
            <rFont val="Calibri"/>
            <family val="2"/>
          </rPr>
          <t xml:space="preserve">
1-abandoment from 2011 country data</t>
        </r>
      </text>
    </comment>
    <comment ref="U226" authorId="0">
      <text>
        <r>
          <rPr>
            <b/>
            <sz val="9"/>
            <color indexed="81"/>
            <rFont val="Calibri"/>
            <family val="2"/>
          </rPr>
          <t>G:</t>
        </r>
        <r>
          <rPr>
            <sz val="9"/>
            <color indexed="81"/>
            <rFont val="Calibri"/>
            <family val="2"/>
          </rPr>
          <t xml:space="preserve">
Same as HIV-, Pym et al. 2016 (ERJ), avg. of pre-XDR/XDR</t>
        </r>
      </text>
    </comment>
    <comment ref="U227" authorId="0">
      <text>
        <r>
          <rPr>
            <b/>
            <sz val="9"/>
            <color indexed="81"/>
            <rFont val="Calibri"/>
            <family val="2"/>
          </rPr>
          <t>G:</t>
        </r>
        <r>
          <rPr>
            <sz val="9"/>
            <color indexed="81"/>
            <rFont val="Calibri"/>
            <family val="2"/>
          </rPr>
          <t xml:space="preserve">
WHO report 2016</t>
        </r>
      </text>
    </comment>
    <comment ref="U237" authorId="0">
      <text>
        <r>
          <rPr>
            <b/>
            <sz val="9"/>
            <color indexed="81"/>
            <rFont val="Calibri"/>
            <family val="2"/>
          </rPr>
          <t>G:</t>
        </r>
        <r>
          <rPr>
            <sz val="9"/>
            <color indexed="81"/>
            <rFont val="Calibri"/>
            <family val="2"/>
          </rPr>
          <t xml:space="preserve">
From 2015 country data</t>
        </r>
      </text>
    </comment>
    <comment ref="U238" authorId="0">
      <text>
        <r>
          <rPr>
            <b/>
            <sz val="9"/>
            <color indexed="81"/>
            <rFont val="Calibri"/>
            <family val="2"/>
          </rPr>
          <t>G:</t>
        </r>
        <r>
          <rPr>
            <sz val="9"/>
            <color indexed="81"/>
            <rFont val="Calibri"/>
            <family val="2"/>
          </rPr>
          <t xml:space="preserve">
1-abandoment from 2015 country data</t>
        </r>
      </text>
    </comment>
  </commentList>
</comments>
</file>

<file path=xl/comments3.xml><?xml version="1.0" encoding="utf-8"?>
<comments xmlns="http://schemas.openxmlformats.org/spreadsheetml/2006/main">
  <authors>
    <author>Nicole</author>
    <author>G</author>
  </authors>
  <commentList>
    <comment ref="E14" authorId="0">
      <text>
        <r>
          <rPr>
            <b/>
            <sz val="9"/>
            <color indexed="81"/>
            <rFont val="Tahoma"/>
            <family val="2"/>
          </rPr>
          <t>Nicole:</t>
        </r>
        <r>
          <rPr>
            <sz val="9"/>
            <color indexed="81"/>
            <rFont val="Tahoma"/>
            <family val="2"/>
          </rPr>
          <t xml:space="preserve">
Assume ca. 2% increase of health work force every year</t>
        </r>
      </text>
    </comment>
    <comment ref="U14" authorId="0">
      <text>
        <r>
          <rPr>
            <b/>
            <sz val="9"/>
            <color indexed="81"/>
            <rFont val="Tahoma"/>
            <family val="2"/>
          </rPr>
          <t>Nicole:</t>
        </r>
        <r>
          <rPr>
            <sz val="9"/>
            <color indexed="81"/>
            <rFont val="Tahoma"/>
            <family val="2"/>
          </rPr>
          <t xml:space="preserve">
Corr Vusi Madi 2 March 2017, incl. clinical staff, CHWs and WBOTs in FY 2016/17</t>
        </r>
      </text>
    </comment>
    <comment ref="A65" authorId="1">
      <text>
        <r>
          <rPr>
            <b/>
            <sz val="9"/>
            <color indexed="81"/>
            <rFont val="Calibri"/>
            <family val="2"/>
          </rPr>
          <t>G:</t>
        </r>
        <r>
          <rPr>
            <sz val="9"/>
            <color indexed="81"/>
            <rFont val="Calibri"/>
            <family val="2"/>
          </rPr>
          <t xml:space="preserve">
Department of Correctional Services annual reports</t>
        </r>
      </text>
    </comment>
    <comment ref="I65" authorId="1">
      <text>
        <r>
          <rPr>
            <b/>
            <sz val="9"/>
            <color indexed="81"/>
            <rFont val="Calibri"/>
            <family val="2"/>
          </rPr>
          <t>G:</t>
        </r>
        <r>
          <rPr>
            <sz val="9"/>
            <color indexed="81"/>
            <rFont val="Calibri"/>
            <family val="2"/>
          </rPr>
          <t xml:space="preserve">
All values from department of Correctional Services annual reports</t>
        </r>
      </text>
    </comment>
  </commentList>
</comments>
</file>

<file path=xl/comments4.xml><?xml version="1.0" encoding="utf-8"?>
<comments xmlns="http://schemas.openxmlformats.org/spreadsheetml/2006/main">
  <authors>
    <author>Nicole</author>
  </authors>
  <commentList>
    <comment ref="E14" authorId="0">
      <text>
        <r>
          <rPr>
            <b/>
            <sz val="9"/>
            <color indexed="81"/>
            <rFont val="Tahoma"/>
            <family val="2"/>
          </rPr>
          <t>Nicole:</t>
        </r>
        <r>
          <rPr>
            <sz val="9"/>
            <color indexed="81"/>
            <rFont val="Tahoma"/>
            <family val="2"/>
          </rPr>
          <t xml:space="preserve">
Assume ca. 2% increase of health work force every year</t>
        </r>
      </text>
    </comment>
    <comment ref="U14" authorId="0">
      <text>
        <r>
          <rPr>
            <b/>
            <sz val="9"/>
            <color indexed="81"/>
            <rFont val="Tahoma"/>
            <family val="2"/>
          </rPr>
          <t>Nicole:</t>
        </r>
        <r>
          <rPr>
            <sz val="9"/>
            <color indexed="81"/>
            <rFont val="Tahoma"/>
            <family val="2"/>
          </rPr>
          <t xml:space="preserve">
Corr Vusi Madi 2 March 2017, incl. clinical staff, CHWs and WBOTs in FY 2016/17</t>
        </r>
      </text>
    </comment>
  </commentList>
</comments>
</file>

<file path=xl/comments5.xml><?xml version="1.0" encoding="utf-8"?>
<comments xmlns="http://schemas.openxmlformats.org/spreadsheetml/2006/main">
  <authors>
    <author>G</author>
  </authors>
  <commentList>
    <comment ref="A1" authorId="0">
      <text>
        <r>
          <rPr>
            <b/>
            <sz val="9"/>
            <color indexed="81"/>
            <rFont val="Calibri"/>
            <family val="2"/>
          </rPr>
          <t>G:</t>
        </r>
        <r>
          <rPr>
            <sz val="9"/>
            <color indexed="81"/>
            <rFont val="Calibri"/>
            <family val="2"/>
          </rPr>
          <t xml:space="preserve">
Used higher WHO estimates multiplied by Gauteng Ratio reported in Prevalence Survey Protocol 2016 paper, workings for all disaggregations can be found in Gauteng Prevalence Sheet</t>
        </r>
      </text>
    </comment>
    <comment ref="A8" authorId="0">
      <text>
        <r>
          <rPr>
            <b/>
            <sz val="9"/>
            <color indexed="81"/>
            <rFont val="Calibri"/>
            <family val="2"/>
          </rPr>
          <t>G:</t>
        </r>
        <r>
          <rPr>
            <sz val="9"/>
            <color indexed="81"/>
            <rFont val="Calibri"/>
            <family val="2"/>
          </rPr>
          <t xml:space="preserve">
All prisoner HIV- active-TB multiplied by a factor of 2.5 as advised in country by Piotr</t>
        </r>
      </text>
    </comment>
    <comment ref="S12" authorId="0">
      <text>
        <r>
          <rPr>
            <b/>
            <sz val="9"/>
            <color indexed="81"/>
            <rFont val="Calibri"/>
            <family val="2"/>
          </rPr>
          <t>G:</t>
        </r>
        <r>
          <rPr>
            <sz val="9"/>
            <color indexed="81"/>
            <rFont val="Calibri"/>
            <family val="2"/>
          </rPr>
          <t xml:space="preserve">
Given that entire mining population screened for TB, assumed noified is only 80% of prevalence</t>
        </r>
      </text>
    </comment>
  </commentList>
</comments>
</file>

<file path=xl/comments6.xml><?xml version="1.0" encoding="utf-8"?>
<comments xmlns="http://schemas.openxmlformats.org/spreadsheetml/2006/main">
  <authors>
    <author>Microsoft Office User</author>
    <author>Azfar Hussain</author>
    <author>G</author>
  </authors>
  <commentList>
    <comment ref="E1" authorId="0">
      <text>
        <r>
          <rPr>
            <b/>
            <sz val="10"/>
            <color indexed="81"/>
            <rFont val="Calibri"/>
            <family val="2"/>
          </rPr>
          <t>SJ:</t>
        </r>
        <r>
          <rPr>
            <sz val="10"/>
            <color indexed="81"/>
            <rFont val="Calibri"/>
            <family val="2"/>
          </rPr>
          <t xml:space="preserve">
As the latent population is approximately stable, we'll keep this as a similar total number, but with the denominator = national population for 2000, rather than 2015. 
</t>
        </r>
      </text>
    </comment>
    <comment ref="S1" authorId="1">
      <text>
        <r>
          <rPr>
            <b/>
            <sz val="9"/>
            <color indexed="81"/>
            <rFont val="Tahoma"/>
            <family val="2"/>
          </rPr>
          <t>SJ:</t>
        </r>
        <r>
          <rPr>
            <sz val="9"/>
            <color indexed="81"/>
            <rFont val="Tahoma"/>
            <family val="2"/>
          </rPr>
          <t xml:space="preserve"> UNDP national population for Sth Africa in 2015 is 52,680k. 
Houben estimate of Latent in South Africa is 17.2M</t>
        </r>
      </text>
    </comment>
    <comment ref="E2" authorId="1">
      <text>
        <r>
          <rPr>
            <b/>
            <sz val="9"/>
            <color indexed="81"/>
            <rFont val="Tahoma"/>
            <family val="2"/>
          </rPr>
          <t>SJ:</t>
        </r>
        <r>
          <rPr>
            <sz val="9"/>
            <color indexed="81"/>
            <rFont val="Tahoma"/>
            <family val="2"/>
          </rPr>
          <t xml:space="preserve">
To do: update with correct population size / national population size</t>
        </r>
      </text>
    </comment>
    <comment ref="S2" authorId="2">
      <text>
        <r>
          <rPr>
            <b/>
            <sz val="9"/>
            <color indexed="81"/>
            <rFont val="Calibri"/>
            <family val="2"/>
          </rPr>
          <t>G:</t>
        </r>
        <r>
          <rPr>
            <sz val="9"/>
            <color indexed="81"/>
            <rFont val="Calibri"/>
            <family val="2"/>
          </rPr>
          <t xml:space="preserve">
0-4 and 5-14, disaggregated using the Houben &lt;15 LTBI estimate, normalisd for GT. Please see working in the Gauteng Prevalence Databook </t>
        </r>
      </text>
    </comment>
    <comment ref="S4" authorId="2">
      <text>
        <r>
          <rPr>
            <b/>
            <sz val="9"/>
            <color indexed="81"/>
            <rFont val="Calibri"/>
            <family val="2"/>
          </rPr>
          <t>G:</t>
        </r>
        <r>
          <rPr>
            <sz val="9"/>
            <color indexed="81"/>
            <rFont val="Calibri"/>
            <family val="2"/>
          </rPr>
          <t xml:space="preserve">
All LTBI normalised from original 17.2M to Gauteng should equal 2,861,966</t>
        </r>
      </text>
    </comment>
  </commentList>
</comments>
</file>

<file path=xl/comments7.xml><?xml version="1.0" encoding="utf-8"?>
<comments xmlns="http://schemas.openxmlformats.org/spreadsheetml/2006/main">
  <authors>
    <author>G</author>
    <author>Sarah</author>
    <author>Microsoft Office User</author>
  </authors>
  <commentList>
    <comment ref="A1" authorId="0">
      <text>
        <r>
          <rPr>
            <b/>
            <sz val="9"/>
            <color indexed="81"/>
            <rFont val="Calibri"/>
            <family val="2"/>
          </rPr>
          <t>G:</t>
        </r>
        <r>
          <rPr>
            <sz val="9"/>
            <color indexed="81"/>
            <rFont val="Calibri"/>
            <family val="2"/>
          </rPr>
          <t xml:space="preserve">
All notified cases divided by 0.9 to represent the untreated, diagnosed TB population according to Skype discussion with Lara and Nicole</t>
        </r>
      </text>
    </comment>
    <comment ref="T13" authorId="0">
      <text>
        <r>
          <rPr>
            <b/>
            <sz val="9"/>
            <color indexed="81"/>
            <rFont val="Calibri"/>
            <family val="2"/>
          </rPr>
          <t>G:</t>
        </r>
        <r>
          <rPr>
            <sz val="9"/>
            <color indexed="81"/>
            <rFont val="Calibri"/>
            <family val="2"/>
          </rPr>
          <t xml:space="preserve">
Dr Baloyi data. Assumed same SP/SN split as gen pop/PLHIV 15-64. Already split by PLHIV in data for all TB cases</t>
        </r>
      </text>
    </comment>
    <comment ref="A15" authorId="0">
      <text>
        <r>
          <rPr>
            <b/>
            <sz val="9"/>
            <color indexed="81"/>
            <rFont val="Calibri"/>
            <family val="2"/>
          </rPr>
          <t>G:</t>
        </r>
        <r>
          <rPr>
            <sz val="9"/>
            <color indexed="81"/>
            <rFont val="Calibri"/>
            <family val="2"/>
          </rPr>
          <t xml:space="preserve">
All notified cases divided by 0.9 to represent the untreated, diagnosed TB population according to Skype discussion with Lara and Nicole</t>
        </r>
      </text>
    </comment>
    <comment ref="O19" authorId="0">
      <text>
        <r>
          <rPr>
            <b/>
            <sz val="9"/>
            <color indexed="81"/>
            <rFont val="Calibri"/>
            <family val="2"/>
          </rPr>
          <t>G:</t>
        </r>
        <r>
          <rPr>
            <sz val="9"/>
            <color indexed="81"/>
            <rFont val="Calibri"/>
            <family val="2"/>
          </rPr>
          <t xml:space="preserve">
15-64/65+ swapped around following Nevilla response</t>
        </r>
      </text>
    </comment>
    <comment ref="T27" authorId="0">
      <text>
        <r>
          <rPr>
            <b/>
            <sz val="9"/>
            <color indexed="81"/>
            <rFont val="Calibri"/>
            <family val="2"/>
          </rPr>
          <t>G:</t>
        </r>
        <r>
          <rPr>
            <sz val="9"/>
            <color indexed="81"/>
            <rFont val="Calibri"/>
            <family val="2"/>
          </rPr>
          <t xml:space="preserve">
Assumed same PLHIV split as ds-tb miners. Assumed same SP/SN split as above</t>
        </r>
      </text>
    </comment>
    <comment ref="A29" authorId="0">
      <text>
        <r>
          <rPr>
            <b/>
            <sz val="9"/>
            <color indexed="81"/>
            <rFont val="Calibri"/>
            <family val="2"/>
          </rPr>
          <t>G:</t>
        </r>
        <r>
          <rPr>
            <sz val="9"/>
            <color indexed="81"/>
            <rFont val="Calibri"/>
            <family val="2"/>
          </rPr>
          <t xml:space="preserve">
All notified cases divided by 0.9 to represent the untreated, diagnosed TB population according to Skype discussion with Lara and Nicole</t>
        </r>
      </text>
    </comment>
    <comment ref="T40" authorId="0">
      <text>
        <r>
          <rPr>
            <b/>
            <sz val="9"/>
            <color indexed="81"/>
            <rFont val="Calibri"/>
            <family val="2"/>
          </rPr>
          <t>G:</t>
        </r>
        <r>
          <rPr>
            <sz val="9"/>
            <color indexed="81"/>
            <rFont val="Calibri"/>
            <family val="2"/>
          </rPr>
          <t xml:space="preserve">
Same assumptions as MDR</t>
        </r>
      </text>
    </comment>
    <comment ref="A43" authorId="0">
      <text>
        <r>
          <rPr>
            <b/>
            <sz val="9"/>
            <color indexed="81"/>
            <rFont val="Calibri"/>
            <family val="2"/>
          </rPr>
          <t>G:</t>
        </r>
        <r>
          <rPr>
            <sz val="9"/>
            <color indexed="81"/>
            <rFont val="Calibri"/>
            <family val="2"/>
          </rPr>
          <t xml:space="preserve">
All notified cases divided by 0.9 to represent the untreated, diagnosed TB population according to Skype discussion with Lara and Nicole</t>
        </r>
      </text>
    </comment>
    <comment ref="T55" authorId="0">
      <text>
        <r>
          <rPr>
            <b/>
            <sz val="9"/>
            <color indexed="81"/>
            <rFont val="Calibri"/>
            <family val="2"/>
          </rPr>
          <t>G:</t>
        </r>
        <r>
          <rPr>
            <sz val="9"/>
            <color indexed="81"/>
            <rFont val="Calibri"/>
            <family val="2"/>
          </rPr>
          <t xml:space="preserve">
Dr Baloyi data. Assumed same SP/SN split as gen pop/PLHIV 15-64. Already split by PLHIV in data for all TB cases</t>
        </r>
      </text>
    </comment>
    <comment ref="A57" authorId="0">
      <text>
        <r>
          <rPr>
            <b/>
            <sz val="9"/>
            <color indexed="81"/>
            <rFont val="Calibri"/>
            <family val="2"/>
          </rPr>
          <t>G:</t>
        </r>
        <r>
          <rPr>
            <sz val="9"/>
            <color indexed="81"/>
            <rFont val="Calibri"/>
            <family val="2"/>
          </rPr>
          <t xml:space="preserve">
All notified cases divided by 0.9 to represent the untreated, diagnosed TB population according to Skype discussion with Lara and Nicole</t>
        </r>
      </text>
    </comment>
    <comment ref="O61" authorId="0">
      <text>
        <r>
          <rPr>
            <b/>
            <sz val="9"/>
            <color indexed="81"/>
            <rFont val="Calibri"/>
            <family val="2"/>
          </rPr>
          <t>G:</t>
        </r>
        <r>
          <rPr>
            <sz val="9"/>
            <color indexed="81"/>
            <rFont val="Calibri"/>
            <family val="2"/>
          </rPr>
          <t xml:space="preserve">
15-64/65+ swapped around following Nevilla response</t>
        </r>
      </text>
    </comment>
    <comment ref="T69" authorId="0">
      <text>
        <r>
          <rPr>
            <b/>
            <sz val="9"/>
            <color indexed="81"/>
            <rFont val="Calibri"/>
            <family val="2"/>
          </rPr>
          <t>G:</t>
        </r>
        <r>
          <rPr>
            <sz val="9"/>
            <color indexed="81"/>
            <rFont val="Calibri"/>
            <family val="2"/>
          </rPr>
          <t xml:space="preserve">
Assumed same PLHIV split as ds-tb miners. Assumed same SP/SN split as above</t>
        </r>
      </text>
    </comment>
    <comment ref="A71" authorId="0">
      <text>
        <r>
          <rPr>
            <b/>
            <sz val="9"/>
            <color indexed="81"/>
            <rFont val="Calibri"/>
            <family val="2"/>
          </rPr>
          <t>G:</t>
        </r>
        <r>
          <rPr>
            <sz val="9"/>
            <color indexed="81"/>
            <rFont val="Calibri"/>
            <family val="2"/>
          </rPr>
          <t xml:space="preserve">
All notified cases divided by 0.9 to represent the untreated, diagnosed TB population according to Skype discussion with Lara and Nicole</t>
        </r>
      </text>
    </comment>
    <comment ref="T82" authorId="0">
      <text>
        <r>
          <rPr>
            <b/>
            <sz val="9"/>
            <color indexed="81"/>
            <rFont val="Calibri"/>
            <family val="2"/>
          </rPr>
          <t>G:</t>
        </r>
        <r>
          <rPr>
            <sz val="9"/>
            <color indexed="81"/>
            <rFont val="Calibri"/>
            <family val="2"/>
          </rPr>
          <t xml:space="preserve">
Same assumptions as MDR</t>
        </r>
      </text>
    </comment>
    <comment ref="G88" authorId="1">
      <text>
        <r>
          <rPr>
            <b/>
            <sz val="10"/>
            <color indexed="81"/>
            <rFont val="Calibri"/>
            <family val="2"/>
          </rPr>
          <t>Sarah:</t>
        </r>
        <r>
          <rPr>
            <sz val="10"/>
            <color indexed="81"/>
            <rFont val="Calibri"/>
            <family val="2"/>
          </rPr>
          <t xml:space="preserve">
These were originally all 0 (for both SP and SN proportions) which meant that the framework complained when it tried to take in these values. 
Instead, I've emptied these or set them to 1.
</t>
        </r>
      </text>
    </comment>
    <comment ref="A94" authorId="0">
      <text>
        <r>
          <rPr>
            <b/>
            <sz val="9"/>
            <color indexed="81"/>
            <rFont val="Calibri"/>
            <family val="2"/>
          </rPr>
          <t>G:</t>
        </r>
        <r>
          <rPr>
            <sz val="9"/>
            <color indexed="81"/>
            <rFont val="Calibri"/>
            <family val="2"/>
          </rPr>
          <t xml:space="preserve">
Not sure where all HCW/miners pre-2015 values are from?</t>
        </r>
      </text>
    </comment>
    <comment ref="E122" authorId="2">
      <text>
        <r>
          <rPr>
            <b/>
            <sz val="10"/>
            <color indexed="81"/>
            <rFont val="Calibri"/>
            <family val="2"/>
          </rPr>
          <t>SJ: Placeholder values</t>
        </r>
      </text>
    </comment>
    <comment ref="E164" authorId="2">
      <text>
        <r>
          <rPr>
            <sz val="10"/>
            <color indexed="81"/>
            <rFont val="Calibri"/>
            <family val="2"/>
          </rPr>
          <t xml:space="preserve">SJ: Placeholder values
</t>
        </r>
      </text>
    </comment>
  </commentList>
</comments>
</file>

<file path=xl/comments8.xml><?xml version="1.0" encoding="utf-8"?>
<comments xmlns="http://schemas.openxmlformats.org/spreadsheetml/2006/main">
  <authors>
    <author>G</author>
    <author>Nicole</author>
    <author>Azfar Hussain</author>
  </authors>
  <commentList>
    <comment ref="E16" authorId="0">
      <text>
        <r>
          <rPr>
            <b/>
            <sz val="9"/>
            <color indexed="81"/>
            <rFont val="Calibri"/>
            <family val="2"/>
          </rPr>
          <t>G:</t>
        </r>
        <r>
          <rPr>
            <sz val="9"/>
            <color indexed="81"/>
            <rFont val="Calibri"/>
            <family val="2"/>
          </rPr>
          <t xml:space="preserve">
WHO-UNICEF data for SA national</t>
        </r>
      </text>
    </comment>
    <comment ref="K16" authorId="1">
      <text>
        <r>
          <rPr>
            <b/>
            <sz val="9"/>
            <color indexed="81"/>
            <rFont val="Tahoma"/>
            <family val="2"/>
          </rPr>
          <t>Nicole:</t>
        </r>
        <r>
          <rPr>
            <sz val="9"/>
            <color indexed="81"/>
            <rFont val="Tahoma"/>
            <family val="2"/>
          </rPr>
          <t xml:space="preserve">
Gauteng data, from District health barometer, excel database</t>
        </r>
      </text>
    </comment>
    <comment ref="L16" authorId="2">
      <text>
        <r>
          <rPr>
            <b/>
            <sz val="9"/>
            <color indexed="81"/>
            <rFont val="Tahoma"/>
            <family val="2"/>
          </rPr>
          <t>Azfar Hussain:</t>
        </r>
        <r>
          <rPr>
            <sz val="9"/>
            <color indexed="81"/>
            <rFont val="Tahoma"/>
            <family val="2"/>
          </rPr>
          <t xml:space="preserve">
1.011</t>
        </r>
      </text>
    </comment>
    <comment ref="M16" authorId="2">
      <text>
        <r>
          <rPr>
            <b/>
            <sz val="9"/>
            <color indexed="81"/>
            <rFont val="Tahoma"/>
            <family val="2"/>
          </rPr>
          <t>Azfar Hussain:</t>
        </r>
        <r>
          <rPr>
            <sz val="9"/>
            <color indexed="81"/>
            <rFont val="Tahoma"/>
            <family val="2"/>
          </rPr>
          <t xml:space="preserve">
1.083</t>
        </r>
      </text>
    </comment>
    <comment ref="N16" authorId="2">
      <text>
        <r>
          <rPr>
            <b/>
            <sz val="9"/>
            <color indexed="81"/>
            <rFont val="Tahoma"/>
            <family val="2"/>
          </rPr>
          <t>Azfar Hussain:</t>
        </r>
        <r>
          <rPr>
            <sz val="9"/>
            <color indexed="81"/>
            <rFont val="Tahoma"/>
            <family val="2"/>
          </rPr>
          <t xml:space="preserve">
1.091</t>
        </r>
      </text>
    </comment>
    <comment ref="O16" authorId="2">
      <text>
        <r>
          <rPr>
            <b/>
            <sz val="9"/>
            <color indexed="81"/>
            <rFont val="Tahoma"/>
            <family val="2"/>
          </rPr>
          <t>Azfar Hussain:</t>
        </r>
        <r>
          <rPr>
            <sz val="9"/>
            <color indexed="81"/>
            <rFont val="Tahoma"/>
            <family val="2"/>
          </rPr>
          <t xml:space="preserve">
1.053</t>
        </r>
      </text>
    </comment>
    <comment ref="P16" authorId="2">
      <text>
        <r>
          <rPr>
            <b/>
            <sz val="9"/>
            <color indexed="81"/>
            <rFont val="Tahoma"/>
            <family val="2"/>
          </rPr>
          <t>Azfar Hussain:</t>
        </r>
        <r>
          <rPr>
            <sz val="9"/>
            <color indexed="81"/>
            <rFont val="Tahoma"/>
            <family val="2"/>
          </rPr>
          <t xml:space="preserve">
1.065</t>
        </r>
      </text>
    </comment>
    <comment ref="Q16" authorId="2">
      <text>
        <r>
          <rPr>
            <b/>
            <sz val="9"/>
            <color indexed="81"/>
            <rFont val="Tahoma"/>
            <family val="2"/>
          </rPr>
          <t>Azfar Hussain:</t>
        </r>
        <r>
          <rPr>
            <sz val="9"/>
            <color indexed="81"/>
            <rFont val="Tahoma"/>
            <family val="2"/>
          </rPr>
          <t xml:space="preserve">
1.026</t>
        </r>
      </text>
    </comment>
    <comment ref="R16" authorId="2">
      <text>
        <r>
          <rPr>
            <b/>
            <sz val="9"/>
            <color indexed="81"/>
            <rFont val="Tahoma"/>
            <family val="2"/>
          </rPr>
          <t>Azfar Hussain:</t>
        </r>
        <r>
          <rPr>
            <sz val="9"/>
            <color indexed="81"/>
            <rFont val="Tahoma"/>
            <family val="2"/>
          </rPr>
          <t xml:space="preserve">
1.090</t>
        </r>
      </text>
    </comment>
    <comment ref="S16" authorId="2">
      <text>
        <r>
          <rPr>
            <b/>
            <sz val="9"/>
            <color indexed="81"/>
            <rFont val="Tahoma"/>
            <family val="2"/>
          </rPr>
          <t>Azfar Hussain:</t>
        </r>
        <r>
          <rPr>
            <sz val="9"/>
            <color indexed="81"/>
            <rFont val="Tahoma"/>
            <family val="2"/>
          </rPr>
          <t xml:space="preserve">
1.077</t>
        </r>
      </text>
    </comment>
    <comment ref="T16" authorId="2">
      <text>
        <r>
          <rPr>
            <b/>
            <sz val="9"/>
            <color indexed="81"/>
            <rFont val="Tahoma"/>
            <family val="2"/>
          </rPr>
          <t>Azfar Hussain:</t>
        </r>
        <r>
          <rPr>
            <sz val="9"/>
            <color indexed="81"/>
            <rFont val="Tahoma"/>
            <family val="2"/>
          </rPr>
          <t xml:space="preserve">
1.064</t>
        </r>
      </text>
    </comment>
  </commentList>
</comments>
</file>

<file path=xl/comments9.xml><?xml version="1.0" encoding="utf-8"?>
<comments xmlns="http://schemas.openxmlformats.org/spreadsheetml/2006/main">
  <authors>
    <author>G</author>
  </authors>
  <commentList>
    <comment ref="A1" authorId="0">
      <text>
        <r>
          <rPr>
            <b/>
            <sz val="9"/>
            <color indexed="81"/>
            <rFont val="Calibri"/>
            <family val="2"/>
          </rPr>
          <t>G:</t>
        </r>
        <r>
          <rPr>
            <sz val="9"/>
            <color indexed="81"/>
            <rFont val="Calibri"/>
            <family val="2"/>
          </rPr>
          <t xml:space="preserve">
Notified cases/active prevalence</t>
        </r>
      </text>
    </comment>
    <comment ref="A15" authorId="0">
      <text>
        <r>
          <rPr>
            <b/>
            <sz val="9"/>
            <color indexed="81"/>
            <rFont val="Calibri"/>
            <family val="2"/>
          </rPr>
          <t>G:</t>
        </r>
        <r>
          <rPr>
            <sz val="9"/>
            <color indexed="81"/>
            <rFont val="Calibri"/>
            <family val="2"/>
          </rPr>
          <t xml:space="preserve">
According to Nevilla's data from 2014-2015. Awaiting reply from NFH for previous years</t>
        </r>
      </text>
    </comment>
    <comment ref="O15" authorId="0">
      <text>
        <r>
          <rPr>
            <b/>
            <sz val="9"/>
            <color indexed="81"/>
            <rFont val="Calibri"/>
            <family val="2"/>
          </rPr>
          <t>G:</t>
        </r>
        <r>
          <rPr>
            <sz val="9"/>
            <color indexed="81"/>
            <rFont val="Calibri"/>
            <family val="2"/>
          </rPr>
          <t xml:space="preserve">
Nevilla 2010-15 data</t>
        </r>
      </text>
    </comment>
    <comment ref="T27" authorId="0">
      <text>
        <r>
          <rPr>
            <b/>
            <sz val="9"/>
            <color indexed="81"/>
            <rFont val="Calibri"/>
            <family val="2"/>
          </rPr>
          <t>G:</t>
        </r>
        <r>
          <rPr>
            <sz val="9"/>
            <color indexed="81"/>
            <rFont val="Calibri"/>
            <family val="2"/>
          </rPr>
          <t xml:space="preserve">
From Dr Baloyi CoM data 2015</t>
        </r>
      </text>
    </comment>
    <comment ref="A29" authorId="0">
      <text>
        <r>
          <rPr>
            <b/>
            <sz val="9"/>
            <color indexed="81"/>
            <rFont val="Calibri"/>
            <family val="2"/>
          </rPr>
          <t>G:</t>
        </r>
        <r>
          <rPr>
            <sz val="9"/>
            <color indexed="81"/>
            <rFont val="Calibri"/>
            <family val="2"/>
          </rPr>
          <t xml:space="preserve">
All treatment outcomes are calculated from country data. Workings can be found in Gauteng Test-Treatment databook </t>
        </r>
      </text>
    </comment>
    <comment ref="P71" authorId="0">
      <text>
        <r>
          <rPr>
            <b/>
            <sz val="9"/>
            <color indexed="81"/>
            <rFont val="Calibri"/>
            <family val="2"/>
          </rPr>
          <t>G:</t>
        </r>
        <r>
          <rPr>
            <sz val="9"/>
            <color indexed="81"/>
            <rFont val="Calibri"/>
            <family val="2"/>
          </rPr>
          <t xml:space="preserve">
Nevilla 2010-15 data</t>
        </r>
      </text>
    </comment>
    <comment ref="T83" authorId="0">
      <text>
        <r>
          <rPr>
            <b/>
            <sz val="9"/>
            <color indexed="81"/>
            <rFont val="Calibri"/>
            <family val="2"/>
          </rPr>
          <t>G:</t>
        </r>
        <r>
          <rPr>
            <sz val="9"/>
            <color indexed="81"/>
            <rFont val="Calibri"/>
            <family val="2"/>
          </rPr>
          <t xml:space="preserve">
From Dr Baloyi CoM data 2015</t>
        </r>
      </text>
    </comment>
    <comment ref="Q127" authorId="0">
      <text>
        <r>
          <rPr>
            <b/>
            <sz val="9"/>
            <color indexed="81"/>
            <rFont val="Calibri"/>
            <family val="2"/>
          </rPr>
          <t>G:</t>
        </r>
        <r>
          <rPr>
            <sz val="9"/>
            <color indexed="81"/>
            <rFont val="Calibri"/>
            <family val="2"/>
          </rPr>
          <t xml:space="preserve">
Nevilla 2010-15 data</t>
        </r>
      </text>
    </comment>
    <comment ref="T139" authorId="0">
      <text>
        <r>
          <rPr>
            <b/>
            <sz val="9"/>
            <color indexed="81"/>
            <rFont val="Calibri"/>
            <family val="2"/>
          </rPr>
          <t>G:</t>
        </r>
        <r>
          <rPr>
            <sz val="9"/>
            <color indexed="81"/>
            <rFont val="Calibri"/>
            <family val="2"/>
          </rPr>
          <t xml:space="preserve">
From Dr Baloyi CoM data 2015</t>
        </r>
      </text>
    </comment>
    <comment ref="T195" authorId="0">
      <text>
        <r>
          <rPr>
            <b/>
            <sz val="9"/>
            <color indexed="81"/>
            <rFont val="Calibri"/>
            <family val="2"/>
          </rPr>
          <t>G:</t>
        </r>
        <r>
          <rPr>
            <sz val="9"/>
            <color indexed="81"/>
            <rFont val="Calibri"/>
            <family val="2"/>
          </rPr>
          <t xml:space="preserve">
From Dr Baloyi CoM data 2015</t>
        </r>
      </text>
    </comment>
    <comment ref="T251" authorId="0">
      <text>
        <r>
          <rPr>
            <b/>
            <sz val="9"/>
            <color indexed="81"/>
            <rFont val="Calibri"/>
            <family val="2"/>
          </rPr>
          <t>G:</t>
        </r>
        <r>
          <rPr>
            <sz val="9"/>
            <color indexed="81"/>
            <rFont val="Calibri"/>
            <family val="2"/>
          </rPr>
          <t xml:space="preserve">
From Dr Baloyi CoM data 2015</t>
        </r>
      </text>
    </comment>
    <comment ref="T307" authorId="0">
      <text>
        <r>
          <rPr>
            <b/>
            <sz val="9"/>
            <color indexed="81"/>
            <rFont val="Calibri"/>
            <family val="2"/>
          </rPr>
          <t>G:</t>
        </r>
        <r>
          <rPr>
            <sz val="9"/>
            <color indexed="81"/>
            <rFont val="Calibri"/>
            <family val="2"/>
          </rPr>
          <t xml:space="preserve">
From Dr Baloyi CoM data 2015</t>
        </r>
      </text>
    </comment>
  </commentList>
</comments>
</file>

<file path=xl/sharedStrings.xml><?xml version="1.0" encoding="utf-8"?>
<sst xmlns="http://schemas.openxmlformats.org/spreadsheetml/2006/main" count="4992" uniqueCount="243">
  <si>
    <t>Name</t>
  </si>
  <si>
    <t>Abbreviation</t>
  </si>
  <si>
    <t>Minimum Age</t>
  </si>
  <si>
    <t>Maximum Age</t>
  </si>
  <si>
    <t>Interaction Impact Weights</t>
  </si>
  <si>
    <t>Aging</t>
  </si>
  <si>
    <t>n</t>
  </si>
  <si>
    <t>Migration Type 3</t>
  </si>
  <si>
    <t>Format</t>
  </si>
  <si>
    <t>Assumption</t>
  </si>
  <si>
    <t>Fraction</t>
  </si>
  <si>
    <t>...</t>
  </si>
  <si>
    <t>Cost-Coverage Details</t>
  </si>
  <si>
    <t>Program Funding</t>
  </si>
  <si>
    <t>Number</t>
  </si>
  <si>
    <t>USD</t>
  </si>
  <si>
    <t>OR</t>
  </si>
  <si>
    <t>Impact Attributes</t>
  </si>
  <si>
    <t>Current Number of People Vaccinated [S]</t>
  </si>
  <si>
    <t>Current Suspected Latent Infections [S]</t>
  </si>
  <si>
    <t>Estimated Number of People with Active TB [S]</t>
  </si>
  <si>
    <t>Current Population Count [S]</t>
  </si>
  <si>
    <t>Infection Vulnerability Factor (Vaccinated vs. Susceptible) [P]</t>
  </si>
  <si>
    <t>New SP DS Cases [P]</t>
  </si>
  <si>
    <t>SP DS Diagnosis Rate [P]</t>
  </si>
  <si>
    <t>SP DS Natural Recovery Rate [P]</t>
  </si>
  <si>
    <t>Current Suspected Early-Stage Latent Infections [O]</t>
  </si>
  <si>
    <t>Current Suspected Smear-Positive Infections [S]</t>
  </si>
  <si>
    <t>Vaccination Rate [P]</t>
  </si>
  <si>
    <t>Infection Vulnerability Factor (Latent Treated vs. Susceptible) [P]</t>
  </si>
  <si>
    <t>Number of Births [P]</t>
  </si>
  <si>
    <t>New SP MDR Cases [P]</t>
  </si>
  <si>
    <t>SP DS Treatment Uptake Rate [P]</t>
  </si>
  <si>
    <t>SP MDR Natural Recovery Rate [P]</t>
  </si>
  <si>
    <t>Current Suspected Late-Stage Latent Infections [S]</t>
  </si>
  <si>
    <t>Current Suspected SP Drug-Susceptible Infections [S]</t>
  </si>
  <si>
    <t>Death Rate (General) [P]</t>
  </si>
  <si>
    <t>New SP XDR Cases [P]</t>
  </si>
  <si>
    <t>SP DS Treatment Abandonment Rate [P]</t>
  </si>
  <si>
    <t>SP XDR Natural Recovery Rate [P]</t>
  </si>
  <si>
    <t>Current Suspected Diagnosis-Restricted Latent Infections [S]</t>
  </si>
  <si>
    <t>Current Suspected SP Multidrug-Resistant Infections [S]</t>
  </si>
  <si>
    <t>Latency Treatment Initiation Rate [P]</t>
  </si>
  <si>
    <t>SP DS Infectiousness [P]</t>
  </si>
  <si>
    <t>New SN DS Cases [P]</t>
  </si>
  <si>
    <t>SP DS Treatment Success Rate [P]</t>
  </si>
  <si>
    <t>SN DS Natural Recovery Rate [P]</t>
  </si>
  <si>
    <t>Current Suspected Diagnosis-Restricted Early-Stage Latent Infections [O]</t>
  </si>
  <si>
    <t>Current Suspected SP Extensively Drug-Resistant Infections [S]</t>
  </si>
  <si>
    <t>Latency Treatment Abandonment Rate [P]</t>
  </si>
  <si>
    <t>SN Relative Infectiousness (Compared to SP) [P]</t>
  </si>
  <si>
    <t>New SN MDR Cases [P]</t>
  </si>
  <si>
    <t>SP MDR Diagnosis Rate [P]</t>
  </si>
  <si>
    <t>SN MDR Natural Recovery Rate [P]</t>
  </si>
  <si>
    <t>Current Suspected Diagnosis-Restricted Late-Stage Latent Infections [S]</t>
  </si>
  <si>
    <t>Current Known SP Drug-Susceptible Infections [S]</t>
  </si>
  <si>
    <t>Latency Treatment Success Rate [P]</t>
  </si>
  <si>
    <t>MDR Relative Infectiousness (Compared to DS) [P]</t>
  </si>
  <si>
    <t>New SN XDR Cases [P]</t>
  </si>
  <si>
    <t>SP MDR Treatment Uptake Rate [P]</t>
  </si>
  <si>
    <t>SN XDR Natural Recovery Rate [P]</t>
  </si>
  <si>
    <t>Current Latent Infections on Treatment [S]</t>
  </si>
  <si>
    <t>Current Known SP Multidrug-Resistant Infections [S]</t>
  </si>
  <si>
    <t>XDR Relative Infectiousness (Compared to DS) [P]</t>
  </si>
  <si>
    <t>Proportion</t>
  </si>
  <si>
    <t>SP Proportion of New Active Infections [P]</t>
  </si>
  <si>
    <t>SP MDR Treatment Abandonment Rate [P]</t>
  </si>
  <si>
    <t>SN DS-MDR Escalation Rate (Improper Treatment) [P]</t>
  </si>
  <si>
    <t>Current Early-Stage Latent Infections on Treatment [O]</t>
  </si>
  <si>
    <t>Current Known SP Extensively Drug-Resistant Infections [S]</t>
  </si>
  <si>
    <t>SN Proportion of New Active Infections [P]</t>
  </si>
  <si>
    <t>SP MDR Treatment Success Rate [P]</t>
  </si>
  <si>
    <t>SN MDR-XDR Escalation Rate (Improper Treatment) [P]</t>
  </si>
  <si>
    <t>Current Late-Stage Latent Infections on Treatment [S]</t>
  </si>
  <si>
    <t>Current SP Drug-Susceptible Infections on Treatment [S]</t>
  </si>
  <si>
    <t>DS Proportion of New SP Infections [P]</t>
  </si>
  <si>
    <t>SP XDR Diagnosis Rate [P]</t>
  </si>
  <si>
    <t>SP DS-MDR Escalation Rate (Improper Treatment) [P]</t>
  </si>
  <si>
    <t>Current Number of People Recovered from Latent Infections [S]</t>
  </si>
  <si>
    <t>Current SP Multidrug-Resistant Infections on Treatment [S]</t>
  </si>
  <si>
    <t>MDR Proportion of New SP Infections [P]</t>
  </si>
  <si>
    <t>SP XDR Treatment Uptake Rate [P]</t>
  </si>
  <si>
    <t>SP MDR-XDR Escalation Rate (Improper Treatment) [P]</t>
  </si>
  <si>
    <t>Current SP Extensively Drug-Resistant Infections on Treatment [S]</t>
  </si>
  <si>
    <t>XDR Proportion of New SP Infections [P]</t>
  </si>
  <si>
    <t>SP XDR Treatment Abandonment Rate [P]</t>
  </si>
  <si>
    <t>Current Suspected Smear-Negative Infections [S]</t>
  </si>
  <si>
    <t>DS Proportion of New SN Infections [P]</t>
  </si>
  <si>
    <t>SP XDR Treatment Success Rate [P]</t>
  </si>
  <si>
    <t>Current Suspected SN Drug-Susceptible Infections [S]</t>
  </si>
  <si>
    <t>MDR Proportion of New SN Infections [P]</t>
  </si>
  <si>
    <t>SN DS Diagnosis Rate [P]</t>
  </si>
  <si>
    <t>Current Suspected SN Multidrug-Resistant Infections [S]</t>
  </si>
  <si>
    <t>XDR Proportion of New SN Infections [P]</t>
  </si>
  <si>
    <t>SN DS Treatment Uptake Rate [P]</t>
  </si>
  <si>
    <t>Current Suspected SN Extensively Drug-Resistant Infections [S]</t>
  </si>
  <si>
    <t>SN DS Treatment Abandonment Rate [P]</t>
  </si>
  <si>
    <t>Current Known SN Drug-Susceptible Infections [S]</t>
  </si>
  <si>
    <t>SN DS Treatment Success Rate [P]</t>
  </si>
  <si>
    <t>Current Known SN Multidrug-Resistant Infections [S]</t>
  </si>
  <si>
    <t>SN MDR Diagnosis Rate [P]</t>
  </si>
  <si>
    <t>Current Known SN Extensively Drug-Resistant Infections [S]</t>
  </si>
  <si>
    <t>SN MDR Treatment Uptake Rate [P]</t>
  </si>
  <si>
    <t>Current SN Drug-Susceptible Infections on Treatment [S]</t>
  </si>
  <si>
    <t>SN MDR Treatment Abandonment Rate [P]</t>
  </si>
  <si>
    <t>Current SN Multidrug-Resistant Infections on Treatment [S]</t>
  </si>
  <si>
    <t>SN MDR Treatment Success Rate [P]</t>
  </si>
  <si>
    <t>Current SN Extensively Drug-Resistant Infections on Treatment [S]</t>
  </si>
  <si>
    <t>SN XDR Diagnosis Rate [P]</t>
  </si>
  <si>
    <t>Current Number of People Recovered from Active Infections [S]</t>
  </si>
  <si>
    <t>SN XDR Treatment Uptake Rate [P]</t>
  </si>
  <si>
    <t>SN XDR Treatment Abandonment Rate [P]</t>
  </si>
  <si>
    <t>SN XDR Treatment Success Rate [P]</t>
  </si>
  <si>
    <t>Active Infection Rate (Active Recovered) [P]</t>
  </si>
  <si>
    <t>Gen 0-4</t>
  </si>
  <si>
    <t>0-4</t>
  </si>
  <si>
    <t>Gen 5-14</t>
  </si>
  <si>
    <t>5-14</t>
  </si>
  <si>
    <t>Gen 15-64</t>
  </si>
  <si>
    <t>15-64</t>
  </si>
  <si>
    <t>Gen 65+</t>
  </si>
  <si>
    <t>65+</t>
  </si>
  <si>
    <t>PLHIV 15-64</t>
  </si>
  <si>
    <t>15-64 (HIV+)</t>
  </si>
  <si>
    <t>PLHIV 65+</t>
  </si>
  <si>
    <t>65+ (HIV+)</t>
  </si>
  <si>
    <t>Miners</t>
  </si>
  <si>
    <t>PLHIV Miners</t>
  </si>
  <si>
    <t>Miners (HIV+)</t>
  </si>
  <si>
    <t>HCW</t>
  </si>
  <si>
    <t>PLHIV HCW</t>
  </si>
  <si>
    <t>Prisoners</t>
  </si>
  <si>
    <t>PLHIV Prisoners</t>
  </si>
  <si>
    <t>HCW (HIV+)</t>
  </si>
  <si>
    <t>HIV Infections</t>
  </si>
  <si>
    <t>y</t>
  </si>
  <si>
    <t>Risk-related transfers</t>
  </si>
  <si>
    <t>Prisoners (HIV+)</t>
  </si>
  <si>
    <t>Early Latency Departure Rate (Off ART) [P]</t>
  </si>
  <si>
    <t>Early Latency Departure Rate (On ART) [P]</t>
  </si>
  <si>
    <t>Late Latency Departure Rate (Off ART) [P]</t>
  </si>
  <si>
    <t>Late Latency Departure Rate (On ART) [P]</t>
  </si>
  <si>
    <t>Death Rate (Off ART and TB-Unrelated) [P]</t>
  </si>
  <si>
    <t>Death Rate (On ART and TB-Unrelated) [P]</t>
  </si>
  <si>
    <t>SP DS Death Rate (TB-Untreated and Off ART) [P]</t>
  </si>
  <si>
    <t>SP DS Death Rate (TB-Untreated and On ART) [P]</t>
  </si>
  <si>
    <t>SP MDR Death Rate (TB-Untreated and Off ART) [P]</t>
  </si>
  <si>
    <t>SP MDR Death Rate (TB-Untreated and On ART) [P]</t>
  </si>
  <si>
    <t>SP XDR Death Rate (TB-Untreated and Off ART) [P]</t>
  </si>
  <si>
    <t>SP XDR Death Rate (TB-Untreated and On ART) [P]</t>
  </si>
  <si>
    <t>SP DS Death Rate (On TB Treatment and Off ART) [P]</t>
  </si>
  <si>
    <t>SP DS Death Rate (On TB Treatment and On ART) [P]</t>
  </si>
  <si>
    <t>SP MDR Death Rate (On TB Treatment and Off ART) [P]</t>
  </si>
  <si>
    <t>SP MDR Death Rate (On TB Treatment and On ART) [P]</t>
  </si>
  <si>
    <t>SP XDR Death Rate (On TB Treatment and Off ART) [P]</t>
  </si>
  <si>
    <t>SP XDR Death Rate (On TB Treatment and On ART) [P]</t>
  </si>
  <si>
    <t>SN DS Death Rate (TB-Untreated and Off ART) [P]</t>
  </si>
  <si>
    <t>SN DS Death Rate (TB-Untreated and On ART) [P]</t>
  </si>
  <si>
    <t>SN MDR Death Rate (TB-Untreated and Off ART) [P]</t>
  </si>
  <si>
    <t>SN MDR Death Rate (TB-Untreated and On ART) [P]</t>
  </si>
  <si>
    <t>SN XDR Death Rate (TB-Untreated and Off ART) [P]</t>
  </si>
  <si>
    <t>SN XDR Death Rate (TB-Untreated and On ART) [P]</t>
  </si>
  <si>
    <t>SN DS Death Rate (On TB Treatment and Off ART) [P]</t>
  </si>
  <si>
    <t>SN DS Death Rate (On TB Treatment and On ART) [P]</t>
  </si>
  <si>
    <t>SN MDR Death Rate (On TB Treatment and Off ART) [P]</t>
  </si>
  <si>
    <t>SN MDR Death Rate (On TB Treatment and On ART) [P]</t>
  </si>
  <si>
    <t>SN XDR Death Rate (On TB Treatment and Off ART) [P]</t>
  </si>
  <si>
    <t>SN XDR Death Rate (On TB Treatment and On ART) [P]</t>
  </si>
  <si>
    <t>Probability of Early-Active vs. Early-Late LTBI Progression (Off ART) [P]</t>
  </si>
  <si>
    <t>Probability of Early-Active vs. Early-Late LTBI Progression (On ART) [P]</t>
  </si>
  <si>
    <t/>
  </si>
  <si>
    <t xml:space="preserve"> - </t>
  </si>
  <si>
    <t>BCG vaccination</t>
  </si>
  <si>
    <t>Old MDR regimen</t>
  </si>
  <si>
    <t>Old MDR-with BDQ</t>
  </si>
  <si>
    <t>MDR-short course (KM)- modified short regimen</t>
  </si>
  <si>
    <t>MDR-short course (BDQ)- short BDQ regimen</t>
  </si>
  <si>
    <t>XDR-current</t>
  </si>
  <si>
    <t>Mass Screening at PHC facilities (include Symptom screening and then Xpert)</t>
  </si>
  <si>
    <t>BCG</t>
  </si>
  <si>
    <t>MS-PHC</t>
  </si>
  <si>
    <t>CT-DR</t>
  </si>
  <si>
    <t>CT-DS</t>
  </si>
  <si>
    <t>ACF-PLHIV</t>
  </si>
  <si>
    <t>DS TB Treatment</t>
  </si>
  <si>
    <t>DS-TB</t>
  </si>
  <si>
    <t>Old MDR</t>
  </si>
  <si>
    <t>Old MDR/BDQ</t>
  </si>
  <si>
    <t>MDR/BDQ</t>
  </si>
  <si>
    <t>KM-SC</t>
  </si>
  <si>
    <t>BDQ-SC</t>
  </si>
  <si>
    <t>XDR-Current</t>
  </si>
  <si>
    <t>XDR-new</t>
  </si>
  <si>
    <t>HIV+: DS TB</t>
  </si>
  <si>
    <t>Pris DS-TB</t>
  </si>
  <si>
    <t>Pris MDR</t>
  </si>
  <si>
    <t>Pris XDR</t>
  </si>
  <si>
    <t>Vaccination Program</t>
  </si>
  <si>
    <t>ART Coverage (Fraction) [P]</t>
  </si>
  <si>
    <t>PLHIV/DS-TB</t>
  </si>
  <si>
    <t>Prisoners DS TB</t>
  </si>
  <si>
    <t>Prisoners MDR TB</t>
  </si>
  <si>
    <t>Prisoners XDR TB</t>
  </si>
  <si>
    <t>Miners DS TB</t>
  </si>
  <si>
    <t>Min DS-TB</t>
  </si>
  <si>
    <t>Miners MDR TB</t>
  </si>
  <si>
    <t>Min MDR</t>
  </si>
  <si>
    <t>Miners XDR TB</t>
  </si>
  <si>
    <t>Min XDR</t>
  </si>
  <si>
    <t>DS Treat Program</t>
  </si>
  <si>
    <t>MDR Treat Program</t>
  </si>
  <si>
    <t>XDR Treat Program</t>
  </si>
  <si>
    <t>HIV+: Old MDR TB</t>
  </si>
  <si>
    <t>PLHIV/Old MDR</t>
  </si>
  <si>
    <t>HIV+: Old MDR TB/BDQ</t>
  </si>
  <si>
    <t>PLHIV/Old MDR-BDQ</t>
  </si>
  <si>
    <t>HIV+: New MDR TB</t>
  </si>
  <si>
    <t>HIV+: Old XDR TB</t>
  </si>
  <si>
    <t>PLHIV/Old XDR</t>
  </si>
  <si>
    <t>HIV+: New XDR TB</t>
  </si>
  <si>
    <t>PLHIV/New XDR</t>
  </si>
  <si>
    <t>PLHIV/New MDR</t>
  </si>
  <si>
    <t>Strain Diag Program</t>
  </si>
  <si>
    <t>MDR-with BDQ shortened - modified extended regimen</t>
  </si>
  <si>
    <t>XDR-new drug regimen shortened (BDQ and LZD)</t>
  </si>
  <si>
    <t>Other</t>
  </si>
  <si>
    <t>DS Targeted Diagnosis Program</t>
  </si>
  <si>
    <t>DR Targeted Diagnosis Program</t>
  </si>
  <si>
    <t>Fixed Cost Program</t>
  </si>
  <si>
    <t>Contact tracing for DS cases/IPT</t>
  </si>
  <si>
    <t>Contact tracing for DR cases/IPT</t>
  </si>
  <si>
    <t>ACF among PLHIV/IPT</t>
  </si>
  <si>
    <t>Other Costs</t>
  </si>
  <si>
    <t>Mass Screening/Outreach in High Risk Areas</t>
  </si>
  <si>
    <t>MS-HR</t>
  </si>
  <si>
    <t>Enhanced Mass Screening at PHC facilities</t>
  </si>
  <si>
    <t>ENH-MS-PHC</t>
  </si>
  <si>
    <t>Other Testing and Monitoring Costs</t>
  </si>
  <si>
    <t>Test/Monitor</t>
  </si>
  <si>
    <t>Passive Case Finding (HIV-)</t>
  </si>
  <si>
    <t>PCF-HIV-</t>
  </si>
  <si>
    <t>Passive Case Finding (HIV+)</t>
  </si>
  <si>
    <t>PCF-HIV+</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</si>
</sst>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4" formatCode="_-&quot;$&quot;* #,##0.00_-;\-&quot;$&quot;* #,##0.00_-;_-&quot;$&quot;* &quot;-&quot;??_-;_-@_-"/>
    <numFmt numFmtId="43" formatCode="_-* #,##0.00_-;\-* #,##0.00_-;_-* &quot;-&quot;??_-;_-@_-"/>
    <numFmt numFmtId="164" formatCode="_-&quot;£&quot;* #,##0.00_-;\-&quot;£&quot;* #,##0.00_-;_-&quot;£&quot;* &quot;-&quot;??_-;_-@_-"/>
    <numFmt numFmtId="165" formatCode="#,##0.000"/>
    <numFmt numFmtId="166" formatCode="#,##0.00000"/>
    <numFmt numFmtId="167" formatCode="#,##0.0000"/>
    <numFmt numFmtId="168" formatCode="#,##0.000000"/>
    <numFmt numFmtId="169" formatCode="_-* #,##0_-;\-* #,##0_-;_-* &quot;-&quot;??_-;_-@_-"/>
    <numFmt numFmtId="170" formatCode="_-* #,##0.000_-;\-* #,##0.000_-;_-* &quot;-&quot;??_-;_-@_-"/>
    <numFmt numFmtId="171" formatCode="_-* #,##0.00000_-;\-* #,##0.00000_-;_-* &quot;-&quot;??_-;_-@_-"/>
    <numFmt numFmtId="172" formatCode="_-* #,##0.0_-;\-* #,##0.0_-;_-* &quot;-&quot;??_-;_-@_-"/>
    <numFmt numFmtId="173" formatCode="_-* #,##0.0000_-;\-* #,##0.0000_-;_-* &quot;-&quot;??_-;_-@_-"/>
    <numFmt numFmtId="174" formatCode="0.0"/>
    <numFmt numFmtId="175" formatCode="_-&quot;$&quot;* #,##0_-;\-&quot;$&quot;* #,##0_-;_-&quot;$&quot;* &quot;-&quot;??_-;_-@_-"/>
    <numFmt numFmtId="176" formatCode="_-&quot;£&quot;* #,##0_-;\-&quot;£&quot;* #,##0_-;_-&quot;£&quot;* &quot;-&quot;??_-;_-@_-"/>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Calibri"/>
      <family val="2"/>
    </font>
    <font>
      <sz val="9"/>
      <color indexed="81"/>
      <name val="Calibri"/>
      <family val="2"/>
    </font>
    <font>
      <b/>
      <sz val="9"/>
      <color indexed="81"/>
      <name val="Tahoma"/>
      <family val="2"/>
    </font>
    <font>
      <sz val="9"/>
      <color indexed="81"/>
      <name val="Tahoma"/>
      <family val="2"/>
    </font>
    <font>
      <u/>
      <sz val="11"/>
      <color theme="10"/>
      <name val="Calibri"/>
      <family val="2"/>
      <scheme val="minor"/>
    </font>
    <font>
      <u/>
      <sz val="11"/>
      <color theme="11"/>
      <name val="Calibri"/>
      <family val="2"/>
      <scheme val="minor"/>
    </font>
    <font>
      <sz val="10"/>
      <color indexed="81"/>
      <name val="Calibri"/>
      <family val="2"/>
    </font>
    <font>
      <b/>
      <sz val="10"/>
      <color indexed="81"/>
      <name val="Calibri"/>
      <family val="2"/>
    </font>
    <font>
      <sz val="11"/>
      <color theme="1"/>
      <name val="Calibri"/>
      <family val="2"/>
    </font>
    <font>
      <sz val="11"/>
      <color rgb="FF000000"/>
      <name val="Calibri"/>
      <family val="2"/>
    </font>
    <font>
      <sz val="11"/>
      <color rgb="FF000000"/>
      <name val="Calibri"/>
      <family val="2"/>
      <scheme val="minor"/>
    </font>
    <font>
      <b/>
      <sz val="11"/>
      <color rgb="FF000000"/>
      <name val="Calibri"/>
      <family val="2"/>
      <scheme val="minor"/>
    </font>
    <font>
      <b/>
      <sz val="11"/>
      <color theme="0"/>
      <name val="Calibri"/>
      <family val="2"/>
      <scheme val="minor"/>
    </font>
  </fonts>
  <fills count="12">
    <fill>
      <patternFill patternType="none"/>
    </fill>
    <fill>
      <patternFill patternType="gray125"/>
    </fill>
    <fill>
      <patternFill patternType="solid">
        <fgColor rgb="FF00CCFF"/>
        <bgColor indexed="64"/>
      </patternFill>
    </fill>
    <fill>
      <patternFill patternType="solid">
        <fgColor rgb="FF00CCFF"/>
        <bgColor rgb="FF000000"/>
      </patternFill>
    </fill>
    <fill>
      <patternFill patternType="solid">
        <fgColor rgb="FF00B0F0"/>
        <bgColor indexed="64"/>
      </patternFill>
    </fill>
    <fill>
      <patternFill patternType="solid">
        <fgColor rgb="FFFFFF00"/>
        <bgColor indexed="64"/>
      </patternFill>
    </fill>
    <fill>
      <patternFill patternType="solid">
        <fgColor rgb="FFFCD5B4"/>
        <bgColor rgb="FF000000"/>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EBF1DE"/>
        <bgColor rgb="FF000000"/>
      </patternFill>
    </fill>
    <fill>
      <patternFill patternType="solid">
        <fgColor rgb="FF002060"/>
        <bgColor indexed="64"/>
      </patternFill>
    </fill>
  </fills>
  <borders count="5">
    <border>
      <left/>
      <right/>
      <top/>
      <bottom/>
      <diagonal/>
    </border>
    <border>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1023">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43"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75">
    <xf numFmtId="0" fontId="0" fillId="0" borderId="0" xfId="0"/>
    <xf numFmtId="0" fontId="2" fillId="0" borderId="0" xfId="0" applyFont="1"/>
    <xf numFmtId="3" fontId="0" fillId="2" borderId="1" xfId="0" applyNumberFormat="1" applyFill="1" applyBorder="1" applyAlignment="1">
      <alignment horizontal="right"/>
    </xf>
    <xf numFmtId="0" fontId="2" fillId="0" borderId="0" xfId="0" applyFont="1" applyAlignment="1">
      <alignment horizontal="center" vertical="center"/>
    </xf>
    <xf numFmtId="4" fontId="0" fillId="2" borderId="1" xfId="0" applyNumberFormat="1" applyFill="1" applyBorder="1" applyAlignment="1">
      <alignment horizontal="right"/>
    </xf>
    <xf numFmtId="165" fontId="0" fillId="2" borderId="1" xfId="0" applyNumberFormat="1" applyFill="1" applyBorder="1" applyAlignment="1">
      <alignment horizontal="right"/>
    </xf>
    <xf numFmtId="10" fontId="0" fillId="2" borderId="1" xfId="1" applyNumberFormat="1" applyFont="1" applyFill="1" applyBorder="1" applyAlignment="1">
      <alignment horizontal="right"/>
    </xf>
    <xf numFmtId="1" fontId="0" fillId="0" borderId="0" xfId="0" applyNumberFormat="1"/>
    <xf numFmtId="166" fontId="0" fillId="2" borderId="1" xfId="0" applyNumberFormat="1" applyFill="1" applyBorder="1" applyAlignment="1">
      <alignment horizontal="right"/>
    </xf>
    <xf numFmtId="3" fontId="0" fillId="0" borderId="0" xfId="0" applyNumberFormat="1"/>
    <xf numFmtId="0" fontId="0" fillId="2" borderId="1" xfId="0" applyNumberFormat="1" applyFill="1" applyBorder="1" applyAlignment="1">
      <alignment horizontal="right"/>
    </xf>
    <xf numFmtId="0" fontId="0" fillId="4" borderId="1" xfId="0" applyNumberFormat="1" applyFill="1" applyBorder="1" applyAlignment="1">
      <alignment horizontal="right"/>
    </xf>
    <xf numFmtId="167" fontId="0" fillId="2" borderId="1" xfId="0" applyNumberFormat="1" applyFill="1" applyBorder="1" applyAlignment="1">
      <alignment horizontal="right"/>
    </xf>
    <xf numFmtId="168" fontId="0" fillId="2" borderId="1" xfId="0" applyNumberFormat="1" applyFill="1" applyBorder="1" applyAlignment="1">
      <alignment horizontal="right"/>
    </xf>
    <xf numFmtId="169" fontId="11" fillId="2" borderId="2" xfId="60" applyNumberFormat="1" applyFont="1" applyFill="1" applyBorder="1" applyAlignment="1">
      <alignment horizontal="center" vertical="center"/>
    </xf>
    <xf numFmtId="169" fontId="11" fillId="2" borderId="2" xfId="60" applyNumberFormat="1" applyFont="1" applyFill="1" applyBorder="1" applyAlignment="1">
      <alignment horizontal="right" vertical="center"/>
    </xf>
    <xf numFmtId="169" fontId="12" fillId="3" borderId="2" xfId="60" applyNumberFormat="1" applyFont="1" applyFill="1" applyBorder="1" applyAlignment="1">
      <alignment horizontal="right" vertical="center"/>
    </xf>
    <xf numFmtId="169" fontId="12" fillId="3" borderId="3" xfId="60" applyNumberFormat="1" applyFont="1" applyFill="1" applyBorder="1" applyAlignment="1">
      <alignment horizontal="right" vertical="center"/>
    </xf>
    <xf numFmtId="0" fontId="0" fillId="4" borderId="0" xfId="0" applyFill="1"/>
    <xf numFmtId="0" fontId="2" fillId="5" borderId="0" xfId="0" applyFont="1" applyFill="1"/>
    <xf numFmtId="169" fontId="0" fillId="2" borderId="1" xfId="60" applyNumberFormat="1" applyFont="1" applyFill="1" applyBorder="1" applyAlignment="1">
      <alignment horizontal="right"/>
    </xf>
    <xf numFmtId="0" fontId="2" fillId="0" borderId="0" xfId="0" applyFont="1" applyFill="1"/>
    <xf numFmtId="170" fontId="0" fillId="2" borderId="1" xfId="60" applyNumberFormat="1" applyFont="1" applyFill="1" applyBorder="1" applyAlignment="1">
      <alignment horizontal="right"/>
    </xf>
    <xf numFmtId="171" fontId="0" fillId="2" borderId="1" xfId="60" applyNumberFormat="1" applyFont="1" applyFill="1" applyBorder="1" applyAlignment="1">
      <alignment horizontal="right"/>
    </xf>
    <xf numFmtId="2" fontId="0" fillId="2" borderId="1" xfId="60" applyNumberFormat="1" applyFont="1" applyFill="1" applyBorder="1" applyAlignment="1">
      <alignment horizontal="right"/>
    </xf>
    <xf numFmtId="172" fontId="0" fillId="2" borderId="1" xfId="60" applyNumberFormat="1" applyFont="1" applyFill="1" applyBorder="1" applyAlignment="1">
      <alignment horizontal="right"/>
    </xf>
    <xf numFmtId="3" fontId="0" fillId="2" borderId="1" xfId="0" applyNumberFormat="1" applyFill="1" applyBorder="1" applyAlignment="1">
      <alignment horizontal="right"/>
    </xf>
    <xf numFmtId="3" fontId="0" fillId="2" borderId="1" xfId="0" applyNumberFormat="1" applyFill="1" applyBorder="1" applyAlignment="1">
      <alignment horizontal="right"/>
    </xf>
    <xf numFmtId="3" fontId="0" fillId="2" borderId="1" xfId="0" applyNumberFormat="1" applyFill="1" applyBorder="1" applyAlignment="1">
      <alignment horizontal="right"/>
    </xf>
    <xf numFmtId="3" fontId="0" fillId="2" borderId="1" xfId="0" applyNumberFormat="1" applyFill="1" applyBorder="1" applyAlignment="1">
      <alignment horizontal="right"/>
    </xf>
    <xf numFmtId="3" fontId="0" fillId="2" borderId="1" xfId="0" applyNumberFormat="1" applyFill="1" applyBorder="1" applyAlignment="1">
      <alignment horizontal="right"/>
    </xf>
    <xf numFmtId="169" fontId="11" fillId="2" borderId="2" xfId="60" applyNumberFormat="1" applyFont="1" applyFill="1" applyBorder="1" applyAlignment="1">
      <alignment horizontal="center" vertical="center"/>
    </xf>
    <xf numFmtId="169" fontId="11" fillId="2" borderId="2" xfId="60" applyNumberFormat="1" applyFont="1" applyFill="1" applyBorder="1" applyAlignment="1">
      <alignment horizontal="right" vertical="center"/>
    </xf>
    <xf numFmtId="169" fontId="12" fillId="3" borderId="2" xfId="60" applyNumberFormat="1" applyFont="1" applyFill="1" applyBorder="1" applyAlignment="1">
      <alignment horizontal="right" vertical="center"/>
    </xf>
    <xf numFmtId="169" fontId="12" fillId="3" borderId="3" xfId="60" applyNumberFormat="1" applyFont="1" applyFill="1" applyBorder="1" applyAlignment="1">
      <alignment horizontal="right" vertical="center"/>
    </xf>
    <xf numFmtId="169" fontId="0" fillId="2" borderId="1" xfId="60" applyNumberFormat="1" applyFont="1" applyFill="1" applyBorder="1" applyAlignment="1">
      <alignment horizontal="right"/>
    </xf>
    <xf numFmtId="169" fontId="0" fillId="4" borderId="1" xfId="60" applyNumberFormat="1" applyFont="1" applyFill="1" applyBorder="1" applyAlignment="1">
      <alignment horizontal="right"/>
    </xf>
    <xf numFmtId="0" fontId="0" fillId="0" borderId="0" xfId="0"/>
    <xf numFmtId="0" fontId="2" fillId="0" borderId="0" xfId="0" applyFont="1"/>
    <xf numFmtId="3" fontId="0" fillId="2" borderId="1" xfId="0" applyNumberFormat="1" applyFill="1" applyBorder="1" applyAlignment="1">
      <alignment horizontal="right"/>
    </xf>
    <xf numFmtId="10" fontId="0" fillId="2" borderId="1" xfId="1" applyNumberFormat="1" applyFont="1" applyFill="1" applyBorder="1" applyAlignment="1">
      <alignment horizontal="right"/>
    </xf>
    <xf numFmtId="0" fontId="2" fillId="0" borderId="0" xfId="0" applyFont="1"/>
    <xf numFmtId="172" fontId="0" fillId="2" borderId="1" xfId="60" applyNumberFormat="1" applyFont="1" applyFill="1" applyBorder="1" applyAlignment="1">
      <alignment horizontal="right"/>
    </xf>
    <xf numFmtId="43" fontId="0" fillId="2" borderId="1" xfId="60" applyNumberFormat="1" applyFont="1" applyFill="1" applyBorder="1" applyAlignment="1">
      <alignment horizontal="right"/>
    </xf>
    <xf numFmtId="169" fontId="0" fillId="2" borderId="1" xfId="60" applyNumberFormat="1" applyFont="1" applyFill="1" applyBorder="1" applyAlignment="1">
      <alignment horizontal="right"/>
    </xf>
    <xf numFmtId="169" fontId="13" fillId="6" borderId="4" xfId="0" applyNumberFormat="1" applyFont="1" applyFill="1" applyBorder="1" applyAlignment="1">
      <alignment horizontal="right"/>
    </xf>
    <xf numFmtId="0" fontId="13" fillId="6" borderId="0" xfId="0" applyFont="1" applyFill="1"/>
    <xf numFmtId="173" fontId="0" fillId="2" borderId="1" xfId="60" applyNumberFormat="1" applyFont="1" applyFill="1" applyBorder="1" applyAlignment="1">
      <alignment horizontal="right"/>
    </xf>
    <xf numFmtId="170" fontId="13" fillId="3" borderId="4" xfId="0" applyNumberFormat="1" applyFont="1" applyFill="1" applyBorder="1" applyAlignment="1">
      <alignment horizontal="right"/>
    </xf>
    <xf numFmtId="0" fontId="2" fillId="7" borderId="0" xfId="0" applyFont="1" applyFill="1"/>
    <xf numFmtId="0" fontId="2" fillId="8" borderId="0" xfId="0" applyFont="1" applyFill="1"/>
    <xf numFmtId="0" fontId="2" fillId="9" borderId="0" xfId="0" applyFont="1" applyFill="1"/>
    <xf numFmtId="170" fontId="0" fillId="5" borderId="1" xfId="60" applyNumberFormat="1" applyFont="1" applyFill="1" applyBorder="1" applyAlignment="1">
      <alignment horizontal="right"/>
    </xf>
    <xf numFmtId="170" fontId="0" fillId="0" borderId="0" xfId="0" applyNumberFormat="1"/>
    <xf numFmtId="173" fontId="0" fillId="0" borderId="0" xfId="0" applyNumberFormat="1"/>
    <xf numFmtId="43" fontId="0" fillId="0" borderId="0" xfId="0" applyNumberFormat="1"/>
    <xf numFmtId="171" fontId="0" fillId="0" borderId="0" xfId="0" applyNumberFormat="1"/>
    <xf numFmtId="0" fontId="14" fillId="10" borderId="0" xfId="0" applyFont="1" applyFill="1"/>
    <xf numFmtId="3" fontId="0" fillId="2" borderId="1" xfId="0" applyNumberFormat="1" applyFill="1" applyBorder="1" applyAlignment="1">
      <alignment horizontal="center" vertical="center"/>
    </xf>
    <xf numFmtId="0" fontId="15" fillId="11" borderId="0" xfId="0" applyFont="1" applyFill="1"/>
    <xf numFmtId="43" fontId="0" fillId="2" borderId="1" xfId="60" applyFont="1" applyFill="1" applyBorder="1" applyAlignment="1">
      <alignment horizontal="right"/>
    </xf>
    <xf numFmtId="174" fontId="0" fillId="2" borderId="1" xfId="1" applyNumberFormat="1" applyFont="1" applyFill="1" applyBorder="1" applyAlignment="1">
      <alignment horizontal="right"/>
    </xf>
    <xf numFmtId="1" fontId="0" fillId="2" borderId="1" xfId="1" applyNumberFormat="1" applyFont="1" applyFill="1" applyBorder="1" applyAlignment="1">
      <alignment horizontal="right"/>
    </xf>
    <xf numFmtId="174" fontId="0" fillId="2" borderId="1" xfId="60" applyNumberFormat="1" applyFont="1" applyFill="1" applyBorder="1" applyAlignment="1">
      <alignment horizontal="right"/>
    </xf>
    <xf numFmtId="1" fontId="0" fillId="2" borderId="1" xfId="60" applyNumberFormat="1" applyFont="1" applyFill="1" applyBorder="1" applyAlignment="1">
      <alignment horizontal="right"/>
    </xf>
    <xf numFmtId="164" fontId="0" fillId="2" borderId="1" xfId="998" applyFont="1" applyFill="1" applyBorder="1" applyAlignment="1">
      <alignment horizontal="right"/>
    </xf>
    <xf numFmtId="175" fontId="0" fillId="2" borderId="1" xfId="998" applyNumberFormat="1" applyFont="1" applyFill="1" applyBorder="1" applyAlignment="1">
      <alignment horizontal="right"/>
    </xf>
    <xf numFmtId="0" fontId="0" fillId="8" borderId="0" xfId="0" applyFill="1"/>
    <xf numFmtId="0" fontId="0" fillId="0" borderId="0" xfId="0" applyAlignment="1">
      <alignment horizontal="center"/>
    </xf>
    <xf numFmtId="164" fontId="0" fillId="0" borderId="0" xfId="0" applyNumberFormat="1"/>
    <xf numFmtId="174" fontId="0" fillId="0" borderId="0" xfId="0" applyNumberFormat="1"/>
    <xf numFmtId="176" fontId="0" fillId="0" borderId="0" xfId="0" applyNumberFormat="1"/>
    <xf numFmtId="164" fontId="13" fillId="3" borderId="4" xfId="0" applyNumberFormat="1" applyFont="1" applyFill="1" applyBorder="1" applyAlignment="1">
      <alignment horizontal="right"/>
    </xf>
    <xf numFmtId="175" fontId="0" fillId="0" borderId="0" xfId="0" applyNumberFormat="1"/>
    <xf numFmtId="44" fontId="0" fillId="0" borderId="0" xfId="0" applyNumberFormat="1"/>
  </cellXfs>
  <cellStyles count="1023">
    <cellStyle name="Comma" xfId="60" builtinId="3"/>
    <cellStyle name="Currency 2" xfId="99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Normal" xfId="0" builtinId="0"/>
    <cellStyle name="Normal 2" xfId="91"/>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book_south_africa_GAJ.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book-south_africa%20(DJ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erard/Desktop/SA%20Notified%20Disaggregatio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Gerard/Documents/Optima/South%20Africa/Back-Up%2017-05-12%20Afternoon/databook-south_afric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Gerard/Desktop/Workings/Gauteng%20Test-Treat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Definitions"/>
      <sheetName val="Population Contacts"/>
      <sheetName val="Transfer Definitions"/>
      <sheetName val="Transfer Details"/>
      <sheetName val="Program Definitions"/>
      <sheetName val="Program Details"/>
      <sheetName val="General Demographics"/>
      <sheetName val="Working copy General Demograph"/>
      <sheetName val="Active TB Prevalence"/>
      <sheetName val="Latent TB Prevalence"/>
      <sheetName val="Notified Cases"/>
      <sheetName val="Infection Susceptibility"/>
      <sheetName val="Latent Testing and Treatment"/>
      <sheetName val="Latent Progression Rates"/>
      <sheetName val="Active TB Testing and Treatment"/>
      <sheetName val="Active TB Progression Rates"/>
      <sheetName val="Active TB Death Rates"/>
    </sheetNames>
    <sheetDataSet>
      <sheetData sheetId="0"/>
      <sheetData sheetId="1"/>
      <sheetData sheetId="2"/>
      <sheetData sheetId="3"/>
      <sheetData sheetId="4"/>
      <sheetData sheetId="5"/>
      <sheetData sheetId="6"/>
      <sheetData sheetId="7"/>
      <sheetData sheetId="8"/>
      <sheetData sheetId="9"/>
      <sheetData sheetId="10">
        <row r="2">
          <cell r="T2">
            <v>1058.2564102564099</v>
          </cell>
        </row>
        <row r="3">
          <cell r="T3">
            <v>368.38768115942003</v>
          </cell>
        </row>
        <row r="4">
          <cell r="T4">
            <v>5625.0435216789665</v>
          </cell>
        </row>
        <row r="5">
          <cell r="T5">
            <v>359.52628646855555</v>
          </cell>
        </row>
        <row r="6">
          <cell r="T6">
            <v>12511.427323839111</v>
          </cell>
        </row>
        <row r="7">
          <cell r="T7">
            <v>90.960556070688213</v>
          </cell>
        </row>
        <row r="8">
          <cell r="T8">
            <v>52.675438596491226</v>
          </cell>
        </row>
        <row r="9">
          <cell r="T9">
            <v>105.61554099841877</v>
          </cell>
        </row>
        <row r="12">
          <cell r="T12">
            <v>357.31581638100369</v>
          </cell>
        </row>
        <row r="13">
          <cell r="T13">
            <v>428.04737290844014</v>
          </cell>
        </row>
        <row r="16">
          <cell r="T16">
            <v>3.333333333333333</v>
          </cell>
        </row>
        <row r="17">
          <cell r="T17">
            <v>13.75</v>
          </cell>
        </row>
        <row r="18">
          <cell r="T18">
            <v>206.53503383378333</v>
          </cell>
        </row>
        <row r="19">
          <cell r="T19">
            <v>10.416666666666666</v>
          </cell>
        </row>
        <row r="20">
          <cell r="T20">
            <v>858.39542562957774</v>
          </cell>
        </row>
        <row r="21">
          <cell r="T21">
            <v>2.7777777777777777</v>
          </cell>
        </row>
        <row r="26">
          <cell r="T26">
            <v>10.556336324954312</v>
          </cell>
        </row>
        <row r="27">
          <cell r="T27">
            <v>9.3903945589695681</v>
          </cell>
        </row>
        <row r="30">
          <cell r="T30">
            <v>0</v>
          </cell>
        </row>
        <row r="31">
          <cell r="T31">
            <v>0</v>
          </cell>
        </row>
        <row r="32">
          <cell r="T32">
            <v>5.425287356321844</v>
          </cell>
        </row>
        <row r="33">
          <cell r="T33">
            <v>0</v>
          </cell>
        </row>
        <row r="34">
          <cell r="T34">
            <v>39.163301232266782</v>
          </cell>
        </row>
        <row r="40">
          <cell r="T40">
            <v>0.93834100666260556</v>
          </cell>
        </row>
        <row r="41">
          <cell r="T41">
            <v>0.83470173857507279</v>
          </cell>
        </row>
        <row r="44">
          <cell r="T44">
            <v>2217.2991452991446</v>
          </cell>
        </row>
        <row r="45">
          <cell r="T45">
            <v>1014.9456521739132</v>
          </cell>
        </row>
        <row r="46">
          <cell r="T46">
            <v>4370.4064890566333</v>
          </cell>
        </row>
        <row r="47">
          <cell r="T47">
            <v>504.81262099240888</v>
          </cell>
        </row>
        <row r="48">
          <cell r="T48">
            <v>20824.233776536446</v>
          </cell>
        </row>
        <row r="49">
          <cell r="T49">
            <v>229.14498091279111</v>
          </cell>
        </row>
        <row r="50">
          <cell r="T50">
            <v>168.36182609809222</v>
          </cell>
        </row>
        <row r="51">
          <cell r="T51">
            <v>233.34719430699778</v>
          </cell>
        </row>
        <row r="54">
          <cell r="T54">
            <v>335.68418361899631</v>
          </cell>
        </row>
        <row r="55">
          <cell r="T55">
            <v>689.95262709155998</v>
          </cell>
        </row>
        <row r="58">
          <cell r="T58">
            <v>10</v>
          </cell>
        </row>
        <row r="59">
          <cell r="T59">
            <v>10.694444444444445</v>
          </cell>
        </row>
        <row r="60">
          <cell r="T60">
            <v>110.00234049923088</v>
          </cell>
        </row>
        <row r="61">
          <cell r="T61">
            <v>7.083333333333333</v>
          </cell>
        </row>
        <row r="62">
          <cell r="T62">
            <v>669.51164448185273</v>
          </cell>
        </row>
        <row r="63">
          <cell r="T63">
            <v>3.0555555555555554</v>
          </cell>
        </row>
        <row r="68">
          <cell r="T68">
            <v>9.9172636048982774</v>
          </cell>
        </row>
        <row r="69">
          <cell r="T69">
            <v>15.136005511177835</v>
          </cell>
        </row>
        <row r="72">
          <cell r="T72">
            <v>0</v>
          </cell>
        </row>
        <row r="73">
          <cell r="T73">
            <v>0</v>
          </cell>
        </row>
        <row r="74">
          <cell r="T74">
            <v>2.4761904761904776</v>
          </cell>
        </row>
        <row r="75">
          <cell r="T75">
            <v>0</v>
          </cell>
        </row>
        <row r="76">
          <cell r="T76">
            <v>17.379665379665333</v>
          </cell>
        </row>
        <row r="82">
          <cell r="T82">
            <v>0.88153454265762476</v>
          </cell>
        </row>
        <row r="83">
          <cell r="T83">
            <v>1.3454227121046964</v>
          </cell>
        </row>
      </sheetData>
      <sheetData sheetId="11"/>
      <sheetData sheetId="12"/>
      <sheetData sheetId="13"/>
      <sheetData sheetId="14">
        <row r="16">
          <cell r="T16">
            <v>0.9</v>
          </cell>
        </row>
        <row r="72">
          <cell r="R72">
            <v>0.57399999999999995</v>
          </cell>
        </row>
      </sheetData>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Definitions"/>
      <sheetName val="Population Contacts"/>
      <sheetName val="Transfer Definitions"/>
      <sheetName val="Transfer Details"/>
      <sheetName val="Program Definitions"/>
      <sheetName val="Program Details"/>
      <sheetName val="General Demographics"/>
      <sheetName val="Working copy General Demograph"/>
      <sheetName val="Active TB Prevalence"/>
      <sheetName val="Latent TB Prevalence"/>
      <sheetName val="Notified Cases"/>
      <sheetName val="Infection Susceptibility"/>
      <sheetName val="Latent Testing and Treatment"/>
      <sheetName val="Latent Progression Rates"/>
      <sheetName val="Active TB Testing and Treatment"/>
      <sheetName val="Active TB Progression Rates"/>
      <sheetName val="Active TB Death Rates"/>
    </sheetNames>
    <sheetDataSet>
      <sheetData sheetId="0" refreshError="1">
        <row r="2">
          <cell r="A2" t="str">
            <v>Gen 0-4</v>
          </cell>
        </row>
        <row r="9">
          <cell r="A9" t="str">
            <v>PLHIV Prisoners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ified cases"/>
      <sheetName val="SP vs. SN ratio"/>
      <sheetName val="Resitance dis. by Smear"/>
      <sheetName val="HIV Unknown"/>
      <sheetName val="Amended HIV unknown totals"/>
      <sheetName val="Amended Notified Cases"/>
      <sheetName val="Final Notified Cases"/>
      <sheetName val="Final Proportions"/>
    </sheetNames>
    <sheetDataSet>
      <sheetData sheetId="0">
        <row r="3">
          <cell r="R3">
            <v>3122</v>
          </cell>
        </row>
        <row r="5">
          <cell r="K5">
            <v>10</v>
          </cell>
          <cell r="L5">
            <v>7</v>
          </cell>
          <cell r="M5">
            <v>1</v>
          </cell>
          <cell r="N5">
            <v>8</v>
          </cell>
          <cell r="O5">
            <v>13</v>
          </cell>
          <cell r="P5">
            <v>5</v>
          </cell>
          <cell r="Q5">
            <v>9</v>
          </cell>
          <cell r="R5">
            <v>5</v>
          </cell>
          <cell r="S5">
            <v>12</v>
          </cell>
        </row>
        <row r="20">
          <cell r="K20">
            <v>13</v>
          </cell>
          <cell r="L20">
            <v>14</v>
          </cell>
          <cell r="M20">
            <v>16</v>
          </cell>
          <cell r="N20">
            <v>9</v>
          </cell>
          <cell r="O20">
            <v>11</v>
          </cell>
          <cell r="P20">
            <v>14</v>
          </cell>
          <cell r="Q20">
            <v>13</v>
          </cell>
          <cell r="R20">
            <v>21</v>
          </cell>
          <cell r="S20">
            <v>22</v>
          </cell>
        </row>
      </sheetData>
      <sheetData sheetId="1">
        <row r="3">
          <cell r="R3">
            <v>0.27631578947368424</v>
          </cell>
        </row>
      </sheetData>
      <sheetData sheetId="2">
        <row r="4">
          <cell r="D4">
            <v>0.91</v>
          </cell>
        </row>
        <row r="37">
          <cell r="I37">
            <v>0.88888888888888884</v>
          </cell>
          <cell r="J37">
            <v>0.8571428571428571</v>
          </cell>
          <cell r="K37">
            <v>1</v>
          </cell>
          <cell r="L37">
            <v>0.5714285714285714</v>
          </cell>
          <cell r="M37">
            <v>0.76923076923076927</v>
          </cell>
          <cell r="N37">
            <v>0.2</v>
          </cell>
          <cell r="O37">
            <v>0.7142857142857143</v>
          </cell>
          <cell r="P37">
            <v>0.5</v>
          </cell>
          <cell r="Q37">
            <v>0.75</v>
          </cell>
        </row>
        <row r="38">
          <cell r="I38">
            <v>0.75</v>
          </cell>
          <cell r="J38">
            <v>0.21428571428571427</v>
          </cell>
          <cell r="K38">
            <v>0.41666666666666669</v>
          </cell>
          <cell r="L38">
            <v>0.44444444444444442</v>
          </cell>
          <cell r="M38">
            <v>0.8</v>
          </cell>
          <cell r="N38">
            <v>0.23076923076923078</v>
          </cell>
          <cell r="O38">
            <v>0.33333333333333331</v>
          </cell>
          <cell r="P38">
            <v>0.55000000000000004</v>
          </cell>
          <cell r="Q38">
            <v>0.4375</v>
          </cell>
        </row>
      </sheetData>
      <sheetData sheetId="3"/>
      <sheetData sheetId="4">
        <row r="63">
          <cell r="E63">
            <v>236.35318604190624</v>
          </cell>
        </row>
        <row r="67">
          <cell r="J67">
            <v>47.300433762355112</v>
          </cell>
          <cell r="K67">
            <v>16.140762463343105</v>
          </cell>
          <cell r="L67">
            <v>140.3896103896104</v>
          </cell>
          <cell r="N67">
            <v>3.831407787762088</v>
          </cell>
          <cell r="O67">
            <v>0.23833333333333329</v>
          </cell>
          <cell r="P67">
            <v>3.4264325817663313</v>
          </cell>
          <cell r="Q67">
            <v>3.499321705426357</v>
          </cell>
          <cell r="R67">
            <v>8.7570084100921104</v>
          </cell>
        </row>
        <row r="68">
          <cell r="J68">
            <v>98.752044371755659</v>
          </cell>
          <cell r="K68">
            <v>83.931964809384155</v>
          </cell>
          <cell r="L68">
            <v>0</v>
          </cell>
          <cell r="N68">
            <v>24.729995721009839</v>
          </cell>
          <cell r="O68">
            <v>1.0616666666666665</v>
          </cell>
          <cell r="P68">
            <v>25.634791908029591</v>
          </cell>
          <cell r="Q68">
            <v>21.067344961240313</v>
          </cell>
          <cell r="R68">
            <v>48.038446135362435</v>
          </cell>
        </row>
        <row r="79">
          <cell r="J79">
            <v>0</v>
          </cell>
          <cell r="K79">
            <v>2</v>
          </cell>
          <cell r="L79">
            <v>0.98101265822784822</v>
          </cell>
          <cell r="N79">
            <v>0</v>
          </cell>
          <cell r="O79">
            <v>0</v>
          </cell>
          <cell r="P79">
            <v>0</v>
          </cell>
          <cell r="Q79">
            <v>0</v>
          </cell>
          <cell r="R79">
            <v>2.25</v>
          </cell>
        </row>
        <row r="80">
          <cell r="J80">
            <v>0</v>
          </cell>
          <cell r="K80">
            <v>0</v>
          </cell>
          <cell r="L80">
            <v>1.518987341772152</v>
          </cell>
          <cell r="N80">
            <v>0</v>
          </cell>
          <cell r="O80">
            <v>0</v>
          </cell>
          <cell r="P80">
            <v>0</v>
          </cell>
          <cell r="Q80">
            <v>0</v>
          </cell>
          <cell r="R80">
            <v>0.75</v>
          </cell>
        </row>
      </sheetData>
      <sheetData sheetId="5">
        <row r="4">
          <cell r="G4">
            <v>0.74004874947011456</v>
          </cell>
        </row>
        <row r="60">
          <cell r="L60">
            <v>0</v>
          </cell>
          <cell r="M60">
            <v>8.5281111813013274E-2</v>
          </cell>
          <cell r="N60">
            <v>4.5</v>
          </cell>
          <cell r="P60">
            <v>25</v>
          </cell>
          <cell r="Q60">
            <v>28.361445783132531</v>
          </cell>
          <cell r="R60">
            <v>37.09345794392523</v>
          </cell>
          <cell r="S60">
            <v>70.587412587412587</v>
          </cell>
          <cell r="T60">
            <v>90.245098039215691</v>
          </cell>
        </row>
        <row r="61">
          <cell r="L61">
            <v>0</v>
          </cell>
          <cell r="M61">
            <v>1</v>
          </cell>
          <cell r="N61">
            <v>0</v>
          </cell>
          <cell r="P61">
            <v>1</v>
          </cell>
          <cell r="Q61">
            <v>0.5864197530864198</v>
          </cell>
          <cell r="R61">
            <v>6.5</v>
          </cell>
          <cell r="S61">
            <v>4</v>
          </cell>
          <cell r="T61">
            <v>4.125</v>
          </cell>
        </row>
        <row r="62">
          <cell r="L62">
            <v>0.50179211469534046</v>
          </cell>
          <cell r="M62">
            <v>33.967741935483872</v>
          </cell>
          <cell r="N62">
            <v>0</v>
          </cell>
          <cell r="P62">
            <v>170.03821656050957</v>
          </cell>
          <cell r="Q62">
            <v>124.22073578595318</v>
          </cell>
          <cell r="R62">
            <v>300.88380952380953</v>
          </cell>
          <cell r="S62">
            <v>433.34482758620686</v>
          </cell>
          <cell r="T62">
            <v>554.52203389830504</v>
          </cell>
        </row>
        <row r="63">
          <cell r="L63">
            <v>0</v>
          </cell>
          <cell r="M63">
            <v>0</v>
          </cell>
          <cell r="N63">
            <v>0</v>
          </cell>
          <cell r="P63">
            <v>0</v>
          </cell>
          <cell r="Q63">
            <v>1</v>
          </cell>
          <cell r="R63">
            <v>0</v>
          </cell>
          <cell r="S63">
            <v>4</v>
          </cell>
          <cell r="T63">
            <v>2</v>
          </cell>
        </row>
      </sheetData>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Definitions"/>
      <sheetName val="Population Contacts"/>
      <sheetName val="Transfer Definitions"/>
      <sheetName val="Transfer Details"/>
      <sheetName val="Program Definitions"/>
      <sheetName val="Program Details"/>
      <sheetName val="General Demographics"/>
      <sheetName val="Working copy General Demograph"/>
      <sheetName val="Active TB Prevalence"/>
      <sheetName val="Latent TB Prevalence"/>
      <sheetName val="Notified Cases"/>
      <sheetName val="Infection Susceptibility"/>
      <sheetName val="Latent Testing and Treatment"/>
      <sheetName val="Latent Progression Rates"/>
      <sheetName val="Active TB Testing and Treatment"/>
      <sheetName val="Active TB Progression Rates"/>
      <sheetName val="Active TB Death Rates"/>
    </sheetNames>
    <sheetDataSet>
      <sheetData sheetId="0">
        <row r="2">
          <cell r="A2" t="str">
            <v>Gen 0-4</v>
          </cell>
        </row>
      </sheetData>
      <sheetData sheetId="1"/>
      <sheetData sheetId="2"/>
      <sheetData sheetId="3"/>
      <sheetData sheetId="4" refreshError="1"/>
      <sheetData sheetId="5" refreshError="1"/>
      <sheetData sheetId="6"/>
      <sheetData sheetId="7"/>
      <sheetData sheetId="8">
        <row r="30">
          <cell r="G30">
            <v>4506.3394749999998</v>
          </cell>
          <cell r="H30">
            <v>4924.6011779999999</v>
          </cell>
          <cell r="I30">
            <v>4466.5978709999999</v>
          </cell>
          <cell r="J30">
            <v>4834.9063370000003</v>
          </cell>
          <cell r="L30">
            <v>4247.2580610000005</v>
          </cell>
          <cell r="M30">
            <v>2685.8322659999999</v>
          </cell>
          <cell r="N30">
            <v>1841.2555299999999</v>
          </cell>
          <cell r="O30">
            <v>1520.7903550000001</v>
          </cell>
          <cell r="Q30">
            <v>1576.2732149999999</v>
          </cell>
          <cell r="S30">
            <v>1426.8334400000001</v>
          </cell>
        </row>
        <row r="31">
          <cell r="G31">
            <v>2003.4048720000001</v>
          </cell>
          <cell r="H31">
            <v>2418.084546</v>
          </cell>
          <cell r="I31">
            <v>2468.29396</v>
          </cell>
          <cell r="J31">
            <v>2514.3152</v>
          </cell>
          <cell r="K31">
            <v>2277.164295</v>
          </cell>
          <cell r="L31">
            <v>2345.7529989999998</v>
          </cell>
          <cell r="M31">
            <v>1905.924595</v>
          </cell>
          <cell r="N31">
            <v>1571.0217660000001</v>
          </cell>
          <cell r="O31">
            <v>1158.569219</v>
          </cell>
          <cell r="P31">
            <v>1213.4345519999999</v>
          </cell>
          <cell r="Q31">
            <v>1144.555552</v>
          </cell>
          <cell r="R31">
            <v>903.81968110000003</v>
          </cell>
          <cell r="S31">
            <v>664.9141482</v>
          </cell>
        </row>
        <row r="32">
          <cell r="G32">
            <v>6745.0697980000004</v>
          </cell>
          <cell r="H32">
            <v>7507.1630180000002</v>
          </cell>
          <cell r="I32">
            <v>8211.0597010000001</v>
          </cell>
          <cell r="J32">
            <v>8631.9096769999996</v>
          </cell>
          <cell r="L32">
            <v>11545.866309999999</v>
          </cell>
          <cell r="N32">
            <v>11853.9329</v>
          </cell>
          <cell r="O32">
            <v>10694.99661</v>
          </cell>
          <cell r="P32">
            <v>10426.55559</v>
          </cell>
          <cell r="Q32">
            <v>11084.66972</v>
          </cell>
          <cell r="R32">
            <v>10585.970149999999</v>
          </cell>
          <cell r="S32">
            <v>9986.3122309999999</v>
          </cell>
        </row>
        <row r="33">
          <cell r="G33">
            <v>482.7719353</v>
          </cell>
          <cell r="H33">
            <v>555.37883810000005</v>
          </cell>
          <cell r="I33">
            <v>459.89996730000001</v>
          </cell>
          <cell r="J33">
            <v>577.20164550000004</v>
          </cell>
          <cell r="K33">
            <v>564.17219020000005</v>
          </cell>
          <cell r="L33">
            <v>622.31052390000002</v>
          </cell>
          <cell r="M33">
            <v>481.71455650000001</v>
          </cell>
          <cell r="N33">
            <v>573.42331549999994</v>
          </cell>
          <cell r="P33">
            <v>511.6046834</v>
          </cell>
          <cell r="Q33">
            <v>601.83524769999997</v>
          </cell>
          <cell r="R33">
            <v>529.91419350000001</v>
          </cell>
          <cell r="S33">
            <v>478.93663709999998</v>
          </cell>
        </row>
        <row r="34">
          <cell r="G34">
            <v>37608.35671</v>
          </cell>
          <cell r="H34">
            <v>41688.542959999999</v>
          </cell>
          <cell r="I34">
            <v>45385.329949999999</v>
          </cell>
          <cell r="J34">
            <v>47426.365689999999</v>
          </cell>
          <cell r="K34">
            <v>44946.681129999997</v>
          </cell>
          <cell r="L34">
            <v>45913.034050000002</v>
          </cell>
          <cell r="M34">
            <v>42660.382810000003</v>
          </cell>
          <cell r="N34">
            <v>40888.362849999998</v>
          </cell>
          <cell r="O34">
            <v>36484.122940000001</v>
          </cell>
          <cell r="P34">
            <v>32598.205720000002</v>
          </cell>
          <cell r="Q34">
            <v>31884.642400000001</v>
          </cell>
          <cell r="R34">
            <v>28405.672399999999</v>
          </cell>
          <cell r="S34">
            <v>24093.59333</v>
          </cell>
        </row>
        <row r="35">
          <cell r="G35">
            <v>226.74090580000001</v>
          </cell>
          <cell r="H35">
            <v>260.87783020000001</v>
          </cell>
          <cell r="I35">
            <v>216.0584389</v>
          </cell>
          <cell r="J35">
            <v>271.2035995</v>
          </cell>
          <cell r="K35">
            <v>265.1182483</v>
          </cell>
          <cell r="M35">
            <v>345.3595507</v>
          </cell>
          <cell r="N35">
            <v>197.4955617</v>
          </cell>
          <cell r="P35">
            <v>212.1413368</v>
          </cell>
          <cell r="Q35">
            <v>188.28693369999999</v>
          </cell>
          <cell r="R35">
            <v>174.6480325</v>
          </cell>
          <cell r="S35">
            <v>171.2877551</v>
          </cell>
        </row>
        <row r="36">
          <cell r="G36">
            <v>120.9573649</v>
          </cell>
          <cell r="H36">
            <v>109.59688130000001</v>
          </cell>
          <cell r="I36">
            <v>124.94535380000001</v>
          </cell>
          <cell r="J36">
            <v>131.2173808</v>
          </cell>
          <cell r="K36">
            <v>122.1339821</v>
          </cell>
          <cell r="M36">
            <v>131.50022139999999</v>
          </cell>
          <cell r="N36">
            <v>175.1338227</v>
          </cell>
          <cell r="O36">
            <v>175.3441967</v>
          </cell>
          <cell r="P36">
            <v>160.14918990000001</v>
          </cell>
          <cell r="Q36">
            <v>131.1361082</v>
          </cell>
          <cell r="R36">
            <v>125.03538229999999</v>
          </cell>
          <cell r="S36">
            <v>99.026779939999997</v>
          </cell>
        </row>
        <row r="37">
          <cell r="G37">
            <v>674.25782579999998</v>
          </cell>
          <cell r="H37">
            <v>534.63083600000004</v>
          </cell>
          <cell r="I37">
            <v>696.48824349999995</v>
          </cell>
          <cell r="J37">
            <v>731.45067229999995</v>
          </cell>
          <cell r="K37">
            <v>649.14164779999999</v>
          </cell>
          <cell r="L37">
            <v>507.31787839999998</v>
          </cell>
          <cell r="M37">
            <v>583.47688579999999</v>
          </cell>
          <cell r="N37">
            <v>520.29756180000004</v>
          </cell>
          <cell r="O37">
            <v>411.19249430000002</v>
          </cell>
          <cell r="P37">
            <v>429.56422199999997</v>
          </cell>
          <cell r="Q37">
            <v>328.31473199999999</v>
          </cell>
          <cell r="R37">
            <v>235.81524970000001</v>
          </cell>
          <cell r="S37">
            <v>207.08076829999999</v>
          </cell>
        </row>
        <row r="44">
          <cell r="M44">
            <v>1.624010253</v>
          </cell>
          <cell r="O44">
            <v>5.2173427139999999</v>
          </cell>
          <cell r="P44">
            <v>4.2659808449999996</v>
          </cell>
          <cell r="Q44">
            <v>6.2339445790000001</v>
          </cell>
          <cell r="S44">
            <v>4.2342667059999997</v>
          </cell>
        </row>
        <row r="45">
          <cell r="L45">
            <v>5.7635766479999999</v>
          </cell>
          <cell r="M45">
            <v>17.86411279</v>
          </cell>
          <cell r="N45">
            <v>14.28570062</v>
          </cell>
          <cell r="O45">
            <v>7.6086247910000004</v>
          </cell>
          <cell r="P45">
            <v>3.128385953</v>
          </cell>
          <cell r="Q45">
            <v>16.783696939999999</v>
          </cell>
          <cell r="R45">
            <v>14.0821164</v>
          </cell>
          <cell r="S45">
            <v>15.99343024</v>
          </cell>
        </row>
        <row r="46">
          <cell r="L46">
            <v>459.21965849999998</v>
          </cell>
          <cell r="M46">
            <v>294.6259063</v>
          </cell>
          <cell r="N46">
            <v>128.4222201</v>
          </cell>
          <cell r="P46">
            <v>124.5675212</v>
          </cell>
          <cell r="Q46">
            <v>126.8024848</v>
          </cell>
          <cell r="R46">
            <v>197.91611639999999</v>
          </cell>
          <cell r="S46">
            <v>242.24184600000001</v>
          </cell>
        </row>
        <row r="47">
          <cell r="M47">
            <v>2.0847223819999998</v>
          </cell>
          <cell r="N47">
            <v>5.357137732</v>
          </cell>
          <cell r="P47">
            <v>1.058931415</v>
          </cell>
          <cell r="Q47">
            <v>0.64455908500000003</v>
          </cell>
          <cell r="R47">
            <v>13.269686610000001</v>
          </cell>
          <cell r="S47">
            <v>11.85594678</v>
          </cell>
        </row>
        <row r="48">
          <cell r="N48">
            <v>387.20063979999998</v>
          </cell>
          <cell r="P48">
            <v>339.3287249</v>
          </cell>
          <cell r="Q48">
            <v>410.7896629</v>
          </cell>
          <cell r="R48">
            <v>859.52635980000002</v>
          </cell>
          <cell r="S48">
            <v>1127.8064220000001</v>
          </cell>
        </row>
        <row r="49">
          <cell r="M49">
            <v>1.1632981250000001</v>
          </cell>
          <cell r="P49">
            <v>1.785055815</v>
          </cell>
          <cell r="Q49">
            <v>1.558486145</v>
          </cell>
          <cell r="R49">
            <v>3.7913390310000001</v>
          </cell>
        </row>
        <row r="58">
          <cell r="M58">
            <v>1.624010253</v>
          </cell>
        </row>
        <row r="60">
          <cell r="L60">
            <v>5.9855280469999999</v>
          </cell>
          <cell r="O60">
            <v>17.956354510000001</v>
          </cell>
          <cell r="Q60">
            <v>5.4547015070000002</v>
          </cell>
          <cell r="R60">
            <v>16.598565600000001</v>
          </cell>
          <cell r="S60">
            <v>6.2615822799999998</v>
          </cell>
        </row>
        <row r="62">
          <cell r="L62">
            <v>16.06084663</v>
          </cell>
          <cell r="N62">
            <v>38.582422379999997</v>
          </cell>
          <cell r="O62">
            <v>27.696314879999999</v>
          </cell>
          <cell r="Q62">
            <v>21.163208180000002</v>
          </cell>
          <cell r="R62">
            <v>9.484742486</v>
          </cell>
          <cell r="S62">
            <v>22.567695010000001</v>
          </cell>
        </row>
        <row r="170">
          <cell r="G170">
            <v>365.29048934996609</v>
          </cell>
          <cell r="H170">
            <v>436.6482320247656</v>
          </cell>
          <cell r="I170">
            <v>530.25162132257935</v>
          </cell>
          <cell r="J170">
            <v>947.39052740020247</v>
          </cell>
          <cell r="M170">
            <v>3041.7686283585576</v>
          </cell>
          <cell r="N170">
            <v>3355.2189473648614</v>
          </cell>
          <cell r="O170">
            <v>3401.1964182630591</v>
          </cell>
          <cell r="Q170">
            <v>3448.925413210296</v>
          </cell>
          <cell r="S170">
            <v>3158.4426998541448</v>
          </cell>
        </row>
        <row r="171">
          <cell r="G171">
            <v>207.42505870482489</v>
          </cell>
          <cell r="H171">
            <v>192.28465521173925</v>
          </cell>
          <cell r="I171">
            <v>296.98141619391953</v>
          </cell>
          <cell r="J171">
            <v>431.37560724721561</v>
          </cell>
          <cell r="K171">
            <v>581.32273392618845</v>
          </cell>
          <cell r="L171">
            <v>674.37216249786286</v>
          </cell>
          <cell r="M171">
            <v>1023.703309762673</v>
          </cell>
          <cell r="N171">
            <v>1106.7879830480806</v>
          </cell>
          <cell r="O171">
            <v>1327.1358588566609</v>
          </cell>
          <cell r="Q171">
            <v>1485.6405689261619</v>
          </cell>
          <cell r="R171">
            <v>1396.2764117831177</v>
          </cell>
          <cell r="S171">
            <v>1260.0587971529083</v>
          </cell>
        </row>
        <row r="172">
          <cell r="G172">
            <v>360.35957222152899</v>
          </cell>
          <cell r="H172">
            <v>450.38701904893333</v>
          </cell>
          <cell r="I172">
            <v>569.15853831500795</v>
          </cell>
          <cell r="J172">
            <v>694.81183635132686</v>
          </cell>
          <cell r="L172">
            <v>1225.0837444717545</v>
          </cell>
          <cell r="N172">
            <v>2042.3594247081885</v>
          </cell>
          <cell r="Q172">
            <v>3083.848073211092</v>
          </cell>
          <cell r="R172">
            <v>4159.6574058975566</v>
          </cell>
          <cell r="S172">
            <v>5779.2374861545923</v>
          </cell>
        </row>
        <row r="173">
          <cell r="G173">
            <v>48.322309213653817</v>
          </cell>
          <cell r="H173">
            <v>62.590612481994377</v>
          </cell>
          <cell r="I173">
            <v>93.064531035349773</v>
          </cell>
          <cell r="J173">
            <v>114.10879732633006</v>
          </cell>
          <cell r="K173">
            <v>116.26594191100598</v>
          </cell>
          <cell r="L173">
            <v>172.7661067542515</v>
          </cell>
          <cell r="M173">
            <v>151.30572271646059</v>
          </cell>
          <cell r="N173">
            <v>295.64969011485903</v>
          </cell>
          <cell r="O173">
            <v>365.30193198614535</v>
          </cell>
          <cell r="Q173">
            <v>398.44835934374947</v>
          </cell>
          <cell r="R173">
            <v>480.34036252113515</v>
          </cell>
          <cell r="S173">
            <v>684.00280675275621</v>
          </cell>
        </row>
        <row r="174">
          <cell r="G174">
            <v>2940.6616698601374</v>
          </cell>
          <cell r="H174">
            <v>3644.4276324138632</v>
          </cell>
          <cell r="I174">
            <v>4554.6309362169286</v>
          </cell>
          <cell r="J174">
            <v>5487.3223380354384</v>
          </cell>
          <cell r="K174">
            <v>8833.8375215136839</v>
          </cell>
          <cell r="L174">
            <v>8329.3816369313299</v>
          </cell>
          <cell r="O174">
            <v>19715.508868371089</v>
          </cell>
          <cell r="Q174">
            <v>19952.029429935112</v>
          </cell>
          <cell r="R174">
            <v>23314.036151892469</v>
          </cell>
          <cell r="S174">
            <v>26812.06147566759</v>
          </cell>
        </row>
        <row r="175">
          <cell r="G175">
            <v>18.857419698180902</v>
          </cell>
          <cell r="H175">
            <v>24.366666697189419</v>
          </cell>
          <cell r="I175">
            <v>36.088779409149623</v>
          </cell>
          <cell r="J175">
            <v>44.088358733892129</v>
          </cell>
          <cell r="M175">
            <v>139.78206437568858</v>
          </cell>
          <cell r="Q175">
            <v>213.59626082094027</v>
          </cell>
          <cell r="R175">
            <v>207.80261518381013</v>
          </cell>
          <cell r="S175">
            <v>344.18434305148003</v>
          </cell>
        </row>
        <row r="176">
          <cell r="G176">
            <v>68.204466057351041</v>
          </cell>
          <cell r="I176">
            <v>35.954114038763642</v>
          </cell>
          <cell r="J176">
            <v>23.492681149064342</v>
          </cell>
          <cell r="K176">
            <v>14.276841584736909</v>
          </cell>
          <cell r="M176">
            <v>17.535220316052868</v>
          </cell>
          <cell r="N176">
            <v>17.719767219375509</v>
          </cell>
          <cell r="O176">
            <v>30.146303512759072</v>
          </cell>
          <cell r="Q176">
            <v>35.262450412910226</v>
          </cell>
          <cell r="R176">
            <v>75.824926524348115</v>
          </cell>
          <cell r="S176">
            <v>103.96567738495251</v>
          </cell>
        </row>
        <row r="177">
          <cell r="G177">
            <v>139.61157660782987</v>
          </cell>
          <cell r="I177">
            <v>73.596508214999687</v>
          </cell>
          <cell r="J177">
            <v>48.088496891215179</v>
          </cell>
          <cell r="M177">
            <v>123.16047767751013</v>
          </cell>
          <cell r="N177">
            <v>169.73195993262223</v>
          </cell>
          <cell r="O177">
            <v>180.81986473831421</v>
          </cell>
          <cell r="Q177">
            <v>139.30209269909804</v>
          </cell>
          <cell r="R177">
            <v>148.8535980694875</v>
          </cell>
          <cell r="S177">
            <v>207.45026287349788</v>
          </cell>
        </row>
        <row r="184">
          <cell r="M184">
            <v>7.9830411134153749</v>
          </cell>
          <cell r="N184">
            <v>1.2525920375074791</v>
          </cell>
          <cell r="O184">
            <v>5.6878277248343307</v>
          </cell>
          <cell r="Q184">
            <v>1.2723906181692848</v>
          </cell>
          <cell r="S184">
            <v>3.4714760125061899</v>
          </cell>
        </row>
        <row r="185">
          <cell r="L185">
            <v>14.193085660515782</v>
          </cell>
          <cell r="M185">
            <v>3.9915205567076875</v>
          </cell>
          <cell r="N185">
            <v>8.3506135833831969</v>
          </cell>
          <cell r="O185">
            <v>4.9768492592300406</v>
          </cell>
          <cell r="Q185">
            <v>4.1108004587007665</v>
          </cell>
          <cell r="R185">
            <v>5.7637543207173971</v>
          </cell>
          <cell r="S185">
            <v>16.026096563131748</v>
          </cell>
        </row>
        <row r="186">
          <cell r="L186">
            <v>68.855293145503467</v>
          </cell>
          <cell r="N186">
            <v>181.48757229158687</v>
          </cell>
          <cell r="Q186">
            <v>36.390090629505011</v>
          </cell>
          <cell r="R186">
            <v>53.895390944411695</v>
          </cell>
          <cell r="S186">
            <v>102.87612837700402</v>
          </cell>
        </row>
        <row r="187">
          <cell r="M187">
            <v>3.991520556707687</v>
          </cell>
          <cell r="N187">
            <v>1.2288086443902486</v>
          </cell>
          <cell r="Q187">
            <v>0.74615499213630898</v>
          </cell>
          <cell r="S187">
            <v>5.5543616200099031</v>
          </cell>
        </row>
        <row r="188">
          <cell r="L188">
            <v>144.48391829610523</v>
          </cell>
          <cell r="O188">
            <v>4.9768492592300415</v>
          </cell>
          <cell r="Q188">
            <v>159.40815350242212</v>
          </cell>
          <cell r="R188">
            <v>434.30146149169946</v>
          </cell>
          <cell r="S188">
            <v>630.99238271571483</v>
          </cell>
        </row>
        <row r="189">
          <cell r="Q189">
            <v>1.2723906181692848</v>
          </cell>
          <cell r="S189">
            <v>5.5543616200099031</v>
          </cell>
        </row>
        <row r="200">
          <cell r="L200">
            <v>6.4360272495994275</v>
          </cell>
          <cell r="Q200">
            <v>4.4533671635924978</v>
          </cell>
          <cell r="S200">
            <v>3.7029077466732683</v>
          </cell>
        </row>
        <row r="201">
          <cell r="O201">
            <v>1.2442123148075099</v>
          </cell>
        </row>
        <row r="202">
          <cell r="L202">
            <v>13.310874538944274</v>
          </cell>
          <cell r="P202">
            <v>12.528154198738978</v>
          </cell>
          <cell r="Q202">
            <v>9.4306598758429363</v>
          </cell>
        </row>
      </sheetData>
      <sheetData sheetId="9"/>
      <sheetData sheetId="10">
        <row r="2">
          <cell r="G2">
            <v>2376.1111111111109</v>
          </cell>
          <cell r="H2">
            <v>2961.0027100271</v>
          </cell>
          <cell r="I2">
            <v>2762.7836257309891</v>
          </cell>
          <cell r="J2">
            <v>3164.3373493975887</v>
          </cell>
          <cell r="L2">
            <v>2331.5384615384664</v>
          </cell>
          <cell r="M2">
            <v>1837.5857338820333</v>
          </cell>
          <cell r="N2">
            <v>1339.3103448275888</v>
          </cell>
          <cell r="O2">
            <v>1110.428696412949</v>
          </cell>
          <cell r="Q2">
            <v>1123.7922705313999</v>
          </cell>
          <cell r="S2">
            <v>936.03603603603665</v>
          </cell>
        </row>
        <row r="3">
          <cell r="G3">
            <v>1057.0217640320732</v>
          </cell>
          <cell r="H3">
            <v>1455.1190476190443</v>
          </cell>
          <cell r="I3">
            <v>1528.3160493827111</v>
          </cell>
          <cell r="J3">
            <v>1647.5845410627999</v>
          </cell>
          <cell r="K3">
            <v>1490.2519379844998</v>
          </cell>
          <cell r="L3">
            <v>1469.7080015168779</v>
          </cell>
          <cell r="M3">
            <v>1303.9905318852668</v>
          </cell>
          <cell r="N3">
            <v>1140.4465212876444</v>
          </cell>
          <cell r="O3">
            <v>845.94730813287561</v>
          </cell>
          <cell r="P3">
            <v>948.14814814814781</v>
          </cell>
          <cell r="Q3">
            <v>816.00237247924099</v>
          </cell>
          <cell r="R3">
            <v>618.04976851851882</v>
          </cell>
          <cell r="S3">
            <v>436.52915291529109</v>
          </cell>
        </row>
        <row r="4">
          <cell r="G4">
            <v>3714.3379186924444</v>
          </cell>
          <cell r="H4">
            <v>4696.1652658733665</v>
          </cell>
          <cell r="I4">
            <v>5262.1956946926002</v>
          </cell>
          <cell r="J4">
            <v>5821.0354249705888</v>
          </cell>
          <cell r="L4">
            <v>7233.9466744652555</v>
          </cell>
          <cell r="N4">
            <v>8623.2363189115767</v>
          </cell>
          <cell r="O4">
            <v>7898.095484671444</v>
          </cell>
          <cell r="P4">
            <v>8147.0561064329777</v>
          </cell>
          <cell r="Q4">
            <v>7902.7328727714776</v>
          </cell>
          <cell r="R4">
            <v>7238.8956967897666</v>
          </cell>
          <cell r="S4">
            <v>6551.2538826065893</v>
          </cell>
        </row>
        <row r="5">
          <cell r="G5">
            <v>255.12386461073223</v>
          </cell>
          <cell r="H5">
            <v>334.74154321879331</v>
          </cell>
          <cell r="I5">
            <v>285.2149528794767</v>
          </cell>
          <cell r="J5">
            <v>378.83277255546443</v>
          </cell>
          <cell r="K5">
            <v>369.80124963708778</v>
          </cell>
          <cell r="L5">
            <v>391.48257241040778</v>
          </cell>
          <cell r="M5">
            <v>329.5782123368333</v>
          </cell>
          <cell r="N5">
            <v>416.2632495289011</v>
          </cell>
          <cell r="P5">
            <v>399.75541533843773</v>
          </cell>
          <cell r="Q5">
            <v>429.07396581821109</v>
          </cell>
          <cell r="R5">
            <v>362.36580310880777</v>
          </cell>
          <cell r="S5">
            <v>314.19361129356224</v>
          </cell>
        </row>
        <row r="6">
          <cell r="G6">
            <v>19949.488719297777</v>
          </cell>
          <cell r="H6">
            <v>25228.392011381777</v>
          </cell>
          <cell r="I6">
            <v>28267.93381972611</v>
          </cell>
          <cell r="J6">
            <v>31271.070212273444</v>
          </cell>
          <cell r="K6">
            <v>25417.633166152224</v>
          </cell>
          <cell r="L6">
            <v>29019.964155006557</v>
          </cell>
          <cell r="M6">
            <v>32833.140375067334</v>
          </cell>
          <cell r="N6">
            <v>29709.69632721378</v>
          </cell>
          <cell r="O6">
            <v>26918.876712304776</v>
          </cell>
          <cell r="P6">
            <v>25489.683847177443</v>
          </cell>
          <cell r="Q6">
            <v>22746.815002086998</v>
          </cell>
          <cell r="R6">
            <v>19430.655793589332</v>
          </cell>
          <cell r="S6">
            <v>15820.102428392776</v>
          </cell>
        </row>
        <row r="7">
          <cell r="G7">
            <v>119.80754828364333</v>
          </cell>
          <cell r="H7">
            <v>157.19644127733113</v>
          </cell>
          <cell r="I7">
            <v>133.93848627396221</v>
          </cell>
          <cell r="J7">
            <v>177.90192132208665</v>
          </cell>
          <cell r="K7">
            <v>173.6606692550989</v>
          </cell>
          <cell r="M7">
            <v>236.28719911328554</v>
          </cell>
          <cell r="N7">
            <v>144.75456284677776</v>
          </cell>
          <cell r="P7">
            <v>165.76206387546998</v>
          </cell>
          <cell r="Q7">
            <v>134.23776965313888</v>
          </cell>
          <cell r="R7">
            <v>119.42777777777778</v>
          </cell>
          <cell r="S7">
            <v>115.30208024439</v>
          </cell>
        </row>
        <row r="8">
          <cell r="G8">
            <v>63.749836347413336</v>
          </cell>
          <cell r="H8">
            <v>50.81358550746311</v>
          </cell>
          <cell r="I8">
            <v>77.237663831710435</v>
          </cell>
          <cell r="J8">
            <v>85.820810862326894</v>
          </cell>
          <cell r="K8">
            <v>79.754576283970991</v>
          </cell>
          <cell r="M8">
            <v>89.969479432198781</v>
          </cell>
          <cell r="N8">
            <v>127.13430401400333</v>
          </cell>
          <cell r="O8">
            <v>128.03028839461888</v>
          </cell>
          <cell r="P8">
            <v>125.13666901573889</v>
          </cell>
          <cell r="Q8">
            <v>93.492513478668556</v>
          </cell>
          <cell r="R8">
            <v>85.501666666666665</v>
          </cell>
          <cell r="S8">
            <v>64.963878713878657</v>
          </cell>
        </row>
        <row r="9">
          <cell r="G9">
            <v>355.36344631635774</v>
          </cell>
          <cell r="H9">
            <v>283.25234855847111</v>
          </cell>
          <cell r="I9">
            <v>430.54922141419115</v>
          </cell>
          <cell r="J9">
            <v>478.39462594853001</v>
          </cell>
          <cell r="K9">
            <v>444.57935442092776</v>
          </cell>
          <cell r="L9">
            <v>364.3005741303611</v>
          </cell>
          <cell r="M9">
            <v>399.20169815564554</v>
          </cell>
          <cell r="N9">
            <v>377.69785066209226</v>
          </cell>
          <cell r="O9">
            <v>300.23858569066778</v>
          </cell>
          <cell r="P9">
            <v>335.65100078572442</v>
          </cell>
          <cell r="Q9">
            <v>234.06954750472889</v>
          </cell>
          <cell r="R9">
            <v>161.25513035381778</v>
          </cell>
          <cell r="S9">
            <v>135.84981684981668</v>
          </cell>
        </row>
        <row r="16">
          <cell r="M16">
            <v>1.1111111111111112</v>
          </cell>
          <cell r="O16">
            <v>3.8095238095238111</v>
          </cell>
          <cell r="P16">
            <v>3.333333333333333</v>
          </cell>
          <cell r="Q16">
            <v>4.4444444444444446</v>
          </cell>
          <cell r="S16">
            <v>2.7777777777777777</v>
          </cell>
        </row>
        <row r="17">
          <cell r="L17">
            <v>3.6111111111111112</v>
          </cell>
          <cell r="M17">
            <v>12.222222222222221</v>
          </cell>
          <cell r="N17">
            <v>10.370370370370367</v>
          </cell>
          <cell r="O17">
            <v>5.5555555555555554</v>
          </cell>
          <cell r="P17">
            <v>2.4444444444444446</v>
          </cell>
          <cell r="Q17">
            <v>11.965811965812</v>
          </cell>
          <cell r="R17">
            <v>9.6296296296296333</v>
          </cell>
          <cell r="S17">
            <v>10.499999999999998</v>
          </cell>
        </row>
        <row r="18">
          <cell r="L18">
            <v>287.71946873987662</v>
          </cell>
          <cell r="M18">
            <v>199.29339986862888</v>
          </cell>
          <cell r="N18">
            <v>93.225108225108215</v>
          </cell>
          <cell r="P18">
            <v>97.334021327829333</v>
          </cell>
          <cell r="Q18">
            <v>90.40288890932689</v>
          </cell>
          <cell r="R18">
            <v>135.33895365154223</v>
          </cell>
          <cell r="S18">
            <v>158.91630436286889</v>
          </cell>
        </row>
        <row r="19">
          <cell r="M19">
            <v>1.4263199369582333</v>
          </cell>
          <cell r="N19">
            <v>3.8888888888888888</v>
          </cell>
          <cell r="P19">
            <v>0.82742316784869996</v>
          </cell>
          <cell r="Q19">
            <v>0.4595336076817555</v>
          </cell>
          <cell r="R19">
            <v>9.074074074074078</v>
          </cell>
          <cell r="S19">
            <v>7.7777777777777777</v>
          </cell>
        </row>
        <row r="20">
          <cell r="N20">
            <v>281.3419913419911</v>
          </cell>
          <cell r="P20">
            <v>265.33306748408</v>
          </cell>
          <cell r="Q20">
            <v>293.06135379168887</v>
          </cell>
          <cell r="R20">
            <v>587.95161084008998</v>
          </cell>
          <cell r="S20">
            <v>740.52935470347882</v>
          </cell>
        </row>
        <row r="21">
          <cell r="M21">
            <v>0.79590228526398776</v>
          </cell>
          <cell r="P21">
            <v>1.394799054373522</v>
          </cell>
          <cell r="Q21">
            <v>1.1111111111111112</v>
          </cell>
          <cell r="R21">
            <v>2.5925925925925886</v>
          </cell>
        </row>
        <row r="30">
          <cell r="M30">
            <v>1.1111111111111112</v>
          </cell>
        </row>
        <row r="32">
          <cell r="L32">
            <v>3.750172532781233</v>
          </cell>
          <cell r="O32">
            <v>13.111111111111111</v>
          </cell>
          <cell r="Q32">
            <v>3.8888888888888888</v>
          </cell>
          <cell r="R32">
            <v>11.350427350427333</v>
          </cell>
          <cell r="S32">
            <v>4.1077441077441108</v>
          </cell>
        </row>
        <row r="34">
          <cell r="L34">
            <v>10.066252587991722</v>
          </cell>
          <cell r="N34">
            <v>28.034188034188002</v>
          </cell>
          <cell r="O34">
            <v>20.238095238095223</v>
          </cell>
          <cell r="Q34">
            <v>15.098039215686223</v>
          </cell>
          <cell r="R34">
            <v>6.487956487956489</v>
          </cell>
          <cell r="S34">
            <v>14.818181818181777</v>
          </cell>
        </row>
        <row r="44">
          <cell r="G44">
            <v>235</v>
          </cell>
          <cell r="H44">
            <v>320.10840108401112</v>
          </cell>
          <cell r="I44">
            <v>399.43859649122777</v>
          </cell>
          <cell r="J44">
            <v>755.66265060240994</v>
          </cell>
          <cell r="M44">
            <v>2540.1920438957445</v>
          </cell>
          <cell r="N44">
            <v>2976.2452107279664</v>
          </cell>
          <cell r="O44">
            <v>3037.3490813648332</v>
          </cell>
          <cell r="Q44">
            <v>3011.7632850241553</v>
          </cell>
          <cell r="S44">
            <v>2527.2972972973002</v>
          </cell>
        </row>
        <row r="45">
          <cell r="G45">
            <v>135.20045819014888</v>
          </cell>
          <cell r="H45">
            <v>142.65873015872998</v>
          </cell>
          <cell r="I45">
            <v>226.1283950617289</v>
          </cell>
          <cell r="J45">
            <v>346.85990338164225</v>
          </cell>
          <cell r="K45">
            <v>466.41472868216999</v>
          </cell>
          <cell r="L45">
            <v>514.73644292756887</v>
          </cell>
          <cell r="M45">
            <v>854.89835700361994</v>
          </cell>
          <cell r="N45">
            <v>981.77570093457894</v>
          </cell>
          <cell r="O45">
            <v>1185.1638029782334</v>
          </cell>
          <cell r="Q45">
            <v>1297.3309608540887</v>
          </cell>
          <cell r="R45">
            <v>1166.3946759259222</v>
          </cell>
          <cell r="S45">
            <v>1009.0264026402645</v>
          </cell>
        </row>
        <row r="46">
          <cell r="G46">
            <v>262.90348588048442</v>
          </cell>
          <cell r="H46">
            <v>371.05902783674662</v>
          </cell>
          <cell r="I46">
            <v>476.15150139812221</v>
          </cell>
          <cell r="J46">
            <v>607.07675769032664</v>
          </cell>
          <cell r="L46">
            <v>935.08493378799005</v>
          </cell>
          <cell r="N46">
            <v>1811.6738584666446</v>
          </cell>
          <cell r="Q46">
            <v>2692.9606444705446</v>
          </cell>
          <cell r="R46">
            <v>3474.8150229930111</v>
          </cell>
          <cell r="S46">
            <v>4624.3838078405561</v>
          </cell>
        </row>
        <row r="47">
          <cell r="G47">
            <v>31.768534848781776</v>
          </cell>
          <cell r="H47">
            <v>46.780106198710889</v>
          </cell>
          <cell r="I47">
            <v>71.276857181619107</v>
          </cell>
          <cell r="J47">
            <v>92.2971933584179</v>
          </cell>
          <cell r="K47">
            <v>93.859450803070999</v>
          </cell>
          <cell r="L47">
            <v>133.40588010691113</v>
          </cell>
          <cell r="M47">
            <v>126.35595931162445</v>
          </cell>
          <cell r="N47">
            <v>262.25590283717219</v>
          </cell>
          <cell r="O47">
            <v>290.22989047088333</v>
          </cell>
          <cell r="Q47">
            <v>347.9437783876611</v>
          </cell>
          <cell r="R47">
            <v>396.03631329330778</v>
          </cell>
          <cell r="S47">
            <v>547.31986903857228</v>
          </cell>
        </row>
        <row r="48">
          <cell r="G48">
            <v>1897.7143205737889</v>
          </cell>
          <cell r="H48">
            <v>2681.0503615747998</v>
          </cell>
          <cell r="I48">
            <v>3440.3856508497888</v>
          </cell>
          <cell r="J48">
            <v>4386.3731606212104</v>
          </cell>
          <cell r="K48">
            <v>6055.0317322530891</v>
          </cell>
          <cell r="L48">
            <v>6357.670903406889</v>
          </cell>
          <cell r="O48">
            <v>17606.417091479889</v>
          </cell>
          <cell r="Q48">
            <v>17423.047036226555</v>
          </cell>
          <cell r="R48">
            <v>19475.633486627888</v>
          </cell>
          <cell r="S48">
            <v>21454.259881160109</v>
          </cell>
        </row>
        <row r="49">
          <cell r="G49">
            <v>12.188941145731221</v>
          </cell>
          <cell r="H49">
            <v>17.948575971831779</v>
          </cell>
          <cell r="I49">
            <v>27.347481442719555</v>
          </cell>
          <cell r="J49">
            <v>35.412557208475555</v>
          </cell>
          <cell r="M49">
            <v>117.77862923825667</v>
          </cell>
          <cell r="Q49">
            <v>186.52226391876667</v>
          </cell>
          <cell r="R49">
            <v>175.50343915343888</v>
          </cell>
          <cell r="S49">
            <v>275.40666164569666</v>
          </cell>
        </row>
        <row r="50">
          <cell r="G50">
            <v>43.685867720381999</v>
          </cell>
          <cell r="I50">
            <v>26.982043940414666</v>
          </cell>
          <cell r="J50">
            <v>18.67295246726389</v>
          </cell>
          <cell r="K50">
            <v>11.34081104782789</v>
          </cell>
          <cell r="M50">
            <v>14.643726258309556</v>
          </cell>
          <cell r="N50">
            <v>15.718310235253332</v>
          </cell>
          <cell r="O50">
            <v>26.921364138030221</v>
          </cell>
          <cell r="Q50">
            <v>30.792824074074112</v>
          </cell>
          <cell r="R50">
            <v>63.341176470588216</v>
          </cell>
          <cell r="S50">
            <v>83.190420227920214</v>
          </cell>
        </row>
        <row r="51">
          <cell r="G51">
            <v>89.423071838068893</v>
          </cell>
          <cell r="I51">
            <v>55.231070813683665</v>
          </cell>
          <cell r="J51">
            <v>38.222721832990558</v>
          </cell>
          <cell r="M51">
            <v>102.85176282051289</v>
          </cell>
          <cell r="N51">
            <v>150.5606461997622</v>
          </cell>
          <cell r="O51">
            <v>161.47642844334999</v>
          </cell>
          <cell r="Q51">
            <v>121.64511494252889</v>
          </cell>
          <cell r="R51">
            <v>124.34647095337223</v>
          </cell>
          <cell r="S51">
            <v>165.99588420838444</v>
          </cell>
        </row>
        <row r="58">
          <cell r="M58">
            <v>6.6666666666666661</v>
          </cell>
          <cell r="N58">
            <v>1.1111111111111112</v>
          </cell>
          <cell r="O58">
            <v>5.0793650793650791</v>
          </cell>
          <cell r="Q58">
            <v>1.1111111111111112</v>
          </cell>
          <cell r="S58">
            <v>2.7777777777777777</v>
          </cell>
        </row>
        <row r="59">
          <cell r="L59">
            <v>10.833333333333334</v>
          </cell>
          <cell r="M59">
            <v>3.333333333333333</v>
          </cell>
          <cell r="N59">
            <v>7.4074074074074074</v>
          </cell>
          <cell r="O59">
            <v>4.4444444444444446</v>
          </cell>
          <cell r="Q59">
            <v>3.5897435897435899</v>
          </cell>
          <cell r="R59">
            <v>4.814814814814814</v>
          </cell>
          <cell r="S59">
            <v>12.833333333333334</v>
          </cell>
        </row>
        <row r="60">
          <cell r="L60">
            <v>52.556037513727901</v>
          </cell>
          <cell r="N60">
            <v>160.988455988456</v>
          </cell>
          <cell r="Q60">
            <v>31.777532351628736</v>
          </cell>
          <cell r="R60">
            <v>45.022100584101736</v>
          </cell>
          <cell r="S60">
            <v>82.318593658709929</v>
          </cell>
        </row>
        <row r="61">
          <cell r="M61">
            <v>3.333333333333333</v>
          </cell>
          <cell r="N61">
            <v>1.0900140646976091</v>
          </cell>
          <cell r="Q61">
            <v>0.65157750342935528</v>
          </cell>
          <cell r="S61">
            <v>4.4444444444444446</v>
          </cell>
        </row>
        <row r="62">
          <cell r="L62">
            <v>110.2820405405011</v>
          </cell>
          <cell r="O62">
            <v>4.4444444444444446</v>
          </cell>
          <cell r="Q62">
            <v>139.20266939179982</v>
          </cell>
          <cell r="R62">
            <v>362.7984460353768</v>
          </cell>
          <cell r="S62">
            <v>504.90241394160796</v>
          </cell>
        </row>
        <row r="63">
          <cell r="Q63">
            <v>1.1111111111111112</v>
          </cell>
          <cell r="S63">
            <v>4.4444444444444446</v>
          </cell>
        </row>
        <row r="74">
          <cell r="M74">
            <v>2.1302348099733779</v>
          </cell>
          <cell r="R74">
            <v>2.6666666666666665</v>
          </cell>
          <cell r="T74">
            <v>2.4761904761904776</v>
          </cell>
        </row>
        <row r="75">
          <cell r="P75">
            <v>1.1111111111111112</v>
          </cell>
        </row>
        <row r="76">
          <cell r="M76">
            <v>4.4057129024449333</v>
          </cell>
          <cell r="Q76">
            <v>8.2352941176470544</v>
          </cell>
          <cell r="R76">
            <v>7.2727272727272663</v>
          </cell>
        </row>
      </sheetData>
      <sheetData sheetId="11"/>
      <sheetData sheetId="12"/>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ing and Treatment"/>
      <sheetName val="Active TB Testing and Treatment"/>
      <sheetName val="HIV Unknowns"/>
      <sheetName val="Notified cases"/>
      <sheetName val="HiV Probability"/>
      <sheetName val="Active TB Death Rates"/>
    </sheetNames>
    <sheetDataSet>
      <sheetData sheetId="0" refreshError="1">
        <row r="177">
          <cell r="N177">
            <v>0</v>
          </cell>
        </row>
        <row r="180">
          <cell r="O180">
            <v>1.8125</v>
          </cell>
          <cell r="Q180">
            <v>2</v>
          </cell>
          <cell r="R180">
            <v>1</v>
          </cell>
          <cell r="S180">
            <v>1</v>
          </cell>
        </row>
        <row r="181">
          <cell r="P181">
            <v>4.78125</v>
          </cell>
          <cell r="R181">
            <v>2</v>
          </cell>
          <cell r="S181">
            <v>1</v>
          </cell>
        </row>
        <row r="230">
          <cell r="O230">
            <v>1.40625</v>
          </cell>
          <cell r="Q230">
            <v>1</v>
          </cell>
          <cell r="R230">
            <v>5</v>
          </cell>
          <cell r="S230">
            <v>3.8333333333333335</v>
          </cell>
        </row>
        <row r="231">
          <cell r="P231">
            <v>6.78125</v>
          </cell>
          <cell r="R231">
            <v>2</v>
          </cell>
          <cell r="S231">
            <v>4.1666666666666661</v>
          </cell>
        </row>
        <row r="278">
          <cell r="O278">
            <v>1.40625</v>
          </cell>
          <cell r="Q278">
            <v>3</v>
          </cell>
          <cell r="R278">
            <v>3.5</v>
          </cell>
          <cell r="S278">
            <v>0</v>
          </cell>
        </row>
        <row r="279">
          <cell r="P279">
            <v>2</v>
          </cell>
          <cell r="R279">
            <v>2.5</v>
          </cell>
          <cell r="S279">
            <v>2</v>
          </cell>
        </row>
        <row r="326">
          <cell r="O326">
            <v>2.21875</v>
          </cell>
          <cell r="Q326">
            <v>0</v>
          </cell>
          <cell r="R326">
            <v>0</v>
          </cell>
          <cell r="S326">
            <v>0</v>
          </cell>
        </row>
        <row r="327">
          <cell r="P327">
            <v>2</v>
          </cell>
          <cell r="R327">
            <v>3</v>
          </cell>
          <cell r="S327">
            <v>4</v>
          </cell>
        </row>
        <row r="374">
          <cell r="O374">
            <v>7.25</v>
          </cell>
          <cell r="Q374">
            <v>0</v>
          </cell>
          <cell r="R374">
            <v>1</v>
          </cell>
          <cell r="S374">
            <v>0</v>
          </cell>
        </row>
        <row r="375">
          <cell r="P375">
            <v>0</v>
          </cell>
          <cell r="R375">
            <v>0</v>
          </cell>
          <cell r="S375">
            <v>0</v>
          </cell>
        </row>
        <row r="423">
          <cell r="O423">
            <v>6.625</v>
          </cell>
          <cell r="Q423">
            <v>1</v>
          </cell>
          <cell r="R423">
            <v>2</v>
          </cell>
          <cell r="S423">
            <v>1.2777777777777777</v>
          </cell>
        </row>
        <row r="424">
          <cell r="P424">
            <v>10.78125</v>
          </cell>
          <cell r="R424">
            <v>2</v>
          </cell>
          <cell r="S424">
            <v>3.7222222222222223</v>
          </cell>
        </row>
      </sheetData>
      <sheetData sheetId="1">
        <row r="180">
          <cell r="O180">
            <v>1.8125</v>
          </cell>
        </row>
      </sheetData>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E1" sqref="E1"/>
    </sheetView>
  </sheetViews>
  <sheetFormatPr defaultColWidth="8.83984375" defaultRowHeight="14.4" x14ac:dyDescent="0.55000000000000004"/>
  <cols>
    <col min="1" max="4" width="15.68359375" customWidth="1"/>
  </cols>
  <sheetData>
    <row r="1" spans="1:4" x14ac:dyDescent="0.55000000000000004">
      <c r="A1" s="1" t="s">
        <v>0</v>
      </c>
      <c r="B1" s="1" t="s">
        <v>1</v>
      </c>
      <c r="C1" s="1" t="s">
        <v>2</v>
      </c>
      <c r="D1" s="1" t="s">
        <v>3</v>
      </c>
    </row>
    <row r="2" spans="1:4" x14ac:dyDescent="0.55000000000000004">
      <c r="A2" s="1" t="s">
        <v>114</v>
      </c>
      <c r="B2" s="26" t="s">
        <v>115</v>
      </c>
      <c r="C2" s="26">
        <v>0</v>
      </c>
      <c r="D2" s="26">
        <v>4</v>
      </c>
    </row>
    <row r="3" spans="1:4" x14ac:dyDescent="0.55000000000000004">
      <c r="A3" s="1" t="s">
        <v>116</v>
      </c>
      <c r="B3" s="26" t="s">
        <v>117</v>
      </c>
      <c r="C3" s="26">
        <v>5</v>
      </c>
      <c r="D3" s="26">
        <v>14</v>
      </c>
    </row>
    <row r="4" spans="1:4" x14ac:dyDescent="0.55000000000000004">
      <c r="A4" s="1" t="s">
        <v>118</v>
      </c>
      <c r="B4" s="26" t="s">
        <v>119</v>
      </c>
      <c r="C4" s="26">
        <v>15</v>
      </c>
      <c r="D4" s="26">
        <v>64</v>
      </c>
    </row>
    <row r="5" spans="1:4" x14ac:dyDescent="0.55000000000000004">
      <c r="A5" s="1" t="s">
        <v>120</v>
      </c>
      <c r="B5" s="26" t="s">
        <v>121</v>
      </c>
      <c r="C5" s="26">
        <v>65</v>
      </c>
      <c r="D5" s="26">
        <v>99</v>
      </c>
    </row>
    <row r="6" spans="1:4" x14ac:dyDescent="0.55000000000000004">
      <c r="A6" s="1" t="s">
        <v>122</v>
      </c>
      <c r="B6" s="26" t="s">
        <v>123</v>
      </c>
      <c r="C6" s="26">
        <v>15</v>
      </c>
      <c r="D6" s="26">
        <v>64</v>
      </c>
    </row>
    <row r="7" spans="1:4" x14ac:dyDescent="0.55000000000000004">
      <c r="A7" s="1" t="s">
        <v>124</v>
      </c>
      <c r="B7" s="26" t="s">
        <v>125</v>
      </c>
      <c r="C7" s="26">
        <v>65</v>
      </c>
      <c r="D7" s="26">
        <v>99</v>
      </c>
    </row>
    <row r="8" spans="1:4" x14ac:dyDescent="0.55000000000000004">
      <c r="A8" s="1" t="s">
        <v>131</v>
      </c>
      <c r="B8" s="26" t="s">
        <v>131</v>
      </c>
      <c r="C8" s="26">
        <v>15</v>
      </c>
      <c r="D8" s="26">
        <v>64</v>
      </c>
    </row>
    <row r="9" spans="1:4" x14ac:dyDescent="0.55000000000000004">
      <c r="A9" s="1" t="s">
        <v>132</v>
      </c>
      <c r="B9" s="26" t="s">
        <v>137</v>
      </c>
      <c r="C9" s="26">
        <v>15</v>
      </c>
      <c r="D9" s="26">
        <v>64</v>
      </c>
    </row>
    <row r="10" spans="1:4" x14ac:dyDescent="0.55000000000000004">
      <c r="A10" s="1" t="s">
        <v>129</v>
      </c>
      <c r="B10" s="26" t="s">
        <v>129</v>
      </c>
      <c r="C10" s="26">
        <v>15</v>
      </c>
      <c r="D10" s="26">
        <v>64</v>
      </c>
    </row>
    <row r="11" spans="1:4" x14ac:dyDescent="0.55000000000000004">
      <c r="A11" s="1" t="s">
        <v>130</v>
      </c>
      <c r="B11" s="26" t="s">
        <v>133</v>
      </c>
      <c r="C11" s="26">
        <v>15</v>
      </c>
      <c r="D11" s="26">
        <v>64</v>
      </c>
    </row>
    <row r="12" spans="1:4" x14ac:dyDescent="0.55000000000000004">
      <c r="A12" s="1" t="s">
        <v>126</v>
      </c>
      <c r="B12" s="26" t="s">
        <v>126</v>
      </c>
      <c r="C12" s="26">
        <v>15</v>
      </c>
      <c r="D12" s="26">
        <v>64</v>
      </c>
    </row>
    <row r="13" spans="1:4" x14ac:dyDescent="0.55000000000000004">
      <c r="A13" s="1" t="s">
        <v>127</v>
      </c>
      <c r="B13" s="26" t="s">
        <v>128</v>
      </c>
      <c r="C13" s="26">
        <v>15</v>
      </c>
      <c r="D13" s="26">
        <v>64</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39"/>
  <sheetViews>
    <sheetView zoomScale="90" zoomScaleNormal="90" zoomScaleSheetLayoutView="100" zoomScalePageLayoutView="90" workbookViewId="0">
      <selection activeCell="E6" sqref="E6"/>
    </sheetView>
  </sheetViews>
  <sheetFormatPr defaultColWidth="8.83984375" defaultRowHeight="14.4" x14ac:dyDescent="0.55000000000000004"/>
  <cols>
    <col min="1" max="1" width="66.47265625" bestFit="1" customWidth="1"/>
    <col min="2" max="3" width="10.68359375" customWidth="1"/>
    <col min="5" max="21" width="11.47265625" customWidth="1"/>
  </cols>
  <sheetData>
    <row r="1" spans="1:21" x14ac:dyDescent="0.55000000000000004">
      <c r="A1" s="21" t="s">
        <v>19</v>
      </c>
      <c r="B1" s="1" t="s">
        <v>8</v>
      </c>
      <c r="C1" s="1" t="s">
        <v>9</v>
      </c>
      <c r="D1" s="1"/>
      <c r="E1" s="41">
        <v>2000</v>
      </c>
      <c r="F1" s="41">
        <v>2001</v>
      </c>
      <c r="G1" s="41">
        <v>2002</v>
      </c>
      <c r="H1" s="41">
        <v>2003</v>
      </c>
      <c r="I1" s="41">
        <v>2004</v>
      </c>
      <c r="J1" s="41">
        <v>2005</v>
      </c>
      <c r="K1" s="41">
        <v>2006</v>
      </c>
      <c r="L1" s="41">
        <v>2007</v>
      </c>
      <c r="M1" s="41">
        <v>2008</v>
      </c>
      <c r="N1" s="41">
        <v>2009</v>
      </c>
      <c r="O1" s="41">
        <v>2010</v>
      </c>
      <c r="P1" s="41">
        <v>2011</v>
      </c>
      <c r="Q1" s="41">
        <v>2012</v>
      </c>
      <c r="R1" s="41">
        <v>2013</v>
      </c>
      <c r="S1" s="41">
        <v>2014</v>
      </c>
      <c r="T1" s="41">
        <v>2015</v>
      </c>
      <c r="U1" s="41">
        <v>2016</v>
      </c>
    </row>
    <row r="2" spans="1:21" x14ac:dyDescent="0.55000000000000004">
      <c r="A2" s="1" t="str">
        <f>'Population Definitions'!$A$2</f>
        <v>Gen 0-4</v>
      </c>
      <c r="B2" s="1" t="s">
        <v>14</v>
      </c>
      <c r="C2" s="2" t="str">
        <f t="shared" ref="C2:C13" si="0">IF(SUMPRODUCT(--(E2:U2&lt;&gt;""))=0,0,"N.A.")</f>
        <v>N.A.</v>
      </c>
      <c r="D2" s="1" t="s">
        <v>16</v>
      </c>
      <c r="E2" s="44">
        <f>17200000*'General Demographics'!E2/52680000</f>
        <v>239783.44343204252</v>
      </c>
      <c r="F2" s="44"/>
      <c r="G2" s="44"/>
      <c r="H2" s="44"/>
      <c r="I2" s="44"/>
      <c r="J2" s="44"/>
      <c r="K2" s="44"/>
      <c r="L2" s="44"/>
      <c r="M2" s="44"/>
      <c r="N2" s="44"/>
      <c r="O2" s="44"/>
      <c r="P2" s="44"/>
      <c r="Q2" s="44"/>
      <c r="R2" s="44"/>
      <c r="S2" s="44">
        <v>257110.54900432017</v>
      </c>
      <c r="T2" s="44"/>
      <c r="U2" s="44"/>
    </row>
    <row r="3" spans="1:21" x14ac:dyDescent="0.55000000000000004">
      <c r="A3" s="1" t="str">
        <f>'Population Definitions'!$A$3</f>
        <v>Gen 5-14</v>
      </c>
      <c r="B3" s="1" t="s">
        <v>14</v>
      </c>
      <c r="C3" s="2" t="str">
        <f t="shared" si="0"/>
        <v>N.A.</v>
      </c>
      <c r="D3" s="1" t="s">
        <v>16</v>
      </c>
      <c r="E3" s="44">
        <f>17200000*'General Demographics'!E3/52680000/25</f>
        <v>18811.506352822038</v>
      </c>
      <c r="F3" s="44"/>
      <c r="G3" s="44"/>
      <c r="H3" s="44"/>
      <c r="I3" s="44"/>
      <c r="J3" s="44"/>
      <c r="K3" s="44"/>
      <c r="L3" s="44"/>
      <c r="M3" s="44"/>
      <c r="N3" s="44"/>
      <c r="O3" s="44"/>
      <c r="P3" s="44"/>
      <c r="Q3" s="44"/>
      <c r="R3" s="44"/>
      <c r="S3" s="44">
        <v>108954.91874846751</v>
      </c>
      <c r="T3" s="44"/>
      <c r="U3" s="44"/>
    </row>
    <row r="4" spans="1:21" x14ac:dyDescent="0.55000000000000004">
      <c r="A4" s="1" t="str">
        <f>'Population Definitions'!$A$4</f>
        <v>Gen 15-64</v>
      </c>
      <c r="B4" s="1" t="s">
        <v>14</v>
      </c>
      <c r="C4" s="2" t="str">
        <f t="shared" si="0"/>
        <v>N.A.</v>
      </c>
      <c r="D4" s="1" t="s">
        <v>16</v>
      </c>
      <c r="E4" s="44">
        <f>17200000*'General Demographics'!E4/52680000/1.25</f>
        <v>1388079.8841333422</v>
      </c>
      <c r="F4" s="44"/>
      <c r="G4" s="44"/>
      <c r="H4" s="44"/>
      <c r="I4" s="44"/>
      <c r="J4" s="44"/>
      <c r="K4" s="44"/>
      <c r="L4" s="44"/>
      <c r="M4" s="44"/>
      <c r="N4" s="44"/>
      <c r="O4" s="44"/>
      <c r="P4" s="44"/>
      <c r="Q4" s="44"/>
      <c r="R4" s="44"/>
      <c r="S4" s="44">
        <v>1861163.9409840601</v>
      </c>
      <c r="T4" s="44"/>
      <c r="U4" s="44"/>
    </row>
    <row r="5" spans="1:21" x14ac:dyDescent="0.55000000000000004">
      <c r="A5" s="1" t="str">
        <f>'Population Definitions'!$A$5</f>
        <v>Gen 65+</v>
      </c>
      <c r="B5" s="1" t="s">
        <v>14</v>
      </c>
      <c r="C5" s="2" t="str">
        <f t="shared" si="0"/>
        <v>N.A.</v>
      </c>
      <c r="D5" s="1" t="s">
        <v>16</v>
      </c>
      <c r="E5" s="44">
        <f>17200000*'General Demographics'!E5/52680000/20</f>
        <v>5590.3487560110752</v>
      </c>
      <c r="F5" s="44"/>
      <c r="G5" s="44"/>
      <c r="H5" s="44"/>
      <c r="I5" s="44"/>
      <c r="J5" s="44"/>
      <c r="K5" s="44"/>
      <c r="L5" s="44"/>
      <c r="M5" s="44"/>
      <c r="N5" s="44"/>
      <c r="O5" s="44"/>
      <c r="P5" s="44"/>
      <c r="Q5" s="44"/>
      <c r="R5" s="44"/>
      <c r="S5" s="44">
        <v>42197.324705513573</v>
      </c>
      <c r="T5" s="44"/>
      <c r="U5" s="44"/>
    </row>
    <row r="6" spans="1:21" x14ac:dyDescent="0.55000000000000004">
      <c r="A6" s="1" t="str">
        <f>'Population Definitions'!$A$6</f>
        <v>PLHIV 15-64</v>
      </c>
      <c r="B6" s="1" t="s">
        <v>14</v>
      </c>
      <c r="C6" s="2" t="str">
        <f t="shared" si="0"/>
        <v>N.A.</v>
      </c>
      <c r="D6" s="1" t="s">
        <v>16</v>
      </c>
      <c r="E6" s="44">
        <f>17200000*'General Demographics'!E6/52680000/1.5</f>
        <v>256424.02701812718</v>
      </c>
      <c r="F6" s="22"/>
      <c r="G6" s="44"/>
      <c r="H6" s="44"/>
      <c r="I6" s="44"/>
      <c r="J6" s="44"/>
      <c r="K6" s="44"/>
      <c r="L6" s="44"/>
      <c r="M6" s="44"/>
      <c r="N6" s="44"/>
      <c r="O6" s="44"/>
      <c r="P6" s="44"/>
      <c r="Q6" s="44"/>
      <c r="R6" s="44"/>
      <c r="S6" s="44">
        <v>551722.72719308001</v>
      </c>
      <c r="T6" s="44"/>
      <c r="U6" s="44"/>
    </row>
    <row r="7" spans="1:21" x14ac:dyDescent="0.55000000000000004">
      <c r="A7" s="1" t="str">
        <f>'Population Definitions'!$A$7</f>
        <v>PLHIV 65+</v>
      </c>
      <c r="B7" s="1" t="s">
        <v>14</v>
      </c>
      <c r="C7" s="2" t="str">
        <f t="shared" si="0"/>
        <v>N.A.</v>
      </c>
      <c r="D7" s="1" t="s">
        <v>16</v>
      </c>
      <c r="E7" s="44">
        <f>17200000*'General Demographics'!E7/52680000*1/3</f>
        <v>1152.6492280435555</v>
      </c>
      <c r="F7" s="44"/>
      <c r="G7" s="44"/>
      <c r="H7" s="44"/>
      <c r="I7" s="44"/>
      <c r="J7" s="44"/>
      <c r="K7" s="44"/>
      <c r="L7" s="44"/>
      <c r="M7" s="44"/>
      <c r="N7" s="44"/>
      <c r="O7" s="44"/>
      <c r="P7" s="44"/>
      <c r="Q7" s="44"/>
      <c r="R7" s="44"/>
      <c r="S7" s="44">
        <v>7155.1557761551812</v>
      </c>
      <c r="T7" s="44"/>
      <c r="U7" s="44"/>
    </row>
    <row r="8" spans="1:21" x14ac:dyDescent="0.55000000000000004">
      <c r="A8" s="1" t="str">
        <f>'Population Definitions'!$A$8</f>
        <v>Prisoners</v>
      </c>
      <c r="B8" s="1" t="s">
        <v>14</v>
      </c>
      <c r="C8" s="2" t="str">
        <f t="shared" si="0"/>
        <v>N.A.</v>
      </c>
      <c r="D8" s="1" t="s">
        <v>16</v>
      </c>
      <c r="E8" s="44">
        <f>17200000*'General Demographics'!E8/52680000*1.75</f>
        <v>10560.4251980258</v>
      </c>
      <c r="F8" s="43"/>
      <c r="G8" s="44"/>
      <c r="H8" s="44"/>
      <c r="I8" s="44"/>
      <c r="J8" s="44"/>
      <c r="K8" s="44"/>
      <c r="L8" s="44"/>
      <c r="M8" s="44"/>
      <c r="N8" s="44"/>
      <c r="O8" s="44"/>
      <c r="P8" s="44"/>
      <c r="Q8" s="44"/>
      <c r="R8" s="44"/>
      <c r="S8" s="44">
        <v>17084.040246299999</v>
      </c>
      <c r="T8" s="44"/>
      <c r="U8" s="44"/>
    </row>
    <row r="9" spans="1:21" x14ac:dyDescent="0.55000000000000004">
      <c r="A9" s="1" t="str">
        <f>'Population Definitions'!$A$9</f>
        <v>PLHIV Prisoners</v>
      </c>
      <c r="B9" s="1" t="s">
        <v>14</v>
      </c>
      <c r="C9" s="2" t="str">
        <f t="shared" si="0"/>
        <v>N.A.</v>
      </c>
      <c r="D9" s="1" t="s">
        <v>16</v>
      </c>
      <c r="E9" s="44">
        <f>17200000*'General Demographics'!E9/52680000*1.9</f>
        <v>2866.4011251784309</v>
      </c>
      <c r="F9" s="43"/>
      <c r="G9" s="44"/>
      <c r="H9" s="44"/>
      <c r="I9" s="44"/>
      <c r="J9" s="44"/>
      <c r="K9" s="44"/>
      <c r="L9" s="44"/>
      <c r="M9" s="44"/>
      <c r="N9" s="44"/>
      <c r="O9" s="44"/>
      <c r="P9" s="44"/>
      <c r="Q9" s="44"/>
      <c r="R9" s="44"/>
      <c r="S9" s="44">
        <v>6155.1557761551803</v>
      </c>
      <c r="T9" s="44"/>
      <c r="U9" s="44"/>
    </row>
    <row r="10" spans="1:21" x14ac:dyDescent="0.55000000000000004">
      <c r="A10" s="1" t="str">
        <f>'Population Definitions'!$A$10</f>
        <v>HCW</v>
      </c>
      <c r="B10" s="1" t="s">
        <v>14</v>
      </c>
      <c r="C10" s="2" t="str">
        <f t="shared" si="0"/>
        <v>N.A.</v>
      </c>
      <c r="D10" s="1" t="s">
        <v>16</v>
      </c>
      <c r="E10" s="44">
        <f>17200000*'General Demographics'!E10/52680000</f>
        <v>8842.2498996991453</v>
      </c>
      <c r="F10" s="44"/>
      <c r="G10" s="44"/>
      <c r="H10" s="44"/>
      <c r="I10" s="44"/>
      <c r="J10" s="44"/>
      <c r="K10" s="44"/>
      <c r="L10" s="44"/>
      <c r="M10" s="44"/>
      <c r="N10" s="44"/>
      <c r="O10" s="44"/>
      <c r="P10" s="44"/>
      <c r="Q10" s="44"/>
      <c r="R10" s="44"/>
      <c r="S10" s="44">
        <f>17200000*'General Demographics'!S10/52680000</f>
        <v>12944.34375</v>
      </c>
      <c r="T10" s="44"/>
      <c r="U10" s="44"/>
    </row>
    <row r="11" spans="1:21" x14ac:dyDescent="0.55000000000000004">
      <c r="A11" s="1" t="str">
        <f>'Population Definitions'!$A$11</f>
        <v>PLHIV HCW</v>
      </c>
      <c r="B11" s="1" t="s">
        <v>14</v>
      </c>
      <c r="C11" s="2" t="str">
        <f t="shared" si="0"/>
        <v>N.A.</v>
      </c>
      <c r="D11" s="1" t="s">
        <v>16</v>
      </c>
      <c r="E11" s="44">
        <f>17200000*'General Demographics'!E11/52680000</f>
        <v>2611.9969627942291</v>
      </c>
      <c r="F11" s="44"/>
      <c r="G11" s="44"/>
      <c r="H11" s="44"/>
      <c r="I11" s="44"/>
      <c r="J11" s="44"/>
      <c r="K11" s="44"/>
      <c r="L11" s="44"/>
      <c r="M11" s="44"/>
      <c r="N11" s="44"/>
      <c r="O11" s="44"/>
      <c r="P11" s="44"/>
      <c r="Q11" s="44"/>
      <c r="R11" s="44"/>
      <c r="S11" s="44">
        <f>17200000*'General Demographics'!S11/52680000</f>
        <v>4087.6874999999995</v>
      </c>
      <c r="T11" s="44"/>
      <c r="U11" s="44"/>
    </row>
    <row r="12" spans="1:21" x14ac:dyDescent="0.55000000000000004">
      <c r="A12" s="1" t="str">
        <f>'Population Definitions'!$A$12</f>
        <v>Miners</v>
      </c>
      <c r="B12" s="1" t="s">
        <v>14</v>
      </c>
      <c r="C12" s="2" t="str">
        <f t="shared" si="0"/>
        <v>N.A.</v>
      </c>
      <c r="D12" s="1" t="s">
        <v>16</v>
      </c>
      <c r="E12" s="44">
        <f>17200000*'General Demographics'!E12/52680000/8</f>
        <v>3246.790788724385</v>
      </c>
      <c r="F12" s="44"/>
      <c r="G12" s="44"/>
      <c r="H12" s="44"/>
      <c r="I12" s="44"/>
      <c r="J12" s="44"/>
      <c r="K12" s="44"/>
      <c r="L12" s="44"/>
      <c r="M12" s="44"/>
      <c r="N12" s="44"/>
      <c r="O12" s="44"/>
      <c r="P12" s="44"/>
      <c r="Q12" s="44"/>
      <c r="R12" s="44"/>
      <c r="S12" s="44">
        <f>17200000*'General Demographics'!S12/52680000</f>
        <v>16173.485193621867</v>
      </c>
      <c r="T12" s="44"/>
      <c r="U12" s="44"/>
    </row>
    <row r="13" spans="1:21" x14ac:dyDescent="0.55000000000000004">
      <c r="A13" s="1" t="str">
        <f>'Population Definitions'!$A$13</f>
        <v>PLHIV Miners</v>
      </c>
      <c r="B13" s="1" t="s">
        <v>14</v>
      </c>
      <c r="C13" s="2" t="str">
        <f t="shared" si="0"/>
        <v>N.A.</v>
      </c>
      <c r="D13" s="1" t="s">
        <v>16</v>
      </c>
      <c r="E13" s="44">
        <f>17200000*'General Demographics'!E13/52680000/8</f>
        <v>667.37848804100042</v>
      </c>
      <c r="F13" s="44"/>
      <c r="G13" s="44"/>
      <c r="H13" s="44"/>
      <c r="I13" s="44"/>
      <c r="J13" s="44"/>
      <c r="K13" s="44"/>
      <c r="L13" s="44"/>
      <c r="M13" s="44"/>
      <c r="N13" s="44"/>
      <c r="O13" s="44"/>
      <c r="P13" s="44"/>
      <c r="Q13" s="44"/>
      <c r="R13" s="44"/>
      <c r="S13" s="44">
        <f>17200000*'General Demographics'!S13/52680000</f>
        <v>2632.8929384965836</v>
      </c>
      <c r="T13" s="44"/>
      <c r="U13" s="44"/>
    </row>
    <row r="14" spans="1:21" x14ac:dyDescent="0.55000000000000004">
      <c r="E14" s="37"/>
      <c r="F14" s="37"/>
      <c r="G14" s="37"/>
      <c r="H14" s="37"/>
      <c r="I14" s="37"/>
      <c r="J14" s="37"/>
      <c r="K14" s="37"/>
      <c r="L14" s="37"/>
      <c r="M14" s="37"/>
      <c r="N14" s="37"/>
      <c r="O14" s="37"/>
      <c r="P14" s="37"/>
      <c r="Q14" s="37"/>
      <c r="R14" s="37"/>
      <c r="S14" s="37"/>
      <c r="T14" s="37"/>
      <c r="U14" s="37"/>
    </row>
    <row r="15" spans="1:21" x14ac:dyDescent="0.55000000000000004">
      <c r="A15" s="21" t="s">
        <v>26</v>
      </c>
      <c r="B15" s="1" t="s">
        <v>8</v>
      </c>
      <c r="C15" s="1" t="s">
        <v>9</v>
      </c>
      <c r="D15" s="1"/>
      <c r="E15" s="41">
        <v>2000</v>
      </c>
      <c r="F15" s="41">
        <v>2001</v>
      </c>
      <c r="G15" s="41">
        <v>2002</v>
      </c>
      <c r="H15" s="41">
        <v>2003</v>
      </c>
      <c r="I15" s="41">
        <v>2004</v>
      </c>
      <c r="J15" s="41">
        <v>2005</v>
      </c>
      <c r="K15" s="41">
        <v>2006</v>
      </c>
      <c r="L15" s="41">
        <v>2007</v>
      </c>
      <c r="M15" s="41">
        <v>2008</v>
      </c>
      <c r="N15" s="41">
        <v>2009</v>
      </c>
      <c r="O15" s="41">
        <v>2010</v>
      </c>
      <c r="P15" s="41">
        <v>2011</v>
      </c>
      <c r="Q15" s="41">
        <v>2012</v>
      </c>
      <c r="R15" s="41">
        <v>2013</v>
      </c>
      <c r="S15" s="41">
        <v>2014</v>
      </c>
      <c r="T15" s="41">
        <v>2015</v>
      </c>
      <c r="U15" s="41">
        <v>2016</v>
      </c>
    </row>
    <row r="16" spans="1:21" x14ac:dyDescent="0.55000000000000004">
      <c r="A16" s="1" t="str">
        <f>'Population Definitions'!$A$2</f>
        <v>Gen 0-4</v>
      </c>
      <c r="B16" s="1" t="s">
        <v>14</v>
      </c>
      <c r="C16" s="2" t="str">
        <f t="shared" ref="C16:C27" si="1">IF(SUMPRODUCT(--(E16:U16&lt;&gt;""))=0,0,"N.A.")</f>
        <v>N.A.</v>
      </c>
      <c r="D16" s="1" t="s">
        <v>16</v>
      </c>
      <c r="E16" s="44">
        <f>0.1*E2</f>
        <v>23978.344343204255</v>
      </c>
      <c r="F16" s="44"/>
      <c r="G16" s="44"/>
      <c r="H16" s="44"/>
      <c r="I16" s="44"/>
      <c r="J16" s="44"/>
      <c r="K16" s="44"/>
      <c r="L16" s="44"/>
      <c r="M16" s="44"/>
      <c r="N16" s="44"/>
      <c r="O16" s="44"/>
      <c r="P16" s="44"/>
      <c r="Q16" s="44"/>
      <c r="R16" s="44"/>
      <c r="S16" s="44"/>
      <c r="T16" s="44"/>
      <c r="U16" s="44"/>
    </row>
    <row r="17" spans="1:21" x14ac:dyDescent="0.55000000000000004">
      <c r="A17" s="1" t="str">
        <f>'Population Definitions'!$A$3</f>
        <v>Gen 5-14</v>
      </c>
      <c r="B17" s="1" t="s">
        <v>14</v>
      </c>
      <c r="C17" s="2" t="str">
        <f t="shared" si="1"/>
        <v>N.A.</v>
      </c>
      <c r="D17" s="1" t="s">
        <v>16</v>
      </c>
      <c r="E17" s="44">
        <f t="shared" ref="E17:E27" si="2">0.1*E3</f>
        <v>1881.1506352822039</v>
      </c>
      <c r="F17" s="44"/>
      <c r="G17" s="44"/>
      <c r="H17" s="44"/>
      <c r="I17" s="44"/>
      <c r="J17" s="44"/>
      <c r="K17" s="44"/>
      <c r="L17" s="44"/>
      <c r="M17" s="44"/>
      <c r="N17" s="44"/>
      <c r="O17" s="44"/>
      <c r="P17" s="44"/>
      <c r="Q17" s="44"/>
      <c r="R17" s="44"/>
      <c r="S17" s="44"/>
      <c r="T17" s="44"/>
      <c r="U17" s="44"/>
    </row>
    <row r="18" spans="1:21" x14ac:dyDescent="0.55000000000000004">
      <c r="A18" s="1" t="str">
        <f>'Population Definitions'!$A$4</f>
        <v>Gen 15-64</v>
      </c>
      <c r="B18" s="1" t="s">
        <v>14</v>
      </c>
      <c r="C18" s="2" t="str">
        <f t="shared" si="1"/>
        <v>N.A.</v>
      </c>
      <c r="D18" s="1" t="s">
        <v>16</v>
      </c>
      <c r="E18" s="44">
        <f>0.08*E4</f>
        <v>111046.39073066738</v>
      </c>
      <c r="F18" s="44"/>
      <c r="G18" s="44"/>
      <c r="H18" s="44"/>
      <c r="I18" s="44"/>
      <c r="J18" s="44"/>
      <c r="K18" s="44"/>
      <c r="L18" s="44"/>
      <c r="M18" s="44"/>
      <c r="N18" s="44"/>
      <c r="O18" s="44"/>
      <c r="P18" s="44"/>
      <c r="Q18" s="44"/>
      <c r="R18" s="44"/>
      <c r="S18" s="44"/>
      <c r="T18" s="44"/>
      <c r="U18" s="44"/>
    </row>
    <row r="19" spans="1:21" x14ac:dyDescent="0.55000000000000004">
      <c r="A19" s="1" t="str">
        <f>'Population Definitions'!$A$5</f>
        <v>Gen 65+</v>
      </c>
      <c r="B19" s="1" t="s">
        <v>14</v>
      </c>
      <c r="C19" s="2" t="str">
        <f t="shared" si="1"/>
        <v>N.A.</v>
      </c>
      <c r="D19" s="1" t="s">
        <v>16</v>
      </c>
      <c r="E19" s="44">
        <f>0.1*E5</f>
        <v>559.0348756011075</v>
      </c>
      <c r="F19" s="44"/>
      <c r="G19" s="44"/>
      <c r="H19" s="44"/>
      <c r="I19" s="44"/>
      <c r="J19" s="44"/>
      <c r="K19" s="44"/>
      <c r="L19" s="44"/>
      <c r="M19" s="44"/>
      <c r="N19" s="44"/>
      <c r="O19" s="44"/>
      <c r="P19" s="44"/>
      <c r="Q19" s="44"/>
      <c r="R19" s="44"/>
      <c r="S19" s="44"/>
      <c r="T19" s="44"/>
      <c r="U19" s="44"/>
    </row>
    <row r="20" spans="1:21" x14ac:dyDescent="0.55000000000000004">
      <c r="A20" s="1" t="str">
        <f>'Population Definitions'!$A$6</f>
        <v>PLHIV 15-64</v>
      </c>
      <c r="B20" s="1" t="s">
        <v>14</v>
      </c>
      <c r="C20" s="2" t="str">
        <f t="shared" si="1"/>
        <v>N.A.</v>
      </c>
      <c r="D20" s="1" t="s">
        <v>16</v>
      </c>
      <c r="E20" s="44">
        <f>0.1*E6</f>
        <v>25642.40270181272</v>
      </c>
      <c r="F20" s="44"/>
      <c r="G20" s="44"/>
      <c r="H20" s="44"/>
      <c r="I20" s="44"/>
      <c r="J20" s="44"/>
      <c r="K20" s="44"/>
      <c r="L20" s="44"/>
      <c r="M20" s="44"/>
      <c r="N20" s="44"/>
      <c r="O20" s="44"/>
      <c r="P20" s="44"/>
      <c r="Q20" s="44"/>
      <c r="R20" s="44"/>
      <c r="S20" s="44"/>
      <c r="T20" s="44"/>
      <c r="U20" s="44"/>
    </row>
    <row r="21" spans="1:21" x14ac:dyDescent="0.55000000000000004">
      <c r="A21" s="1" t="str">
        <f>'Population Definitions'!$A$7</f>
        <v>PLHIV 65+</v>
      </c>
      <c r="B21" s="1" t="s">
        <v>14</v>
      </c>
      <c r="C21" s="2" t="str">
        <f t="shared" si="1"/>
        <v>N.A.</v>
      </c>
      <c r="D21" s="1" t="s">
        <v>16</v>
      </c>
      <c r="E21" s="44">
        <f>0.1*E7</f>
        <v>115.26492280435555</v>
      </c>
      <c r="F21" s="44"/>
      <c r="G21" s="44"/>
      <c r="H21" s="44"/>
      <c r="I21" s="44"/>
      <c r="J21" s="44"/>
      <c r="K21" s="44"/>
      <c r="L21" s="44"/>
      <c r="M21" s="44"/>
      <c r="N21" s="44"/>
      <c r="O21" s="44"/>
      <c r="P21" s="44"/>
      <c r="Q21" s="44"/>
      <c r="R21" s="44"/>
      <c r="S21" s="44"/>
      <c r="T21" s="44"/>
      <c r="U21" s="44"/>
    </row>
    <row r="22" spans="1:21" x14ac:dyDescent="0.55000000000000004">
      <c r="A22" s="1" t="str">
        <f>'Population Definitions'!$A$8</f>
        <v>Prisoners</v>
      </c>
      <c r="B22" s="1" t="s">
        <v>14</v>
      </c>
      <c r="C22" s="2" t="str">
        <f t="shared" si="1"/>
        <v>N.A.</v>
      </c>
      <c r="D22" s="1" t="s">
        <v>16</v>
      </c>
      <c r="E22" s="44">
        <f>0.3*E8</f>
        <v>3168.1275594077397</v>
      </c>
      <c r="F22" s="44"/>
      <c r="G22" s="44"/>
      <c r="H22" s="44"/>
      <c r="I22" s="44"/>
      <c r="J22" s="44"/>
      <c r="K22" s="44"/>
      <c r="L22" s="44"/>
      <c r="M22" s="44"/>
      <c r="N22" s="44"/>
      <c r="O22" s="44"/>
      <c r="P22" s="44"/>
      <c r="Q22" s="44"/>
      <c r="R22" s="44"/>
      <c r="S22" s="44"/>
      <c r="T22" s="44"/>
      <c r="U22" s="44"/>
    </row>
    <row r="23" spans="1:21" x14ac:dyDescent="0.55000000000000004">
      <c r="A23" s="1" t="str">
        <f>'Population Definitions'!$A$9</f>
        <v>PLHIV Prisoners</v>
      </c>
      <c r="B23" s="1" t="s">
        <v>14</v>
      </c>
      <c r="C23" s="2" t="str">
        <f t="shared" si="1"/>
        <v>N.A.</v>
      </c>
      <c r="D23" s="1" t="s">
        <v>16</v>
      </c>
      <c r="E23" s="44">
        <f>0.15*E9</f>
        <v>429.96016877676465</v>
      </c>
      <c r="F23" s="44"/>
      <c r="G23" s="44"/>
      <c r="H23" s="44"/>
      <c r="I23" s="44"/>
      <c r="J23" s="44"/>
      <c r="K23" s="44"/>
      <c r="L23" s="44"/>
      <c r="M23" s="44"/>
      <c r="N23" s="44"/>
      <c r="O23" s="44"/>
      <c r="P23" s="44"/>
      <c r="Q23" s="44"/>
      <c r="R23" s="44"/>
      <c r="S23" s="44"/>
      <c r="T23" s="44"/>
      <c r="U23" s="44"/>
    </row>
    <row r="24" spans="1:21" x14ac:dyDescent="0.55000000000000004">
      <c r="A24" s="1" t="str">
        <f>'Population Definitions'!$A$10</f>
        <v>HCW</v>
      </c>
      <c r="B24" s="1" t="s">
        <v>14</v>
      </c>
      <c r="C24" s="2" t="str">
        <f t="shared" si="1"/>
        <v>N.A.</v>
      </c>
      <c r="D24" s="1" t="s">
        <v>16</v>
      </c>
      <c r="E24" s="44">
        <f t="shared" si="2"/>
        <v>884.22498996991453</v>
      </c>
      <c r="F24" s="44"/>
      <c r="G24" s="44"/>
      <c r="H24" s="44"/>
      <c r="I24" s="44"/>
      <c r="J24" s="44"/>
      <c r="K24" s="44"/>
      <c r="L24" s="44"/>
      <c r="M24" s="44"/>
      <c r="N24" s="44"/>
      <c r="O24" s="44"/>
      <c r="P24" s="44"/>
      <c r="Q24" s="44"/>
      <c r="R24" s="44"/>
      <c r="S24" s="44"/>
      <c r="T24" s="44"/>
      <c r="U24" s="44"/>
    </row>
    <row r="25" spans="1:21" x14ac:dyDescent="0.55000000000000004">
      <c r="A25" s="1" t="str">
        <f>'Population Definitions'!$A$11</f>
        <v>PLHIV HCW</v>
      </c>
      <c r="B25" s="1" t="s">
        <v>14</v>
      </c>
      <c r="C25" s="2" t="str">
        <f t="shared" si="1"/>
        <v>N.A.</v>
      </c>
      <c r="D25" s="1" t="s">
        <v>16</v>
      </c>
      <c r="E25" s="44">
        <f>0.6*E11</f>
        <v>1567.1981776765374</v>
      </c>
      <c r="F25" s="44"/>
      <c r="G25" s="44"/>
      <c r="H25" s="44"/>
      <c r="I25" s="44"/>
      <c r="J25" s="44"/>
      <c r="K25" s="44"/>
      <c r="L25" s="44"/>
      <c r="M25" s="44"/>
      <c r="N25" s="44"/>
      <c r="O25" s="44"/>
      <c r="P25" s="44"/>
      <c r="Q25" s="44"/>
      <c r="R25" s="44"/>
      <c r="S25" s="44"/>
      <c r="T25" s="44"/>
      <c r="U25" s="44"/>
    </row>
    <row r="26" spans="1:21" x14ac:dyDescent="0.55000000000000004">
      <c r="A26" s="1" t="str">
        <f>'Population Definitions'!$A$12</f>
        <v>Miners</v>
      </c>
      <c r="B26" s="1" t="s">
        <v>14</v>
      </c>
      <c r="C26" s="2" t="str">
        <f t="shared" si="1"/>
        <v>N.A.</v>
      </c>
      <c r="D26" s="1" t="s">
        <v>16</v>
      </c>
      <c r="E26" s="44">
        <f t="shared" si="2"/>
        <v>324.67907887243854</v>
      </c>
      <c r="F26" s="44"/>
      <c r="G26" s="44"/>
      <c r="H26" s="44"/>
      <c r="I26" s="44"/>
      <c r="J26" s="44"/>
      <c r="K26" s="44"/>
      <c r="L26" s="44"/>
      <c r="M26" s="44"/>
      <c r="N26" s="44"/>
      <c r="O26" s="44"/>
      <c r="P26" s="44"/>
      <c r="Q26" s="44"/>
      <c r="R26" s="44"/>
      <c r="S26" s="44"/>
      <c r="T26" s="44"/>
      <c r="U26" s="44"/>
    </row>
    <row r="27" spans="1:21" x14ac:dyDescent="0.55000000000000004">
      <c r="A27" s="1" t="str">
        <f>'Population Definitions'!$A$13</f>
        <v>PLHIV Miners</v>
      </c>
      <c r="B27" s="1" t="s">
        <v>14</v>
      </c>
      <c r="C27" s="2" t="str">
        <f t="shared" si="1"/>
        <v>N.A.</v>
      </c>
      <c r="D27" s="1" t="s">
        <v>16</v>
      </c>
      <c r="E27" s="44">
        <f t="shared" si="2"/>
        <v>66.73784880410004</v>
      </c>
      <c r="F27" s="44"/>
      <c r="G27" s="44"/>
      <c r="H27" s="44"/>
      <c r="I27" s="44"/>
      <c r="J27" s="44"/>
      <c r="K27" s="44"/>
      <c r="L27" s="44"/>
      <c r="M27" s="44"/>
      <c r="N27" s="44"/>
      <c r="O27" s="44"/>
      <c r="P27" s="44"/>
      <c r="Q27" s="44"/>
      <c r="R27" s="44"/>
      <c r="S27" s="44"/>
      <c r="T27" s="44"/>
      <c r="U27" s="44"/>
    </row>
    <row r="28" spans="1:21" x14ac:dyDescent="0.55000000000000004">
      <c r="E28" s="37"/>
      <c r="F28" s="37"/>
      <c r="G28" s="37"/>
      <c r="H28" s="37"/>
      <c r="I28" s="37"/>
      <c r="J28" s="37"/>
      <c r="K28" s="37"/>
      <c r="L28" s="37"/>
      <c r="M28" s="37"/>
      <c r="N28" s="37"/>
      <c r="O28" s="37"/>
      <c r="P28" s="37"/>
      <c r="Q28" s="37"/>
      <c r="R28" s="37"/>
      <c r="S28" s="37"/>
      <c r="T28" s="37"/>
      <c r="U28" s="37"/>
    </row>
    <row r="29" spans="1:21" x14ac:dyDescent="0.55000000000000004">
      <c r="A29" s="21" t="s">
        <v>34</v>
      </c>
      <c r="B29" s="1" t="s">
        <v>8</v>
      </c>
      <c r="C29" s="1" t="s">
        <v>9</v>
      </c>
      <c r="D29" s="1"/>
      <c r="E29" s="41">
        <v>2000</v>
      </c>
      <c r="F29" s="41">
        <v>2001</v>
      </c>
      <c r="G29" s="41">
        <v>2002</v>
      </c>
      <c r="H29" s="41">
        <v>2003</v>
      </c>
      <c r="I29" s="41">
        <v>2004</v>
      </c>
      <c r="J29" s="41">
        <v>2005</v>
      </c>
      <c r="K29" s="41">
        <v>2006</v>
      </c>
      <c r="L29" s="41">
        <v>2007</v>
      </c>
      <c r="M29" s="41">
        <v>2008</v>
      </c>
      <c r="N29" s="41">
        <v>2009</v>
      </c>
      <c r="O29" s="41">
        <v>2010</v>
      </c>
      <c r="P29" s="41">
        <v>2011</v>
      </c>
      <c r="Q29" s="41">
        <v>2012</v>
      </c>
      <c r="R29" s="41">
        <v>2013</v>
      </c>
      <c r="S29" s="41">
        <v>2014</v>
      </c>
      <c r="T29" s="41">
        <v>2015</v>
      </c>
      <c r="U29" s="41">
        <v>2016</v>
      </c>
    </row>
    <row r="30" spans="1:21" x14ac:dyDescent="0.55000000000000004">
      <c r="A30" s="1" t="str">
        <f>'Population Definitions'!$A$2</f>
        <v>Gen 0-4</v>
      </c>
      <c r="B30" s="1" t="s">
        <v>14</v>
      </c>
      <c r="C30" s="2" t="str">
        <f t="shared" ref="C30:C41" si="3">IF(SUMPRODUCT(--(E30:U30&lt;&gt;""))=0,0,"N.A.")</f>
        <v>N.A.</v>
      </c>
      <c r="D30" s="1" t="s">
        <v>16</v>
      </c>
      <c r="E30" s="44">
        <f>E2-E16</f>
        <v>215805.09908883827</v>
      </c>
      <c r="F30" s="44"/>
      <c r="G30" s="44"/>
      <c r="H30" s="44"/>
      <c r="I30" s="44"/>
      <c r="J30" s="44"/>
      <c r="K30" s="44"/>
      <c r="L30" s="44"/>
      <c r="M30" s="44"/>
      <c r="N30" s="44"/>
      <c r="O30" s="44"/>
      <c r="P30" s="44"/>
      <c r="Q30" s="44"/>
      <c r="R30" s="44"/>
      <c r="S30" s="44"/>
      <c r="T30" s="44"/>
      <c r="U30" s="44"/>
    </row>
    <row r="31" spans="1:21" x14ac:dyDescent="0.55000000000000004">
      <c r="A31" s="1" t="str">
        <f>'Population Definitions'!$A$3</f>
        <v>Gen 5-14</v>
      </c>
      <c r="B31" s="1" t="s">
        <v>14</v>
      </c>
      <c r="C31" s="2" t="str">
        <f t="shared" si="3"/>
        <v>N.A.</v>
      </c>
      <c r="D31" s="1" t="s">
        <v>16</v>
      </c>
      <c r="E31" s="44">
        <f t="shared" ref="E31:E41" si="4">E3-E17</f>
        <v>16930.355717539835</v>
      </c>
      <c r="F31" s="44"/>
      <c r="G31" s="44"/>
      <c r="H31" s="44"/>
      <c r="I31" s="44"/>
      <c r="J31" s="44"/>
      <c r="K31" s="44"/>
      <c r="L31" s="44"/>
      <c r="M31" s="44"/>
      <c r="N31" s="44"/>
      <c r="O31" s="44"/>
      <c r="P31" s="44"/>
      <c r="Q31" s="44"/>
      <c r="R31" s="44"/>
      <c r="S31" s="44"/>
      <c r="T31" s="44"/>
      <c r="U31" s="44"/>
    </row>
    <row r="32" spans="1:21" x14ac:dyDescent="0.55000000000000004">
      <c r="A32" s="1" t="str">
        <f>'Population Definitions'!$A$4</f>
        <v>Gen 15-64</v>
      </c>
      <c r="B32" s="1" t="s">
        <v>14</v>
      </c>
      <c r="C32" s="2" t="str">
        <f t="shared" si="3"/>
        <v>N.A.</v>
      </c>
      <c r="D32" s="1" t="s">
        <v>16</v>
      </c>
      <c r="E32" s="44">
        <f t="shared" si="4"/>
        <v>1277033.4934026748</v>
      </c>
      <c r="F32" s="44"/>
      <c r="G32" s="44"/>
      <c r="H32" s="44"/>
      <c r="I32" s="44"/>
      <c r="J32" s="44"/>
      <c r="K32" s="44"/>
      <c r="L32" s="44"/>
      <c r="M32" s="44"/>
      <c r="N32" s="44"/>
      <c r="O32" s="44"/>
      <c r="P32" s="44"/>
      <c r="Q32" s="44"/>
      <c r="R32" s="44"/>
      <c r="S32" s="44"/>
      <c r="T32" s="44"/>
      <c r="U32" s="44"/>
    </row>
    <row r="33" spans="1:21" x14ac:dyDescent="0.55000000000000004">
      <c r="A33" s="1" t="str">
        <f>'Population Definitions'!$A$5</f>
        <v>Gen 65+</v>
      </c>
      <c r="B33" s="1" t="s">
        <v>14</v>
      </c>
      <c r="C33" s="2" t="str">
        <f t="shared" si="3"/>
        <v>N.A.</v>
      </c>
      <c r="D33" s="1" t="s">
        <v>16</v>
      </c>
      <c r="E33" s="44">
        <f t="shared" si="4"/>
        <v>5031.3138804099681</v>
      </c>
      <c r="F33" s="44"/>
      <c r="G33" s="44"/>
      <c r="H33" s="44"/>
      <c r="I33" s="44"/>
      <c r="J33" s="44"/>
      <c r="K33" s="44"/>
      <c r="L33" s="44"/>
      <c r="M33" s="44"/>
      <c r="N33" s="44"/>
      <c r="O33" s="44"/>
      <c r="P33" s="44"/>
      <c r="Q33" s="44"/>
      <c r="R33" s="44"/>
      <c r="S33" s="44"/>
      <c r="T33" s="44"/>
      <c r="U33" s="44"/>
    </row>
    <row r="34" spans="1:21" x14ac:dyDescent="0.55000000000000004">
      <c r="A34" s="1" t="str">
        <f>'Population Definitions'!$A$6</f>
        <v>PLHIV 15-64</v>
      </c>
      <c r="B34" s="1" t="s">
        <v>14</v>
      </c>
      <c r="C34" s="2" t="str">
        <f t="shared" si="3"/>
        <v>N.A.</v>
      </c>
      <c r="D34" s="1" t="s">
        <v>16</v>
      </c>
      <c r="E34" s="44">
        <f t="shared" si="4"/>
        <v>230781.62431631447</v>
      </c>
      <c r="F34" s="44"/>
      <c r="G34" s="44"/>
      <c r="H34" s="44"/>
      <c r="I34" s="44"/>
      <c r="J34" s="44"/>
      <c r="K34" s="44"/>
      <c r="L34" s="44"/>
      <c r="M34" s="44"/>
      <c r="N34" s="44"/>
      <c r="O34" s="44"/>
      <c r="P34" s="44"/>
      <c r="Q34" s="44"/>
      <c r="R34" s="44"/>
      <c r="S34" s="44"/>
      <c r="T34" s="44"/>
      <c r="U34" s="44"/>
    </row>
    <row r="35" spans="1:21" x14ac:dyDescent="0.55000000000000004">
      <c r="A35" s="1" t="str">
        <f>'Population Definitions'!$A$7</f>
        <v>PLHIV 65+</v>
      </c>
      <c r="B35" s="1" t="s">
        <v>14</v>
      </c>
      <c r="C35" s="2" t="str">
        <f t="shared" si="3"/>
        <v>N.A.</v>
      </c>
      <c r="D35" s="1" t="s">
        <v>16</v>
      </c>
      <c r="E35" s="44">
        <f t="shared" si="4"/>
        <v>1037.3843052391999</v>
      </c>
      <c r="F35" s="44"/>
      <c r="G35" s="44"/>
      <c r="H35" s="44"/>
      <c r="I35" s="44"/>
      <c r="J35" s="44"/>
      <c r="K35" s="44"/>
      <c r="L35" s="44"/>
      <c r="M35" s="44"/>
      <c r="N35" s="44"/>
      <c r="O35" s="44"/>
      <c r="P35" s="44"/>
      <c r="Q35" s="44"/>
      <c r="R35" s="44"/>
      <c r="S35" s="44"/>
      <c r="T35" s="44"/>
      <c r="U35" s="44"/>
    </row>
    <row r="36" spans="1:21" x14ac:dyDescent="0.55000000000000004">
      <c r="A36" s="1" t="str">
        <f>'Population Definitions'!$A$8</f>
        <v>Prisoners</v>
      </c>
      <c r="B36" s="1" t="s">
        <v>14</v>
      </c>
      <c r="C36" s="2" t="str">
        <f t="shared" si="3"/>
        <v>N.A.</v>
      </c>
      <c r="D36" s="1" t="s">
        <v>16</v>
      </c>
      <c r="E36" s="44">
        <f t="shared" si="4"/>
        <v>7392.2976386180599</v>
      </c>
      <c r="F36" s="44"/>
      <c r="G36" s="44"/>
      <c r="H36" s="44"/>
      <c r="I36" s="44"/>
      <c r="J36" s="44"/>
      <c r="K36" s="44"/>
      <c r="L36" s="44"/>
      <c r="M36" s="44"/>
      <c r="N36" s="44"/>
      <c r="O36" s="44"/>
      <c r="P36" s="44"/>
      <c r="Q36" s="44"/>
      <c r="R36" s="44"/>
      <c r="S36" s="44"/>
      <c r="T36" s="44"/>
      <c r="U36" s="44"/>
    </row>
    <row r="37" spans="1:21" x14ac:dyDescent="0.55000000000000004">
      <c r="A37" s="1" t="str">
        <f>'Population Definitions'!$A$9</f>
        <v>PLHIV Prisoners</v>
      </c>
      <c r="B37" s="1" t="s">
        <v>14</v>
      </c>
      <c r="C37" s="2" t="str">
        <f t="shared" si="3"/>
        <v>N.A.</v>
      </c>
      <c r="D37" s="1" t="s">
        <v>16</v>
      </c>
      <c r="E37" s="44">
        <f t="shared" si="4"/>
        <v>2436.4409564016664</v>
      </c>
      <c r="F37" s="44"/>
      <c r="G37" s="44"/>
      <c r="H37" s="44"/>
      <c r="I37" s="44"/>
      <c r="J37" s="44"/>
      <c r="K37" s="44"/>
      <c r="L37" s="44"/>
      <c r="M37" s="44"/>
      <c r="N37" s="44"/>
      <c r="O37" s="44"/>
      <c r="P37" s="44"/>
      <c r="Q37" s="44"/>
      <c r="R37" s="44"/>
      <c r="S37" s="44"/>
      <c r="T37" s="44"/>
      <c r="U37" s="44"/>
    </row>
    <row r="38" spans="1:21" x14ac:dyDescent="0.55000000000000004">
      <c r="A38" s="1" t="str">
        <f>'Population Definitions'!$A$10</f>
        <v>HCW</v>
      </c>
      <c r="B38" s="1" t="s">
        <v>14</v>
      </c>
      <c r="C38" s="2" t="str">
        <f t="shared" si="3"/>
        <v>N.A.</v>
      </c>
      <c r="D38" s="1" t="s">
        <v>16</v>
      </c>
      <c r="E38" s="44">
        <f t="shared" si="4"/>
        <v>7958.0249097292308</v>
      </c>
      <c r="F38" s="44"/>
      <c r="G38" s="44"/>
      <c r="H38" s="44"/>
      <c r="I38" s="44"/>
      <c r="J38" s="44"/>
      <c r="K38" s="44"/>
      <c r="L38" s="44"/>
      <c r="M38" s="44"/>
      <c r="N38" s="44"/>
      <c r="O38" s="44"/>
      <c r="P38" s="44"/>
      <c r="Q38" s="44"/>
      <c r="R38" s="44"/>
      <c r="S38" s="44"/>
      <c r="T38" s="44"/>
      <c r="U38" s="44"/>
    </row>
    <row r="39" spans="1:21" x14ac:dyDescent="0.55000000000000004">
      <c r="A39" s="1" t="str">
        <f>'Population Definitions'!$A$11</f>
        <v>PLHIV HCW</v>
      </c>
      <c r="B39" s="1" t="s">
        <v>14</v>
      </c>
      <c r="C39" s="2" t="str">
        <f t="shared" si="3"/>
        <v>N.A.</v>
      </c>
      <c r="D39" s="1" t="s">
        <v>16</v>
      </c>
      <c r="E39" s="44">
        <f t="shared" si="4"/>
        <v>1044.7987851176918</v>
      </c>
      <c r="F39" s="44"/>
      <c r="G39" s="44"/>
      <c r="H39" s="44"/>
      <c r="I39" s="44"/>
      <c r="J39" s="44"/>
      <c r="K39" s="44"/>
      <c r="L39" s="44"/>
      <c r="M39" s="44"/>
      <c r="N39" s="44"/>
      <c r="O39" s="44"/>
      <c r="P39" s="44"/>
      <c r="Q39" s="44"/>
      <c r="R39" s="44"/>
      <c r="S39" s="44"/>
      <c r="T39" s="44"/>
      <c r="U39" s="44"/>
    </row>
    <row r="40" spans="1:21" x14ac:dyDescent="0.55000000000000004">
      <c r="A40" s="1" t="str">
        <f>'Population Definitions'!$A$12</f>
        <v>Miners</v>
      </c>
      <c r="B40" s="1" t="s">
        <v>14</v>
      </c>
      <c r="C40" s="2" t="str">
        <f t="shared" si="3"/>
        <v>N.A.</v>
      </c>
      <c r="D40" s="1" t="s">
        <v>16</v>
      </c>
      <c r="E40" s="44">
        <f t="shared" si="4"/>
        <v>2922.1117098519467</v>
      </c>
      <c r="F40" s="44"/>
      <c r="G40" s="44"/>
      <c r="H40" s="44"/>
      <c r="I40" s="44"/>
      <c r="J40" s="44"/>
      <c r="K40" s="44"/>
      <c r="L40" s="44"/>
      <c r="M40" s="44"/>
      <c r="N40" s="44"/>
      <c r="O40" s="44"/>
      <c r="P40" s="44"/>
      <c r="Q40" s="44"/>
      <c r="R40" s="44"/>
      <c r="S40" s="44"/>
      <c r="T40" s="44"/>
      <c r="U40" s="44"/>
    </row>
    <row r="41" spans="1:21" x14ac:dyDescent="0.55000000000000004">
      <c r="A41" s="1" t="str">
        <f>'Population Definitions'!$A$13</f>
        <v>PLHIV Miners</v>
      </c>
      <c r="B41" s="1" t="s">
        <v>14</v>
      </c>
      <c r="C41" s="2" t="str">
        <f t="shared" si="3"/>
        <v>N.A.</v>
      </c>
      <c r="D41" s="1" t="s">
        <v>16</v>
      </c>
      <c r="E41" s="44">
        <f t="shared" si="4"/>
        <v>600.64063923690037</v>
      </c>
      <c r="F41" s="44"/>
      <c r="G41" s="44"/>
      <c r="H41" s="44"/>
      <c r="I41" s="44"/>
      <c r="J41" s="44"/>
      <c r="K41" s="44"/>
      <c r="L41" s="44"/>
      <c r="M41" s="44"/>
      <c r="N41" s="44"/>
      <c r="O41" s="44"/>
      <c r="P41" s="44"/>
      <c r="Q41" s="44"/>
      <c r="R41" s="44"/>
      <c r="S41" s="44"/>
      <c r="T41" s="44"/>
      <c r="U41" s="44"/>
    </row>
    <row r="42" spans="1:21" x14ac:dyDescent="0.55000000000000004">
      <c r="E42" s="37"/>
      <c r="F42" s="37"/>
      <c r="G42" s="37"/>
      <c r="H42" s="37"/>
      <c r="I42" s="37"/>
      <c r="J42" s="37"/>
      <c r="K42" s="37"/>
      <c r="L42" s="37"/>
      <c r="M42" s="37"/>
      <c r="N42" s="37"/>
      <c r="O42" s="37"/>
      <c r="P42" s="37"/>
      <c r="Q42" s="37"/>
      <c r="R42" s="37"/>
      <c r="S42" s="37"/>
      <c r="T42" s="37"/>
      <c r="U42" s="37"/>
    </row>
    <row r="43" spans="1:21" x14ac:dyDescent="0.55000000000000004">
      <c r="A43" s="21" t="s">
        <v>40</v>
      </c>
      <c r="B43" s="1" t="s">
        <v>8</v>
      </c>
      <c r="C43" s="1" t="s">
        <v>9</v>
      </c>
      <c r="D43" s="1"/>
      <c r="E43" s="41">
        <v>2000</v>
      </c>
      <c r="F43" s="41">
        <v>2001</v>
      </c>
      <c r="G43" s="41">
        <v>2002</v>
      </c>
      <c r="H43" s="41">
        <v>2003</v>
      </c>
      <c r="I43" s="41">
        <v>2004</v>
      </c>
      <c r="J43" s="41">
        <v>2005</v>
      </c>
      <c r="K43" s="41">
        <v>2006</v>
      </c>
      <c r="L43" s="41">
        <v>2007</v>
      </c>
      <c r="M43" s="41">
        <v>2008</v>
      </c>
      <c r="N43" s="41">
        <v>2009</v>
      </c>
      <c r="O43" s="41">
        <v>2010</v>
      </c>
      <c r="P43" s="41">
        <v>2011</v>
      </c>
      <c r="Q43" s="41">
        <v>2012</v>
      </c>
      <c r="R43" s="41">
        <v>2013</v>
      </c>
      <c r="S43" s="41">
        <v>2014</v>
      </c>
      <c r="T43" s="41">
        <v>2015</v>
      </c>
      <c r="U43" s="41">
        <v>2016</v>
      </c>
    </row>
    <row r="44" spans="1:21" x14ac:dyDescent="0.55000000000000004">
      <c r="A44" s="1" t="str">
        <f>'Population Definitions'!$A$2</f>
        <v>Gen 0-4</v>
      </c>
      <c r="B44" s="1" t="s">
        <v>14</v>
      </c>
      <c r="C44" s="2" t="str">
        <f t="shared" ref="C44:C55" si="5">IF(SUMPRODUCT(--(E44:U44&lt;&gt;""))=0,0,"N.A.")</f>
        <v>N.A.</v>
      </c>
      <c r="D44" s="1" t="s">
        <v>16</v>
      </c>
      <c r="E44" s="44">
        <f>E2*0.5</f>
        <v>119891.72171602126</v>
      </c>
      <c r="F44" s="44"/>
      <c r="G44" s="44"/>
      <c r="H44" s="44"/>
      <c r="I44" s="44"/>
      <c r="J44" s="44"/>
      <c r="K44" s="44"/>
      <c r="L44" s="44"/>
      <c r="M44" s="44"/>
      <c r="N44" s="44"/>
      <c r="O44" s="44"/>
      <c r="P44" s="44"/>
      <c r="Q44" s="44"/>
      <c r="R44" s="44"/>
      <c r="S44" s="44"/>
      <c r="T44" s="44"/>
      <c r="U44" s="44"/>
    </row>
    <row r="45" spans="1:21" x14ac:dyDescent="0.55000000000000004">
      <c r="A45" s="1" t="str">
        <f>'Population Definitions'!$A$3</f>
        <v>Gen 5-14</v>
      </c>
      <c r="B45" s="1" t="s">
        <v>14</v>
      </c>
      <c r="C45" s="2" t="str">
        <f t="shared" si="5"/>
        <v>N.A.</v>
      </c>
      <c r="D45" s="1" t="s">
        <v>16</v>
      </c>
      <c r="E45" s="44">
        <f>E3*0.5</f>
        <v>9405.753176411019</v>
      </c>
      <c r="F45" s="44"/>
      <c r="G45" s="44"/>
      <c r="H45" s="44"/>
      <c r="I45" s="44"/>
      <c r="J45" s="44"/>
      <c r="K45" s="44"/>
      <c r="L45" s="44"/>
      <c r="M45" s="44"/>
      <c r="N45" s="44"/>
      <c r="O45" s="44"/>
      <c r="P45" s="44"/>
      <c r="Q45" s="44"/>
      <c r="R45" s="44"/>
      <c r="S45" s="44"/>
      <c r="T45" s="44"/>
      <c r="U45" s="44"/>
    </row>
    <row r="46" spans="1:21" x14ac:dyDescent="0.55000000000000004">
      <c r="A46" s="1" t="str">
        <f>'Population Definitions'!$A$4</f>
        <v>Gen 15-64</v>
      </c>
      <c r="B46" s="1" t="s">
        <v>14</v>
      </c>
      <c r="C46" s="2" t="str">
        <f t="shared" si="5"/>
        <v>N.A.</v>
      </c>
      <c r="D46" s="1" t="s">
        <v>16</v>
      </c>
      <c r="E46" s="44">
        <v>0</v>
      </c>
      <c r="F46" s="44"/>
      <c r="G46" s="44"/>
      <c r="H46" s="44"/>
      <c r="I46" s="44"/>
      <c r="J46" s="44"/>
      <c r="K46" s="44"/>
      <c r="L46" s="44"/>
      <c r="M46" s="44"/>
      <c r="N46" s="44"/>
      <c r="O46" s="44"/>
      <c r="P46" s="44"/>
      <c r="Q46" s="44"/>
      <c r="R46" s="44"/>
      <c r="S46" s="44"/>
      <c r="T46" s="44"/>
      <c r="U46" s="44"/>
    </row>
    <row r="47" spans="1:21" x14ac:dyDescent="0.55000000000000004">
      <c r="A47" s="1" t="str">
        <f>'Population Definitions'!$A$5</f>
        <v>Gen 65+</v>
      </c>
      <c r="B47" s="1" t="s">
        <v>14</v>
      </c>
      <c r="C47" s="2" t="str">
        <f t="shared" si="5"/>
        <v>N.A.</v>
      </c>
      <c r="D47" s="1" t="s">
        <v>16</v>
      </c>
      <c r="E47" s="44">
        <v>0</v>
      </c>
      <c r="F47" s="44"/>
      <c r="G47" s="44"/>
      <c r="H47" s="44"/>
      <c r="I47" s="44"/>
      <c r="J47" s="44"/>
      <c r="K47" s="44"/>
      <c r="L47" s="44"/>
      <c r="M47" s="44"/>
      <c r="N47" s="44"/>
      <c r="O47" s="44"/>
      <c r="P47" s="44"/>
      <c r="Q47" s="44"/>
      <c r="R47" s="44"/>
      <c r="S47" s="44"/>
      <c r="T47" s="44"/>
      <c r="U47" s="44"/>
    </row>
    <row r="48" spans="1:21" x14ac:dyDescent="0.55000000000000004">
      <c r="A48" s="1" t="str">
        <f>'Population Definitions'!$A$6</f>
        <v>PLHIV 15-64</v>
      </c>
      <c r="B48" s="1" t="s">
        <v>14</v>
      </c>
      <c r="C48" s="2" t="str">
        <f t="shared" si="5"/>
        <v>N.A.</v>
      </c>
      <c r="D48" s="1" t="s">
        <v>16</v>
      </c>
      <c r="E48" s="44">
        <v>0</v>
      </c>
      <c r="F48" s="44"/>
      <c r="G48" s="44"/>
      <c r="H48" s="44"/>
      <c r="I48" s="44"/>
      <c r="J48" s="44"/>
      <c r="K48" s="44"/>
      <c r="L48" s="44"/>
      <c r="M48" s="44"/>
      <c r="N48" s="44"/>
      <c r="O48" s="44"/>
      <c r="P48" s="44"/>
      <c r="Q48" s="44"/>
      <c r="R48" s="44"/>
      <c r="S48" s="44"/>
      <c r="T48" s="44"/>
      <c r="U48" s="44"/>
    </row>
    <row r="49" spans="1:21" x14ac:dyDescent="0.55000000000000004">
      <c r="A49" s="1" t="str">
        <f>'Population Definitions'!$A$7</f>
        <v>PLHIV 65+</v>
      </c>
      <c r="B49" s="1" t="s">
        <v>14</v>
      </c>
      <c r="C49" s="2" t="str">
        <f t="shared" si="5"/>
        <v>N.A.</v>
      </c>
      <c r="D49" s="1" t="s">
        <v>16</v>
      </c>
      <c r="E49" s="44">
        <v>0</v>
      </c>
      <c r="F49" s="44"/>
      <c r="G49" s="44"/>
      <c r="H49" s="44"/>
      <c r="I49" s="44"/>
      <c r="J49" s="44"/>
      <c r="K49" s="44"/>
      <c r="L49" s="44"/>
      <c r="M49" s="44"/>
      <c r="N49" s="44"/>
      <c r="O49" s="44"/>
      <c r="P49" s="44"/>
      <c r="Q49" s="44"/>
      <c r="R49" s="44"/>
      <c r="S49" s="44"/>
      <c r="T49" s="44"/>
      <c r="U49" s="44"/>
    </row>
    <row r="50" spans="1:21" x14ac:dyDescent="0.55000000000000004">
      <c r="A50" s="1" t="str">
        <f>'Population Definitions'!$A$8</f>
        <v>Prisoners</v>
      </c>
      <c r="B50" s="1" t="s">
        <v>14</v>
      </c>
      <c r="C50" s="2" t="str">
        <f t="shared" si="5"/>
        <v>N.A.</v>
      </c>
      <c r="D50" s="1" t="s">
        <v>16</v>
      </c>
      <c r="E50" s="44">
        <v>0</v>
      </c>
      <c r="F50" s="44"/>
      <c r="G50" s="44"/>
      <c r="H50" s="44"/>
      <c r="I50" s="44"/>
      <c r="J50" s="44"/>
      <c r="K50" s="44"/>
      <c r="L50" s="44"/>
      <c r="M50" s="44"/>
      <c r="N50" s="44"/>
      <c r="O50" s="44"/>
      <c r="P50" s="44"/>
      <c r="Q50" s="44"/>
      <c r="R50" s="44"/>
      <c r="S50" s="44"/>
      <c r="T50" s="44"/>
      <c r="U50" s="44"/>
    </row>
    <row r="51" spans="1:21" x14ac:dyDescent="0.55000000000000004">
      <c r="A51" s="1" t="str">
        <f>'Population Definitions'!$A$9</f>
        <v>PLHIV Prisoners</v>
      </c>
      <c r="B51" s="1" t="s">
        <v>14</v>
      </c>
      <c r="C51" s="2" t="str">
        <f t="shared" si="5"/>
        <v>N.A.</v>
      </c>
      <c r="D51" s="1" t="s">
        <v>16</v>
      </c>
      <c r="E51" s="44">
        <v>0</v>
      </c>
      <c r="F51" s="44"/>
      <c r="G51" s="44"/>
      <c r="H51" s="44"/>
      <c r="I51" s="44"/>
      <c r="J51" s="44"/>
      <c r="K51" s="44"/>
      <c r="L51" s="44"/>
      <c r="M51" s="44"/>
      <c r="N51" s="44"/>
      <c r="O51" s="44"/>
      <c r="P51" s="44"/>
      <c r="Q51" s="44"/>
      <c r="R51" s="44"/>
      <c r="S51" s="44"/>
      <c r="T51" s="44"/>
      <c r="U51" s="44"/>
    </row>
    <row r="52" spans="1:21" x14ac:dyDescent="0.55000000000000004">
      <c r="A52" s="1" t="str">
        <f>'Population Definitions'!$A$10</f>
        <v>HCW</v>
      </c>
      <c r="B52" s="1" t="s">
        <v>14</v>
      </c>
      <c r="C52" s="2" t="str">
        <f t="shared" si="5"/>
        <v>N.A.</v>
      </c>
      <c r="D52" s="1" t="s">
        <v>16</v>
      </c>
      <c r="E52" s="44">
        <v>0</v>
      </c>
      <c r="F52" s="44"/>
      <c r="G52" s="44"/>
      <c r="H52" s="44"/>
      <c r="I52" s="44"/>
      <c r="J52" s="44"/>
      <c r="K52" s="44"/>
      <c r="L52" s="44"/>
      <c r="M52" s="44"/>
      <c r="N52" s="44"/>
      <c r="O52" s="44"/>
      <c r="P52" s="44"/>
      <c r="Q52" s="44"/>
      <c r="R52" s="44"/>
      <c r="S52" s="44"/>
      <c r="T52" s="44"/>
      <c r="U52" s="44"/>
    </row>
    <row r="53" spans="1:21" x14ac:dyDescent="0.55000000000000004">
      <c r="A53" s="1" t="str">
        <f>'Population Definitions'!$A$11</f>
        <v>PLHIV HCW</v>
      </c>
      <c r="B53" s="1" t="s">
        <v>14</v>
      </c>
      <c r="C53" s="2" t="str">
        <f t="shared" si="5"/>
        <v>N.A.</v>
      </c>
      <c r="D53" s="1" t="s">
        <v>16</v>
      </c>
      <c r="E53" s="44">
        <v>0</v>
      </c>
      <c r="F53" s="44"/>
      <c r="G53" s="44"/>
      <c r="H53" s="44"/>
      <c r="I53" s="44"/>
      <c r="J53" s="44"/>
      <c r="K53" s="44"/>
      <c r="L53" s="44"/>
      <c r="M53" s="44"/>
      <c r="N53" s="44"/>
      <c r="O53" s="44"/>
      <c r="P53" s="44"/>
      <c r="Q53" s="44"/>
      <c r="R53" s="44"/>
      <c r="S53" s="44"/>
      <c r="T53" s="44"/>
      <c r="U53" s="44"/>
    </row>
    <row r="54" spans="1:21" x14ac:dyDescent="0.55000000000000004">
      <c r="A54" s="1" t="str">
        <f>'Population Definitions'!$A$12</f>
        <v>Miners</v>
      </c>
      <c r="B54" s="1" t="s">
        <v>14</v>
      </c>
      <c r="C54" s="2" t="str">
        <f t="shared" si="5"/>
        <v>N.A.</v>
      </c>
      <c r="D54" s="1" t="s">
        <v>16</v>
      </c>
      <c r="E54" s="44">
        <v>0</v>
      </c>
      <c r="F54" s="44"/>
      <c r="G54" s="44"/>
      <c r="H54" s="44"/>
      <c r="I54" s="44"/>
      <c r="J54" s="44"/>
      <c r="K54" s="44"/>
      <c r="L54" s="44"/>
      <c r="M54" s="44"/>
      <c r="N54" s="44"/>
      <c r="O54" s="44"/>
      <c r="P54" s="44"/>
      <c r="Q54" s="44"/>
      <c r="R54" s="44"/>
      <c r="S54" s="44"/>
      <c r="T54" s="44"/>
      <c r="U54" s="44"/>
    </row>
    <row r="55" spans="1:21" x14ac:dyDescent="0.55000000000000004">
      <c r="A55" s="1" t="str">
        <f>'Population Definitions'!$A$13</f>
        <v>PLHIV Miners</v>
      </c>
      <c r="B55" s="1" t="s">
        <v>14</v>
      </c>
      <c r="C55" s="2" t="str">
        <f t="shared" si="5"/>
        <v>N.A.</v>
      </c>
      <c r="D55" s="1" t="s">
        <v>16</v>
      </c>
      <c r="E55" s="44">
        <v>0</v>
      </c>
      <c r="F55" s="44"/>
      <c r="G55" s="44"/>
      <c r="H55" s="44"/>
      <c r="I55" s="44"/>
      <c r="J55" s="44"/>
      <c r="K55" s="44"/>
      <c r="L55" s="44"/>
      <c r="M55" s="44"/>
      <c r="N55" s="44"/>
      <c r="O55" s="44"/>
      <c r="P55" s="44"/>
      <c r="Q55" s="44"/>
      <c r="R55" s="44"/>
      <c r="S55" s="44"/>
      <c r="T55" s="44"/>
      <c r="U55" s="44"/>
    </row>
    <row r="56" spans="1:21" x14ac:dyDescent="0.55000000000000004">
      <c r="E56" s="37"/>
      <c r="F56" s="37"/>
      <c r="G56" s="37"/>
      <c r="H56" s="37"/>
      <c r="I56" s="37"/>
      <c r="J56" s="37"/>
      <c r="K56" s="37"/>
      <c r="L56" s="37"/>
      <c r="M56" s="37"/>
      <c r="N56" s="37"/>
      <c r="O56" s="37"/>
      <c r="P56" s="37"/>
      <c r="Q56" s="37"/>
      <c r="R56" s="37"/>
      <c r="S56" s="37"/>
      <c r="T56" s="37"/>
      <c r="U56" s="37"/>
    </row>
    <row r="57" spans="1:21" x14ac:dyDescent="0.55000000000000004">
      <c r="A57" s="21" t="s">
        <v>47</v>
      </c>
      <c r="B57" s="1" t="s">
        <v>8</v>
      </c>
      <c r="C57" s="1" t="s">
        <v>9</v>
      </c>
      <c r="D57" s="1"/>
      <c r="E57" s="41">
        <v>2000</v>
      </c>
      <c r="F57" s="41">
        <v>2001</v>
      </c>
      <c r="G57" s="41">
        <v>2002</v>
      </c>
      <c r="H57" s="41">
        <v>2003</v>
      </c>
      <c r="I57" s="41">
        <v>2004</v>
      </c>
      <c r="J57" s="41">
        <v>2005</v>
      </c>
      <c r="K57" s="41">
        <v>2006</v>
      </c>
      <c r="L57" s="41">
        <v>2007</v>
      </c>
      <c r="M57" s="41">
        <v>2008</v>
      </c>
      <c r="N57" s="41">
        <v>2009</v>
      </c>
      <c r="O57" s="41">
        <v>2010</v>
      </c>
      <c r="P57" s="41">
        <v>2011</v>
      </c>
      <c r="Q57" s="41">
        <v>2012</v>
      </c>
      <c r="R57" s="41">
        <v>2013</v>
      </c>
      <c r="S57" s="41">
        <v>2014</v>
      </c>
      <c r="T57" s="41">
        <v>2015</v>
      </c>
      <c r="U57" s="41">
        <v>2016</v>
      </c>
    </row>
    <row r="58" spans="1:21" x14ac:dyDescent="0.55000000000000004">
      <c r="A58" s="1" t="str">
        <f>'Population Definitions'!$A$2</f>
        <v>Gen 0-4</v>
      </c>
      <c r="B58" s="1" t="s">
        <v>14</v>
      </c>
      <c r="C58" s="2" t="str">
        <f t="shared" ref="C58:C69" si="6">IF(SUMPRODUCT(--(E58:U58&lt;&gt;""))=0,0,"N.A.")</f>
        <v>N.A.</v>
      </c>
      <c r="D58" s="1" t="s">
        <v>16</v>
      </c>
      <c r="E58" s="44">
        <f>E44*0.1</f>
        <v>11989.172171602127</v>
      </c>
      <c r="F58" s="44"/>
      <c r="G58" s="44"/>
      <c r="H58" s="44"/>
      <c r="I58" s="44"/>
      <c r="J58" s="44"/>
      <c r="K58" s="44"/>
      <c r="L58" s="44"/>
      <c r="M58" s="44"/>
      <c r="N58" s="44"/>
      <c r="O58" s="44"/>
      <c r="P58" s="44"/>
      <c r="Q58" s="44"/>
      <c r="R58" s="44"/>
      <c r="S58" s="44"/>
      <c r="T58" s="44"/>
      <c r="U58" s="44"/>
    </row>
    <row r="59" spans="1:21" x14ac:dyDescent="0.55000000000000004">
      <c r="A59" s="1" t="str">
        <f>'Population Definitions'!$A$3</f>
        <v>Gen 5-14</v>
      </c>
      <c r="B59" s="1" t="s">
        <v>14</v>
      </c>
      <c r="C59" s="2" t="str">
        <f t="shared" si="6"/>
        <v>N.A.</v>
      </c>
      <c r="D59" s="1" t="s">
        <v>16</v>
      </c>
      <c r="E59" s="44">
        <f t="shared" ref="E59:E69" si="7">E45*0.1</f>
        <v>940.57531764110195</v>
      </c>
      <c r="F59" s="44"/>
      <c r="G59" s="44"/>
      <c r="H59" s="44"/>
      <c r="I59" s="44"/>
      <c r="J59" s="44"/>
      <c r="K59" s="44"/>
      <c r="L59" s="44"/>
      <c r="M59" s="44"/>
      <c r="N59" s="44"/>
      <c r="O59" s="44"/>
      <c r="P59" s="44"/>
      <c r="Q59" s="44"/>
      <c r="R59" s="44"/>
      <c r="S59" s="44"/>
      <c r="T59" s="44"/>
      <c r="U59" s="44"/>
    </row>
    <row r="60" spans="1:21" x14ac:dyDescent="0.55000000000000004">
      <c r="A60" s="1" t="str">
        <f>'Population Definitions'!$A$4</f>
        <v>Gen 15-64</v>
      </c>
      <c r="B60" s="1" t="s">
        <v>14</v>
      </c>
      <c r="C60" s="2" t="str">
        <f t="shared" si="6"/>
        <v>N.A.</v>
      </c>
      <c r="D60" s="1" t="s">
        <v>16</v>
      </c>
      <c r="E60" s="44">
        <f t="shared" si="7"/>
        <v>0</v>
      </c>
      <c r="F60" s="44"/>
      <c r="G60" s="44"/>
      <c r="H60" s="44"/>
      <c r="I60" s="44"/>
      <c r="J60" s="44"/>
      <c r="K60" s="44"/>
      <c r="L60" s="44"/>
      <c r="M60" s="44"/>
      <c r="N60" s="44"/>
      <c r="O60" s="44"/>
      <c r="P60" s="44"/>
      <c r="Q60" s="44"/>
      <c r="R60" s="44"/>
      <c r="S60" s="44"/>
      <c r="T60" s="44"/>
      <c r="U60" s="44"/>
    </row>
    <row r="61" spans="1:21" x14ac:dyDescent="0.55000000000000004">
      <c r="A61" s="1" t="str">
        <f>'Population Definitions'!$A$5</f>
        <v>Gen 65+</v>
      </c>
      <c r="B61" s="1" t="s">
        <v>14</v>
      </c>
      <c r="C61" s="2" t="str">
        <f t="shared" si="6"/>
        <v>N.A.</v>
      </c>
      <c r="D61" s="1" t="s">
        <v>16</v>
      </c>
      <c r="E61" s="44">
        <f t="shared" si="7"/>
        <v>0</v>
      </c>
      <c r="F61" s="44"/>
      <c r="G61" s="44"/>
      <c r="H61" s="44"/>
      <c r="I61" s="44"/>
      <c r="J61" s="44"/>
      <c r="K61" s="44"/>
      <c r="L61" s="44"/>
      <c r="M61" s="44"/>
      <c r="N61" s="44"/>
      <c r="O61" s="44"/>
      <c r="P61" s="44"/>
      <c r="Q61" s="44"/>
      <c r="R61" s="44"/>
      <c r="S61" s="44"/>
      <c r="T61" s="44"/>
      <c r="U61" s="44"/>
    </row>
    <row r="62" spans="1:21" x14ac:dyDescent="0.55000000000000004">
      <c r="A62" s="1" t="str">
        <f>'Population Definitions'!$A$6</f>
        <v>PLHIV 15-64</v>
      </c>
      <c r="B62" s="1" t="s">
        <v>14</v>
      </c>
      <c r="C62" s="2" t="str">
        <f t="shared" si="6"/>
        <v>N.A.</v>
      </c>
      <c r="D62" s="1" t="s">
        <v>16</v>
      </c>
      <c r="E62" s="44">
        <f t="shared" si="7"/>
        <v>0</v>
      </c>
      <c r="F62" s="44"/>
      <c r="G62" s="44"/>
      <c r="H62" s="44"/>
      <c r="I62" s="44"/>
      <c r="J62" s="44"/>
      <c r="K62" s="44"/>
      <c r="L62" s="44"/>
      <c r="M62" s="44"/>
      <c r="N62" s="44"/>
      <c r="O62" s="44"/>
      <c r="P62" s="44"/>
      <c r="Q62" s="44"/>
      <c r="R62" s="44"/>
      <c r="S62" s="44"/>
      <c r="T62" s="44"/>
      <c r="U62" s="44"/>
    </row>
    <row r="63" spans="1:21" x14ac:dyDescent="0.55000000000000004">
      <c r="A63" s="1" t="str">
        <f>'Population Definitions'!$A$7</f>
        <v>PLHIV 65+</v>
      </c>
      <c r="B63" s="1" t="s">
        <v>14</v>
      </c>
      <c r="C63" s="2" t="str">
        <f t="shared" si="6"/>
        <v>N.A.</v>
      </c>
      <c r="D63" s="1" t="s">
        <v>16</v>
      </c>
      <c r="E63" s="44">
        <f t="shared" si="7"/>
        <v>0</v>
      </c>
      <c r="F63" s="44"/>
      <c r="G63" s="44"/>
      <c r="H63" s="44"/>
      <c r="I63" s="44"/>
      <c r="J63" s="44"/>
      <c r="K63" s="44"/>
      <c r="L63" s="44"/>
      <c r="M63" s="44"/>
      <c r="N63" s="44"/>
      <c r="O63" s="44"/>
      <c r="P63" s="44"/>
      <c r="Q63" s="44"/>
      <c r="R63" s="44"/>
      <c r="S63" s="44"/>
      <c r="T63" s="44"/>
      <c r="U63" s="44"/>
    </row>
    <row r="64" spans="1:21" x14ac:dyDescent="0.55000000000000004">
      <c r="A64" s="1" t="str">
        <f>'Population Definitions'!$A$8</f>
        <v>Prisoners</v>
      </c>
      <c r="B64" s="1" t="s">
        <v>14</v>
      </c>
      <c r="C64" s="2" t="str">
        <f t="shared" si="6"/>
        <v>N.A.</v>
      </c>
      <c r="D64" s="1" t="s">
        <v>16</v>
      </c>
      <c r="E64" s="44">
        <f t="shared" si="7"/>
        <v>0</v>
      </c>
      <c r="F64" s="44"/>
      <c r="G64" s="44"/>
      <c r="H64" s="44"/>
      <c r="I64" s="44"/>
      <c r="J64" s="44"/>
      <c r="K64" s="44"/>
      <c r="L64" s="44"/>
      <c r="M64" s="44"/>
      <c r="N64" s="44"/>
      <c r="O64" s="44"/>
      <c r="P64" s="44"/>
      <c r="Q64" s="44"/>
      <c r="R64" s="44"/>
      <c r="S64" s="44"/>
      <c r="T64" s="44"/>
      <c r="U64" s="44"/>
    </row>
    <row r="65" spans="1:21" x14ac:dyDescent="0.55000000000000004">
      <c r="A65" s="1" t="str">
        <f>'Population Definitions'!$A$9</f>
        <v>PLHIV Prisoners</v>
      </c>
      <c r="B65" s="1" t="s">
        <v>14</v>
      </c>
      <c r="C65" s="2" t="str">
        <f t="shared" si="6"/>
        <v>N.A.</v>
      </c>
      <c r="D65" s="1" t="s">
        <v>16</v>
      </c>
      <c r="E65" s="44">
        <f t="shared" si="7"/>
        <v>0</v>
      </c>
      <c r="F65" s="44"/>
      <c r="G65" s="44"/>
      <c r="H65" s="44"/>
      <c r="I65" s="44"/>
      <c r="J65" s="44"/>
      <c r="K65" s="44"/>
      <c r="L65" s="44"/>
      <c r="M65" s="44"/>
      <c r="N65" s="44"/>
      <c r="O65" s="44"/>
      <c r="P65" s="44"/>
      <c r="Q65" s="44"/>
      <c r="R65" s="44"/>
      <c r="S65" s="44"/>
      <c r="T65" s="44"/>
      <c r="U65" s="44"/>
    </row>
    <row r="66" spans="1:21" x14ac:dyDescent="0.55000000000000004">
      <c r="A66" s="1" t="str">
        <f>'Population Definitions'!$A$10</f>
        <v>HCW</v>
      </c>
      <c r="B66" s="1" t="s">
        <v>14</v>
      </c>
      <c r="C66" s="2" t="str">
        <f t="shared" si="6"/>
        <v>N.A.</v>
      </c>
      <c r="D66" s="1" t="s">
        <v>16</v>
      </c>
      <c r="E66" s="44">
        <f t="shared" si="7"/>
        <v>0</v>
      </c>
      <c r="F66" s="44"/>
      <c r="G66" s="44"/>
      <c r="H66" s="44"/>
      <c r="I66" s="44"/>
      <c r="J66" s="44"/>
      <c r="K66" s="44"/>
      <c r="L66" s="44"/>
      <c r="M66" s="44"/>
      <c r="N66" s="44"/>
      <c r="O66" s="44"/>
      <c r="P66" s="44"/>
      <c r="Q66" s="44"/>
      <c r="R66" s="44"/>
      <c r="S66" s="44"/>
      <c r="T66" s="44"/>
      <c r="U66" s="44"/>
    </row>
    <row r="67" spans="1:21" x14ac:dyDescent="0.55000000000000004">
      <c r="A67" s="1" t="str">
        <f>'Population Definitions'!$A$11</f>
        <v>PLHIV HCW</v>
      </c>
      <c r="B67" s="1" t="s">
        <v>14</v>
      </c>
      <c r="C67" s="2" t="str">
        <f t="shared" si="6"/>
        <v>N.A.</v>
      </c>
      <c r="D67" s="1" t="s">
        <v>16</v>
      </c>
      <c r="E67" s="44">
        <f t="shared" si="7"/>
        <v>0</v>
      </c>
      <c r="F67" s="44"/>
      <c r="G67" s="44"/>
      <c r="H67" s="44"/>
      <c r="I67" s="44"/>
      <c r="J67" s="44"/>
      <c r="K67" s="44"/>
      <c r="L67" s="44"/>
      <c r="M67" s="44"/>
      <c r="N67" s="44"/>
      <c r="O67" s="44"/>
      <c r="P67" s="44"/>
      <c r="Q67" s="44"/>
      <c r="R67" s="44"/>
      <c r="S67" s="44"/>
      <c r="T67" s="44"/>
      <c r="U67" s="44"/>
    </row>
    <row r="68" spans="1:21" x14ac:dyDescent="0.55000000000000004">
      <c r="A68" s="1" t="str">
        <f>'Population Definitions'!$A$12</f>
        <v>Miners</v>
      </c>
      <c r="B68" s="1" t="s">
        <v>14</v>
      </c>
      <c r="C68" s="2" t="str">
        <f t="shared" si="6"/>
        <v>N.A.</v>
      </c>
      <c r="D68" s="1" t="s">
        <v>16</v>
      </c>
      <c r="E68" s="44">
        <f t="shared" si="7"/>
        <v>0</v>
      </c>
      <c r="F68" s="44"/>
      <c r="G68" s="44"/>
      <c r="H68" s="44"/>
      <c r="I68" s="44"/>
      <c r="J68" s="44"/>
      <c r="K68" s="44"/>
      <c r="L68" s="44"/>
      <c r="M68" s="44"/>
      <c r="N68" s="44"/>
      <c r="O68" s="44"/>
      <c r="P68" s="44"/>
      <c r="Q68" s="44"/>
      <c r="R68" s="44"/>
      <c r="S68" s="44"/>
      <c r="T68" s="44"/>
      <c r="U68" s="44"/>
    </row>
    <row r="69" spans="1:21" x14ac:dyDescent="0.55000000000000004">
      <c r="A69" s="1" t="str">
        <f>'Population Definitions'!$A$13</f>
        <v>PLHIV Miners</v>
      </c>
      <c r="B69" s="1" t="s">
        <v>14</v>
      </c>
      <c r="C69" s="2" t="str">
        <f t="shared" si="6"/>
        <v>N.A.</v>
      </c>
      <c r="D69" s="1" t="s">
        <v>16</v>
      </c>
      <c r="E69" s="44">
        <f t="shared" si="7"/>
        <v>0</v>
      </c>
      <c r="F69" s="44"/>
      <c r="G69" s="44"/>
      <c r="H69" s="44"/>
      <c r="I69" s="44"/>
      <c r="J69" s="44"/>
      <c r="K69" s="44"/>
      <c r="L69" s="44"/>
      <c r="M69" s="44"/>
      <c r="N69" s="44"/>
      <c r="O69" s="44"/>
      <c r="P69" s="44"/>
      <c r="Q69" s="44"/>
      <c r="R69" s="44"/>
      <c r="S69" s="44"/>
      <c r="T69" s="44"/>
      <c r="U69" s="44"/>
    </row>
    <row r="70" spans="1:21" x14ac:dyDescent="0.55000000000000004">
      <c r="E70" s="37"/>
      <c r="F70" s="37"/>
      <c r="G70" s="37"/>
      <c r="H70" s="37"/>
      <c r="I70" s="37"/>
      <c r="J70" s="37"/>
      <c r="K70" s="37"/>
      <c r="L70" s="37"/>
      <c r="M70" s="37"/>
      <c r="N70" s="37"/>
      <c r="O70" s="37"/>
      <c r="P70" s="37"/>
      <c r="Q70" s="37"/>
      <c r="R70" s="37"/>
      <c r="S70" s="37"/>
      <c r="T70" s="37"/>
      <c r="U70" s="37"/>
    </row>
    <row r="71" spans="1:21" x14ac:dyDescent="0.55000000000000004">
      <c r="A71" s="21" t="s">
        <v>54</v>
      </c>
      <c r="B71" s="1" t="s">
        <v>8</v>
      </c>
      <c r="C71" s="1" t="s">
        <v>9</v>
      </c>
      <c r="D71" s="1"/>
      <c r="E71" s="41">
        <v>2000</v>
      </c>
      <c r="F71" s="41">
        <v>2001</v>
      </c>
      <c r="G71" s="41">
        <v>2002</v>
      </c>
      <c r="H71" s="41">
        <v>2003</v>
      </c>
      <c r="I71" s="41">
        <v>2004</v>
      </c>
      <c r="J71" s="41">
        <v>2005</v>
      </c>
      <c r="K71" s="41">
        <v>2006</v>
      </c>
      <c r="L71" s="41">
        <v>2007</v>
      </c>
      <c r="M71" s="41">
        <v>2008</v>
      </c>
      <c r="N71" s="41">
        <v>2009</v>
      </c>
      <c r="O71" s="41">
        <v>2010</v>
      </c>
      <c r="P71" s="41">
        <v>2011</v>
      </c>
      <c r="Q71" s="41">
        <v>2012</v>
      </c>
      <c r="R71" s="41">
        <v>2013</v>
      </c>
      <c r="S71" s="41">
        <v>2014</v>
      </c>
      <c r="T71" s="41">
        <v>2015</v>
      </c>
      <c r="U71" s="41">
        <v>2016</v>
      </c>
    </row>
    <row r="72" spans="1:21" x14ac:dyDescent="0.55000000000000004">
      <c r="A72" s="1" t="str">
        <f>'Population Definitions'!$A$2</f>
        <v>Gen 0-4</v>
      </c>
      <c r="B72" s="1" t="s">
        <v>14</v>
      </c>
      <c r="C72" s="2" t="str">
        <f t="shared" ref="C72:C83" si="8">IF(SUMPRODUCT(--(E72:U72&lt;&gt;""))=0,0,"N.A.")</f>
        <v>N.A.</v>
      </c>
      <c r="D72" s="1" t="s">
        <v>16</v>
      </c>
      <c r="E72" s="44">
        <f>E44-E58</f>
        <v>107902.54954441913</v>
      </c>
      <c r="F72" s="44"/>
      <c r="G72" s="44"/>
      <c r="H72" s="44"/>
      <c r="I72" s="44"/>
      <c r="J72" s="44"/>
      <c r="K72" s="44"/>
      <c r="L72" s="44"/>
      <c r="M72" s="44"/>
      <c r="N72" s="44"/>
      <c r="O72" s="44"/>
      <c r="P72" s="44"/>
      <c r="Q72" s="44"/>
      <c r="R72" s="44"/>
      <c r="S72" s="44"/>
      <c r="T72" s="44"/>
      <c r="U72" s="44"/>
    </row>
    <row r="73" spans="1:21" x14ac:dyDescent="0.55000000000000004">
      <c r="A73" s="1" t="str">
        <f>'Population Definitions'!$A$3</f>
        <v>Gen 5-14</v>
      </c>
      <c r="B73" s="1" t="s">
        <v>14</v>
      </c>
      <c r="C73" s="2" t="str">
        <f t="shared" si="8"/>
        <v>N.A.</v>
      </c>
      <c r="D73" s="1" t="s">
        <v>16</v>
      </c>
      <c r="E73" s="44">
        <f t="shared" ref="E73:E83" si="9">E45-E59</f>
        <v>8465.1778587699173</v>
      </c>
      <c r="F73" s="44"/>
      <c r="G73" s="44"/>
      <c r="H73" s="44"/>
      <c r="I73" s="44"/>
      <c r="J73" s="44"/>
      <c r="K73" s="44"/>
      <c r="L73" s="44"/>
      <c r="M73" s="44"/>
      <c r="N73" s="44"/>
      <c r="O73" s="44"/>
      <c r="P73" s="44"/>
      <c r="Q73" s="44"/>
      <c r="R73" s="44"/>
      <c r="S73" s="44"/>
      <c r="T73" s="44"/>
      <c r="U73" s="44"/>
    </row>
    <row r="74" spans="1:21" x14ac:dyDescent="0.55000000000000004">
      <c r="A74" s="1" t="str">
        <f>'Population Definitions'!$A$4</f>
        <v>Gen 15-64</v>
      </c>
      <c r="B74" s="1" t="s">
        <v>14</v>
      </c>
      <c r="C74" s="2" t="str">
        <f t="shared" si="8"/>
        <v>N.A.</v>
      </c>
      <c r="D74" s="1" t="s">
        <v>16</v>
      </c>
      <c r="E74" s="44">
        <f t="shared" si="9"/>
        <v>0</v>
      </c>
      <c r="F74" s="44"/>
      <c r="G74" s="44"/>
      <c r="H74" s="44"/>
      <c r="I74" s="44"/>
      <c r="J74" s="44"/>
      <c r="K74" s="44"/>
      <c r="L74" s="44"/>
      <c r="M74" s="44"/>
      <c r="N74" s="44"/>
      <c r="O74" s="44"/>
      <c r="P74" s="44"/>
      <c r="Q74" s="44"/>
      <c r="R74" s="44"/>
      <c r="S74" s="44"/>
      <c r="T74" s="44"/>
      <c r="U74" s="44"/>
    </row>
    <row r="75" spans="1:21" x14ac:dyDescent="0.55000000000000004">
      <c r="A75" s="1" t="str">
        <f>'Population Definitions'!$A$5</f>
        <v>Gen 65+</v>
      </c>
      <c r="B75" s="1" t="s">
        <v>14</v>
      </c>
      <c r="C75" s="2" t="str">
        <f t="shared" si="8"/>
        <v>N.A.</v>
      </c>
      <c r="D75" s="1" t="s">
        <v>16</v>
      </c>
      <c r="E75" s="44">
        <f t="shared" si="9"/>
        <v>0</v>
      </c>
      <c r="F75" s="44"/>
      <c r="G75" s="44"/>
      <c r="H75" s="44"/>
      <c r="I75" s="44"/>
      <c r="J75" s="44"/>
      <c r="K75" s="44"/>
      <c r="L75" s="44"/>
      <c r="M75" s="44"/>
      <c r="N75" s="44"/>
      <c r="O75" s="44"/>
      <c r="P75" s="44"/>
      <c r="Q75" s="44"/>
      <c r="R75" s="44"/>
      <c r="S75" s="44"/>
      <c r="T75" s="44"/>
      <c r="U75" s="44"/>
    </row>
    <row r="76" spans="1:21" x14ac:dyDescent="0.55000000000000004">
      <c r="A76" s="1" t="str">
        <f>'Population Definitions'!$A$6</f>
        <v>PLHIV 15-64</v>
      </c>
      <c r="B76" s="1" t="s">
        <v>14</v>
      </c>
      <c r="C76" s="2" t="str">
        <f t="shared" si="8"/>
        <v>N.A.</v>
      </c>
      <c r="D76" s="1" t="s">
        <v>16</v>
      </c>
      <c r="E76" s="44">
        <f t="shared" si="9"/>
        <v>0</v>
      </c>
      <c r="F76" s="44"/>
      <c r="G76" s="44"/>
      <c r="H76" s="44"/>
      <c r="I76" s="44"/>
      <c r="J76" s="44"/>
      <c r="K76" s="44"/>
      <c r="L76" s="44"/>
      <c r="M76" s="44"/>
      <c r="N76" s="44"/>
      <c r="O76" s="44"/>
      <c r="P76" s="44"/>
      <c r="Q76" s="44"/>
      <c r="R76" s="44"/>
      <c r="S76" s="44"/>
      <c r="T76" s="44"/>
      <c r="U76" s="44"/>
    </row>
    <row r="77" spans="1:21" x14ac:dyDescent="0.55000000000000004">
      <c r="A77" s="1" t="str">
        <f>'Population Definitions'!$A$7</f>
        <v>PLHIV 65+</v>
      </c>
      <c r="B77" s="1" t="s">
        <v>14</v>
      </c>
      <c r="C77" s="2" t="str">
        <f t="shared" si="8"/>
        <v>N.A.</v>
      </c>
      <c r="D77" s="1" t="s">
        <v>16</v>
      </c>
      <c r="E77" s="44">
        <f t="shared" si="9"/>
        <v>0</v>
      </c>
      <c r="F77" s="44"/>
      <c r="G77" s="44"/>
      <c r="H77" s="44"/>
      <c r="I77" s="44"/>
      <c r="J77" s="44"/>
      <c r="K77" s="44"/>
      <c r="L77" s="44"/>
      <c r="M77" s="44"/>
      <c r="N77" s="44"/>
      <c r="O77" s="44"/>
      <c r="P77" s="44"/>
      <c r="Q77" s="44"/>
      <c r="R77" s="44"/>
      <c r="S77" s="44"/>
      <c r="T77" s="44"/>
      <c r="U77" s="44"/>
    </row>
    <row r="78" spans="1:21" x14ac:dyDescent="0.55000000000000004">
      <c r="A78" s="1" t="str">
        <f>'Population Definitions'!$A$8</f>
        <v>Prisoners</v>
      </c>
      <c r="B78" s="1" t="s">
        <v>14</v>
      </c>
      <c r="C78" s="2" t="str">
        <f t="shared" si="8"/>
        <v>N.A.</v>
      </c>
      <c r="D78" s="1" t="s">
        <v>16</v>
      </c>
      <c r="E78" s="44">
        <f t="shared" si="9"/>
        <v>0</v>
      </c>
      <c r="F78" s="44"/>
      <c r="G78" s="44"/>
      <c r="H78" s="44"/>
      <c r="I78" s="44"/>
      <c r="J78" s="44"/>
      <c r="K78" s="44"/>
      <c r="L78" s="44"/>
      <c r="M78" s="44"/>
      <c r="N78" s="44"/>
      <c r="O78" s="44"/>
      <c r="P78" s="44"/>
      <c r="Q78" s="44"/>
      <c r="R78" s="44"/>
      <c r="S78" s="44"/>
      <c r="T78" s="44"/>
      <c r="U78" s="44"/>
    </row>
    <row r="79" spans="1:21" x14ac:dyDescent="0.55000000000000004">
      <c r="A79" s="1" t="str">
        <f>'Population Definitions'!$A$9</f>
        <v>PLHIV Prisoners</v>
      </c>
      <c r="B79" s="1" t="s">
        <v>14</v>
      </c>
      <c r="C79" s="2" t="str">
        <f t="shared" si="8"/>
        <v>N.A.</v>
      </c>
      <c r="D79" s="1" t="s">
        <v>16</v>
      </c>
      <c r="E79" s="44">
        <f t="shared" si="9"/>
        <v>0</v>
      </c>
      <c r="F79" s="44"/>
      <c r="G79" s="44"/>
      <c r="H79" s="44"/>
      <c r="I79" s="44"/>
      <c r="J79" s="44"/>
      <c r="K79" s="44"/>
      <c r="L79" s="44"/>
      <c r="M79" s="44"/>
      <c r="N79" s="44"/>
      <c r="O79" s="44"/>
      <c r="P79" s="44"/>
      <c r="Q79" s="44"/>
      <c r="R79" s="44"/>
      <c r="S79" s="44"/>
      <c r="T79" s="44"/>
      <c r="U79" s="44"/>
    </row>
    <row r="80" spans="1:21" x14ac:dyDescent="0.55000000000000004">
      <c r="A80" s="1" t="str">
        <f>'Population Definitions'!$A$10</f>
        <v>HCW</v>
      </c>
      <c r="B80" s="1" t="s">
        <v>14</v>
      </c>
      <c r="C80" s="2" t="str">
        <f t="shared" si="8"/>
        <v>N.A.</v>
      </c>
      <c r="D80" s="1" t="s">
        <v>16</v>
      </c>
      <c r="E80" s="44">
        <f t="shared" si="9"/>
        <v>0</v>
      </c>
      <c r="F80" s="44"/>
      <c r="G80" s="44"/>
      <c r="H80" s="44"/>
      <c r="I80" s="44"/>
      <c r="J80" s="44"/>
      <c r="K80" s="44"/>
      <c r="L80" s="44"/>
      <c r="M80" s="44"/>
      <c r="N80" s="44"/>
      <c r="O80" s="44"/>
      <c r="P80" s="44"/>
      <c r="Q80" s="44"/>
      <c r="R80" s="44"/>
      <c r="S80" s="44"/>
      <c r="T80" s="44"/>
      <c r="U80" s="44"/>
    </row>
    <row r="81" spans="1:21" x14ac:dyDescent="0.55000000000000004">
      <c r="A81" s="1" t="str">
        <f>'Population Definitions'!$A$11</f>
        <v>PLHIV HCW</v>
      </c>
      <c r="B81" s="1" t="s">
        <v>14</v>
      </c>
      <c r="C81" s="2" t="str">
        <f t="shared" si="8"/>
        <v>N.A.</v>
      </c>
      <c r="D81" s="1" t="s">
        <v>16</v>
      </c>
      <c r="E81" s="44">
        <f t="shared" si="9"/>
        <v>0</v>
      </c>
      <c r="F81" s="44"/>
      <c r="G81" s="44"/>
      <c r="H81" s="44"/>
      <c r="I81" s="44"/>
      <c r="J81" s="44"/>
      <c r="K81" s="44"/>
      <c r="L81" s="44"/>
      <c r="M81" s="44"/>
      <c r="N81" s="44"/>
      <c r="O81" s="44"/>
      <c r="P81" s="44"/>
      <c r="Q81" s="44"/>
      <c r="R81" s="44"/>
      <c r="S81" s="44"/>
      <c r="T81" s="44"/>
      <c r="U81" s="44"/>
    </row>
    <row r="82" spans="1:21" x14ac:dyDescent="0.55000000000000004">
      <c r="A82" s="1" t="str">
        <f>'Population Definitions'!$A$12</f>
        <v>Miners</v>
      </c>
      <c r="B82" s="1" t="s">
        <v>14</v>
      </c>
      <c r="C82" s="2" t="str">
        <f t="shared" si="8"/>
        <v>N.A.</v>
      </c>
      <c r="D82" s="1" t="s">
        <v>16</v>
      </c>
      <c r="E82" s="44">
        <f t="shared" si="9"/>
        <v>0</v>
      </c>
      <c r="F82" s="44"/>
      <c r="G82" s="44"/>
      <c r="H82" s="44"/>
      <c r="I82" s="44"/>
      <c r="J82" s="44"/>
      <c r="K82" s="44"/>
      <c r="L82" s="44"/>
      <c r="M82" s="44"/>
      <c r="N82" s="44"/>
      <c r="O82" s="44"/>
      <c r="P82" s="44"/>
      <c r="Q82" s="44"/>
      <c r="R82" s="44"/>
      <c r="S82" s="44"/>
      <c r="T82" s="44"/>
      <c r="U82" s="44"/>
    </row>
    <row r="83" spans="1:21" x14ac:dyDescent="0.55000000000000004">
      <c r="A83" s="1" t="str">
        <f>'Population Definitions'!$A$13</f>
        <v>PLHIV Miners</v>
      </c>
      <c r="B83" s="1" t="s">
        <v>14</v>
      </c>
      <c r="C83" s="2" t="str">
        <f t="shared" si="8"/>
        <v>N.A.</v>
      </c>
      <c r="D83" s="1" t="s">
        <v>16</v>
      </c>
      <c r="E83" s="44">
        <f t="shared" si="9"/>
        <v>0</v>
      </c>
      <c r="F83" s="44"/>
      <c r="G83" s="44"/>
      <c r="H83" s="44"/>
      <c r="I83" s="44"/>
      <c r="J83" s="44"/>
      <c r="K83" s="44"/>
      <c r="L83" s="44"/>
      <c r="M83" s="44"/>
      <c r="N83" s="44"/>
      <c r="O83" s="44"/>
      <c r="P83" s="44"/>
      <c r="Q83" s="44"/>
      <c r="R83" s="44"/>
      <c r="S83" s="44"/>
      <c r="T83" s="44"/>
      <c r="U83" s="44"/>
    </row>
    <row r="84" spans="1:21" x14ac:dyDescent="0.55000000000000004">
      <c r="E84" s="37"/>
      <c r="F84" s="37"/>
      <c r="G84" s="37"/>
      <c r="H84" s="37"/>
      <c r="I84" s="37"/>
      <c r="J84" s="37"/>
      <c r="K84" s="37"/>
      <c r="L84" s="37"/>
      <c r="M84" s="37"/>
      <c r="N84" s="37"/>
      <c r="O84" s="37"/>
      <c r="P84" s="37"/>
      <c r="Q84" s="37"/>
      <c r="R84" s="37"/>
      <c r="S84" s="37"/>
      <c r="T84" s="37"/>
      <c r="U84" s="37"/>
    </row>
    <row r="85" spans="1:21" x14ac:dyDescent="0.55000000000000004">
      <c r="A85" s="21" t="s">
        <v>61</v>
      </c>
      <c r="B85" s="1" t="s">
        <v>8</v>
      </c>
      <c r="C85" s="1" t="s">
        <v>9</v>
      </c>
      <c r="D85" s="1"/>
      <c r="E85" s="41">
        <v>2000</v>
      </c>
      <c r="F85" s="41">
        <v>2001</v>
      </c>
      <c r="G85" s="41">
        <v>2002</v>
      </c>
      <c r="H85" s="41">
        <v>2003</v>
      </c>
      <c r="I85" s="41">
        <v>2004</v>
      </c>
      <c r="J85" s="41">
        <v>2005</v>
      </c>
      <c r="K85" s="41">
        <v>2006</v>
      </c>
      <c r="L85" s="41">
        <v>2007</v>
      </c>
      <c r="M85" s="41">
        <v>2008</v>
      </c>
      <c r="N85" s="41">
        <v>2009</v>
      </c>
      <c r="O85" s="41">
        <v>2010</v>
      </c>
      <c r="P85" s="41">
        <v>2011</v>
      </c>
      <c r="Q85" s="41">
        <v>2012</v>
      </c>
      <c r="R85" s="41">
        <v>2013</v>
      </c>
      <c r="S85" s="41">
        <v>2014</v>
      </c>
      <c r="T85" s="41">
        <v>2015</v>
      </c>
      <c r="U85" s="41">
        <v>2016</v>
      </c>
    </row>
    <row r="86" spans="1:21" x14ac:dyDescent="0.55000000000000004">
      <c r="A86" s="1" t="str">
        <f>'Population Definitions'!$A$2</f>
        <v>Gen 0-4</v>
      </c>
      <c r="B86" s="1" t="s">
        <v>14</v>
      </c>
      <c r="C86" s="2">
        <f t="shared" ref="C86:C97" si="10">IF(SUMPRODUCT(--(E86:U86&lt;&gt;""))=0,0,"N.A.")</f>
        <v>0</v>
      </c>
      <c r="D86" s="1" t="s">
        <v>16</v>
      </c>
      <c r="E86" s="44"/>
      <c r="F86" s="44"/>
      <c r="G86" s="44"/>
      <c r="H86" s="44"/>
      <c r="I86" s="44"/>
      <c r="J86" s="44"/>
      <c r="K86" s="44"/>
      <c r="L86" s="44"/>
      <c r="M86" s="44"/>
      <c r="N86" s="44"/>
      <c r="O86" s="44"/>
      <c r="P86" s="44"/>
      <c r="Q86" s="44"/>
      <c r="R86" s="44"/>
      <c r="S86" s="44"/>
      <c r="T86" s="44"/>
      <c r="U86" s="44"/>
    </row>
    <row r="87" spans="1:21" x14ac:dyDescent="0.55000000000000004">
      <c r="A87" s="1" t="str">
        <f>'Population Definitions'!$A$3</f>
        <v>Gen 5-14</v>
      </c>
      <c r="B87" s="1" t="s">
        <v>14</v>
      </c>
      <c r="C87" s="2">
        <f t="shared" si="10"/>
        <v>0</v>
      </c>
      <c r="D87" s="1" t="s">
        <v>16</v>
      </c>
      <c r="E87" s="44"/>
      <c r="F87" s="44"/>
      <c r="G87" s="44"/>
      <c r="H87" s="44"/>
      <c r="I87" s="44"/>
      <c r="J87" s="44"/>
      <c r="K87" s="44"/>
      <c r="L87" s="44"/>
      <c r="M87" s="44"/>
      <c r="N87" s="44"/>
      <c r="O87" s="44"/>
      <c r="P87" s="44"/>
      <c r="Q87" s="44"/>
      <c r="R87" s="44"/>
      <c r="S87" s="44"/>
      <c r="T87" s="44"/>
      <c r="U87" s="44"/>
    </row>
    <row r="88" spans="1:21" x14ac:dyDescent="0.55000000000000004">
      <c r="A88" s="1" t="str">
        <f>'Population Definitions'!$A$4</f>
        <v>Gen 15-64</v>
      </c>
      <c r="B88" s="1" t="s">
        <v>14</v>
      </c>
      <c r="C88" s="2">
        <f t="shared" si="10"/>
        <v>0</v>
      </c>
      <c r="D88" s="1" t="s">
        <v>16</v>
      </c>
      <c r="E88" s="44"/>
      <c r="F88" s="44"/>
      <c r="G88" s="44"/>
      <c r="H88" s="44"/>
      <c r="I88" s="44"/>
      <c r="J88" s="44"/>
      <c r="K88" s="44"/>
      <c r="L88" s="44"/>
      <c r="M88" s="44"/>
      <c r="N88" s="44"/>
      <c r="O88" s="44"/>
      <c r="P88" s="44"/>
      <c r="Q88" s="44"/>
      <c r="R88" s="44"/>
      <c r="S88" s="44"/>
      <c r="T88" s="44"/>
      <c r="U88" s="44"/>
    </row>
    <row r="89" spans="1:21" x14ac:dyDescent="0.55000000000000004">
      <c r="A89" s="1" t="str">
        <f>'Population Definitions'!$A$5</f>
        <v>Gen 65+</v>
      </c>
      <c r="B89" s="1" t="s">
        <v>14</v>
      </c>
      <c r="C89" s="2">
        <f t="shared" si="10"/>
        <v>0</v>
      </c>
      <c r="D89" s="1" t="s">
        <v>16</v>
      </c>
      <c r="E89" s="44"/>
      <c r="F89" s="44"/>
      <c r="G89" s="44"/>
      <c r="H89" s="44"/>
      <c r="I89" s="44"/>
      <c r="J89" s="44"/>
      <c r="K89" s="44"/>
      <c r="L89" s="44"/>
      <c r="M89" s="44"/>
      <c r="N89" s="44"/>
      <c r="O89" s="44"/>
      <c r="P89" s="44"/>
      <c r="Q89" s="44"/>
      <c r="R89" s="44"/>
      <c r="S89" s="44"/>
      <c r="T89" s="44"/>
      <c r="U89" s="44"/>
    </row>
    <row r="90" spans="1:21" x14ac:dyDescent="0.55000000000000004">
      <c r="A90" s="1" t="str">
        <f>'Population Definitions'!$A$6</f>
        <v>PLHIV 15-64</v>
      </c>
      <c r="B90" s="1" t="s">
        <v>14</v>
      </c>
      <c r="C90" s="2">
        <f t="shared" si="10"/>
        <v>0</v>
      </c>
      <c r="D90" s="1" t="s">
        <v>16</v>
      </c>
      <c r="E90" s="44"/>
      <c r="F90" s="44"/>
      <c r="G90" s="44"/>
      <c r="H90" s="44"/>
      <c r="I90" s="44"/>
      <c r="J90" s="44"/>
      <c r="K90" s="44"/>
      <c r="L90" s="44"/>
      <c r="M90" s="44"/>
      <c r="N90" s="44"/>
      <c r="O90" s="44"/>
      <c r="P90" s="44"/>
      <c r="Q90" s="44"/>
      <c r="R90" s="44"/>
      <c r="S90" s="44"/>
      <c r="T90" s="44"/>
      <c r="U90" s="44"/>
    </row>
    <row r="91" spans="1:21" x14ac:dyDescent="0.55000000000000004">
      <c r="A91" s="1" t="str">
        <f>'Population Definitions'!$A$7</f>
        <v>PLHIV 65+</v>
      </c>
      <c r="B91" s="1" t="s">
        <v>14</v>
      </c>
      <c r="C91" s="2">
        <f t="shared" si="10"/>
        <v>0</v>
      </c>
      <c r="D91" s="1" t="s">
        <v>16</v>
      </c>
      <c r="E91" s="44"/>
      <c r="F91" s="44"/>
      <c r="G91" s="44"/>
      <c r="H91" s="44"/>
      <c r="I91" s="44"/>
      <c r="J91" s="44"/>
      <c r="K91" s="44"/>
      <c r="L91" s="44"/>
      <c r="M91" s="44"/>
      <c r="N91" s="44"/>
      <c r="O91" s="44"/>
      <c r="P91" s="44"/>
      <c r="Q91" s="44"/>
      <c r="R91" s="44"/>
      <c r="S91" s="44"/>
      <c r="T91" s="44"/>
      <c r="U91" s="44"/>
    </row>
    <row r="92" spans="1:21" x14ac:dyDescent="0.55000000000000004">
      <c r="A92" s="1" t="str">
        <f>'Population Definitions'!$A$8</f>
        <v>Prisoners</v>
      </c>
      <c r="B92" s="1" t="s">
        <v>14</v>
      </c>
      <c r="C92" s="2">
        <f t="shared" si="10"/>
        <v>0</v>
      </c>
      <c r="D92" s="1" t="s">
        <v>16</v>
      </c>
      <c r="E92" s="44"/>
      <c r="F92" s="44"/>
      <c r="G92" s="44"/>
      <c r="H92" s="44"/>
      <c r="I92" s="44"/>
      <c r="J92" s="44"/>
      <c r="K92" s="44"/>
      <c r="L92" s="44"/>
      <c r="M92" s="44"/>
      <c r="N92" s="44"/>
      <c r="O92" s="44"/>
      <c r="P92" s="44"/>
      <c r="Q92" s="44"/>
      <c r="R92" s="44"/>
      <c r="S92" s="44"/>
      <c r="T92" s="44"/>
      <c r="U92" s="44"/>
    </row>
    <row r="93" spans="1:21" x14ac:dyDescent="0.55000000000000004">
      <c r="A93" s="1" t="str">
        <f>'Population Definitions'!$A$9</f>
        <v>PLHIV Prisoners</v>
      </c>
      <c r="B93" s="1" t="s">
        <v>14</v>
      </c>
      <c r="C93" s="2">
        <f t="shared" si="10"/>
        <v>0</v>
      </c>
      <c r="D93" s="1" t="s">
        <v>16</v>
      </c>
      <c r="E93" s="44"/>
      <c r="F93" s="44"/>
      <c r="G93" s="44"/>
      <c r="H93" s="44"/>
      <c r="I93" s="44"/>
      <c r="J93" s="44"/>
      <c r="K93" s="44"/>
      <c r="L93" s="44"/>
      <c r="M93" s="44"/>
      <c r="N93" s="44"/>
      <c r="O93" s="44"/>
      <c r="P93" s="44"/>
      <c r="Q93" s="44"/>
      <c r="R93" s="44"/>
      <c r="S93" s="44"/>
      <c r="T93" s="44"/>
      <c r="U93" s="44"/>
    </row>
    <row r="94" spans="1:21" x14ac:dyDescent="0.55000000000000004">
      <c r="A94" s="1" t="str">
        <f>'Population Definitions'!$A$10</f>
        <v>HCW</v>
      </c>
      <c r="B94" s="1" t="s">
        <v>14</v>
      </c>
      <c r="C94" s="2">
        <f t="shared" si="10"/>
        <v>0</v>
      </c>
      <c r="D94" s="1" t="s">
        <v>16</v>
      </c>
      <c r="E94" s="44"/>
      <c r="F94" s="44"/>
      <c r="G94" s="44"/>
      <c r="H94" s="44"/>
      <c r="I94" s="44"/>
      <c r="J94" s="44"/>
      <c r="K94" s="44"/>
      <c r="L94" s="44"/>
      <c r="M94" s="44"/>
      <c r="N94" s="44"/>
      <c r="O94" s="44"/>
      <c r="P94" s="44"/>
      <c r="Q94" s="44"/>
      <c r="R94" s="44"/>
      <c r="S94" s="44"/>
      <c r="T94" s="44"/>
      <c r="U94" s="44"/>
    </row>
    <row r="95" spans="1:21" x14ac:dyDescent="0.55000000000000004">
      <c r="A95" s="1" t="str">
        <f>'Population Definitions'!$A$11</f>
        <v>PLHIV HCW</v>
      </c>
      <c r="B95" s="1" t="s">
        <v>14</v>
      </c>
      <c r="C95" s="2">
        <f t="shared" si="10"/>
        <v>0</v>
      </c>
      <c r="D95" s="1" t="s">
        <v>16</v>
      </c>
      <c r="E95" s="44"/>
      <c r="F95" s="44"/>
      <c r="G95" s="44"/>
      <c r="H95" s="44"/>
      <c r="I95" s="44"/>
      <c r="J95" s="44"/>
      <c r="K95" s="44"/>
      <c r="L95" s="44"/>
      <c r="M95" s="44"/>
      <c r="N95" s="44"/>
      <c r="O95" s="44"/>
      <c r="P95" s="44"/>
      <c r="Q95" s="44"/>
      <c r="R95" s="44"/>
      <c r="S95" s="44"/>
      <c r="T95" s="44"/>
      <c r="U95" s="44"/>
    </row>
    <row r="96" spans="1:21" x14ac:dyDescent="0.55000000000000004">
      <c r="A96" s="1" t="str">
        <f>'Population Definitions'!$A$12</f>
        <v>Miners</v>
      </c>
      <c r="B96" s="1" t="s">
        <v>14</v>
      </c>
      <c r="C96" s="2">
        <f t="shared" si="10"/>
        <v>0</v>
      </c>
      <c r="D96" s="1" t="s">
        <v>16</v>
      </c>
      <c r="E96" s="44"/>
      <c r="F96" s="44"/>
      <c r="G96" s="44"/>
      <c r="H96" s="44"/>
      <c r="I96" s="44"/>
      <c r="J96" s="44"/>
      <c r="K96" s="44"/>
      <c r="L96" s="44"/>
      <c r="M96" s="44"/>
      <c r="N96" s="44"/>
      <c r="O96" s="44"/>
      <c r="P96" s="44"/>
      <c r="Q96" s="44"/>
      <c r="R96" s="44"/>
      <c r="S96" s="44"/>
      <c r="T96" s="44"/>
      <c r="U96" s="44"/>
    </row>
    <row r="97" spans="1:21" x14ac:dyDescent="0.55000000000000004">
      <c r="A97" s="1" t="str">
        <f>'Population Definitions'!$A$13</f>
        <v>PLHIV Miners</v>
      </c>
      <c r="B97" s="1" t="s">
        <v>14</v>
      </c>
      <c r="C97" s="2">
        <f t="shared" si="10"/>
        <v>0</v>
      </c>
      <c r="D97" s="1" t="s">
        <v>16</v>
      </c>
      <c r="E97" s="44"/>
      <c r="F97" s="44"/>
      <c r="G97" s="44"/>
      <c r="H97" s="44"/>
      <c r="I97" s="44"/>
      <c r="J97" s="44"/>
      <c r="K97" s="44"/>
      <c r="L97" s="44"/>
      <c r="M97" s="44"/>
      <c r="N97" s="44"/>
      <c r="O97" s="44"/>
      <c r="P97" s="44"/>
      <c r="Q97" s="44"/>
      <c r="R97" s="44"/>
      <c r="S97" s="44"/>
      <c r="T97" s="44"/>
      <c r="U97" s="44"/>
    </row>
    <row r="98" spans="1:21" x14ac:dyDescent="0.55000000000000004">
      <c r="E98" s="37"/>
      <c r="F98" s="37"/>
      <c r="G98" s="37"/>
      <c r="H98" s="37"/>
      <c r="I98" s="37"/>
      <c r="J98" s="37"/>
      <c r="K98" s="37"/>
      <c r="L98" s="37"/>
      <c r="M98" s="37"/>
      <c r="N98" s="37"/>
      <c r="O98" s="37"/>
      <c r="P98" s="37"/>
      <c r="Q98" s="37"/>
      <c r="R98" s="37"/>
      <c r="S98" s="37"/>
      <c r="T98" s="37"/>
      <c r="U98" s="37"/>
    </row>
    <row r="99" spans="1:21" x14ac:dyDescent="0.55000000000000004">
      <c r="A99" s="21" t="s">
        <v>68</v>
      </c>
      <c r="B99" s="1" t="s">
        <v>8</v>
      </c>
      <c r="C99" s="1" t="s">
        <v>9</v>
      </c>
      <c r="D99" s="1"/>
      <c r="E99" s="41">
        <v>2000</v>
      </c>
      <c r="F99" s="41">
        <v>2001</v>
      </c>
      <c r="G99" s="41">
        <v>2002</v>
      </c>
      <c r="H99" s="41">
        <v>2003</v>
      </c>
      <c r="I99" s="41">
        <v>2004</v>
      </c>
      <c r="J99" s="41">
        <v>2005</v>
      </c>
      <c r="K99" s="41">
        <v>2006</v>
      </c>
      <c r="L99" s="41">
        <v>2007</v>
      </c>
      <c r="M99" s="41">
        <v>2008</v>
      </c>
      <c r="N99" s="41">
        <v>2009</v>
      </c>
      <c r="O99" s="41">
        <v>2010</v>
      </c>
      <c r="P99" s="41">
        <v>2011</v>
      </c>
      <c r="Q99" s="41">
        <v>2012</v>
      </c>
      <c r="R99" s="41">
        <v>2013</v>
      </c>
      <c r="S99" s="41">
        <v>2014</v>
      </c>
      <c r="T99" s="41">
        <v>2015</v>
      </c>
      <c r="U99" s="41">
        <v>2016</v>
      </c>
    </row>
    <row r="100" spans="1:21" x14ac:dyDescent="0.55000000000000004">
      <c r="A100" s="1" t="str">
        <f>'Population Definitions'!$A$2</f>
        <v>Gen 0-4</v>
      </c>
      <c r="B100" s="1" t="s">
        <v>14</v>
      </c>
      <c r="C100" s="2">
        <f t="shared" ref="C100:C111" si="11">IF(SUMPRODUCT(--(E100:U100&lt;&gt;""))=0,0,"N.A.")</f>
        <v>0</v>
      </c>
      <c r="D100" s="1" t="s">
        <v>16</v>
      </c>
      <c r="E100" s="44"/>
      <c r="F100" s="44"/>
      <c r="G100" s="44"/>
      <c r="H100" s="44"/>
      <c r="I100" s="44"/>
      <c r="J100" s="44"/>
      <c r="K100" s="44"/>
      <c r="L100" s="44"/>
      <c r="M100" s="44"/>
      <c r="N100" s="44"/>
      <c r="O100" s="44"/>
      <c r="P100" s="44"/>
      <c r="Q100" s="44"/>
      <c r="R100" s="44"/>
      <c r="S100" s="44"/>
      <c r="T100" s="44"/>
      <c r="U100" s="44"/>
    </row>
    <row r="101" spans="1:21" x14ac:dyDescent="0.55000000000000004">
      <c r="A101" s="1" t="str">
        <f>'Population Definitions'!$A$3</f>
        <v>Gen 5-14</v>
      </c>
      <c r="B101" s="1" t="s">
        <v>14</v>
      </c>
      <c r="C101" s="2">
        <f t="shared" si="11"/>
        <v>0</v>
      </c>
      <c r="D101" s="1" t="s">
        <v>16</v>
      </c>
      <c r="E101" s="44"/>
      <c r="F101" s="44"/>
      <c r="G101" s="44"/>
      <c r="H101" s="44"/>
      <c r="I101" s="44"/>
      <c r="J101" s="44"/>
      <c r="K101" s="44"/>
      <c r="L101" s="44"/>
      <c r="M101" s="44"/>
      <c r="N101" s="44"/>
      <c r="O101" s="44"/>
      <c r="P101" s="44"/>
      <c r="Q101" s="44"/>
      <c r="R101" s="44"/>
      <c r="S101" s="44"/>
      <c r="T101" s="44"/>
      <c r="U101" s="44"/>
    </row>
    <row r="102" spans="1:21" x14ac:dyDescent="0.55000000000000004">
      <c r="A102" s="1" t="str">
        <f>'Population Definitions'!$A$4</f>
        <v>Gen 15-64</v>
      </c>
      <c r="B102" s="1" t="s">
        <v>14</v>
      </c>
      <c r="C102" s="2">
        <f t="shared" si="11"/>
        <v>0</v>
      </c>
      <c r="D102" s="1" t="s">
        <v>16</v>
      </c>
      <c r="E102" s="44"/>
      <c r="F102" s="44"/>
      <c r="G102" s="44"/>
      <c r="H102" s="44"/>
      <c r="I102" s="44"/>
      <c r="J102" s="44"/>
      <c r="K102" s="44"/>
      <c r="L102" s="44"/>
      <c r="M102" s="44"/>
      <c r="N102" s="44"/>
      <c r="O102" s="44"/>
      <c r="P102" s="44"/>
      <c r="Q102" s="44"/>
      <c r="R102" s="44"/>
      <c r="S102" s="44"/>
      <c r="T102" s="44"/>
      <c r="U102" s="44"/>
    </row>
    <row r="103" spans="1:21" x14ac:dyDescent="0.55000000000000004">
      <c r="A103" s="1" t="str">
        <f>'Population Definitions'!$A$5</f>
        <v>Gen 65+</v>
      </c>
      <c r="B103" s="1" t="s">
        <v>14</v>
      </c>
      <c r="C103" s="2">
        <f t="shared" si="11"/>
        <v>0</v>
      </c>
      <c r="D103" s="1" t="s">
        <v>16</v>
      </c>
      <c r="E103" s="44"/>
      <c r="F103" s="44"/>
      <c r="G103" s="44"/>
      <c r="H103" s="44"/>
      <c r="I103" s="44"/>
      <c r="J103" s="44"/>
      <c r="K103" s="44"/>
      <c r="L103" s="44"/>
      <c r="M103" s="44"/>
      <c r="N103" s="44"/>
      <c r="O103" s="44"/>
      <c r="P103" s="44"/>
      <c r="Q103" s="44"/>
      <c r="R103" s="44"/>
      <c r="S103" s="44"/>
      <c r="T103" s="44"/>
      <c r="U103" s="44"/>
    </row>
    <row r="104" spans="1:21" x14ac:dyDescent="0.55000000000000004">
      <c r="A104" s="1" t="str">
        <f>'Population Definitions'!$A$6</f>
        <v>PLHIV 15-64</v>
      </c>
      <c r="B104" s="1" t="s">
        <v>14</v>
      </c>
      <c r="C104" s="2">
        <f t="shared" si="11"/>
        <v>0</v>
      </c>
      <c r="D104" s="1" t="s">
        <v>16</v>
      </c>
      <c r="E104" s="44"/>
      <c r="F104" s="44"/>
      <c r="G104" s="44"/>
      <c r="H104" s="44"/>
      <c r="I104" s="44"/>
      <c r="J104" s="44"/>
      <c r="K104" s="44"/>
      <c r="L104" s="44"/>
      <c r="M104" s="44"/>
      <c r="N104" s="44"/>
      <c r="O104" s="44"/>
      <c r="P104" s="44"/>
      <c r="Q104" s="44"/>
      <c r="R104" s="44"/>
      <c r="S104" s="44"/>
      <c r="T104" s="44"/>
      <c r="U104" s="44"/>
    </row>
    <row r="105" spans="1:21" x14ac:dyDescent="0.55000000000000004">
      <c r="A105" s="1" t="str">
        <f>'Population Definitions'!$A$7</f>
        <v>PLHIV 65+</v>
      </c>
      <c r="B105" s="1" t="s">
        <v>14</v>
      </c>
      <c r="C105" s="2">
        <f t="shared" si="11"/>
        <v>0</v>
      </c>
      <c r="D105" s="1" t="s">
        <v>16</v>
      </c>
      <c r="E105" s="44"/>
      <c r="F105" s="44"/>
      <c r="G105" s="44"/>
      <c r="H105" s="44"/>
      <c r="I105" s="44"/>
      <c r="J105" s="44"/>
      <c r="K105" s="44"/>
      <c r="L105" s="44"/>
      <c r="M105" s="44"/>
      <c r="N105" s="44"/>
      <c r="O105" s="44"/>
      <c r="P105" s="44"/>
      <c r="Q105" s="44"/>
      <c r="R105" s="44"/>
      <c r="S105" s="44"/>
      <c r="T105" s="44"/>
      <c r="U105" s="44"/>
    </row>
    <row r="106" spans="1:21" x14ac:dyDescent="0.55000000000000004">
      <c r="A106" s="1" t="str">
        <f>'Population Definitions'!$A$8</f>
        <v>Prisoners</v>
      </c>
      <c r="B106" s="1" t="s">
        <v>14</v>
      </c>
      <c r="C106" s="2">
        <f t="shared" si="11"/>
        <v>0</v>
      </c>
      <c r="D106" s="1" t="s">
        <v>16</v>
      </c>
      <c r="E106" s="44"/>
      <c r="F106" s="44"/>
      <c r="G106" s="44"/>
      <c r="H106" s="44"/>
      <c r="I106" s="44"/>
      <c r="J106" s="44"/>
      <c r="K106" s="44"/>
      <c r="L106" s="44"/>
      <c r="M106" s="44"/>
      <c r="N106" s="44"/>
      <c r="O106" s="44"/>
      <c r="P106" s="44"/>
      <c r="Q106" s="44"/>
      <c r="R106" s="44"/>
      <c r="S106" s="44"/>
      <c r="T106" s="44"/>
      <c r="U106" s="44"/>
    </row>
    <row r="107" spans="1:21" x14ac:dyDescent="0.55000000000000004">
      <c r="A107" s="1" t="str">
        <f>'Population Definitions'!$A$9</f>
        <v>PLHIV Prisoners</v>
      </c>
      <c r="B107" s="1" t="s">
        <v>14</v>
      </c>
      <c r="C107" s="2">
        <f t="shared" si="11"/>
        <v>0</v>
      </c>
      <c r="D107" s="1" t="s">
        <v>16</v>
      </c>
      <c r="E107" s="44"/>
      <c r="F107" s="44"/>
      <c r="G107" s="44"/>
      <c r="H107" s="44"/>
      <c r="I107" s="44"/>
      <c r="J107" s="44"/>
      <c r="K107" s="44"/>
      <c r="L107" s="44"/>
      <c r="M107" s="44"/>
      <c r="N107" s="44"/>
      <c r="O107" s="44"/>
      <c r="P107" s="44"/>
      <c r="Q107" s="44"/>
      <c r="R107" s="44"/>
      <c r="S107" s="44"/>
      <c r="T107" s="44"/>
      <c r="U107" s="44"/>
    </row>
    <row r="108" spans="1:21" x14ac:dyDescent="0.55000000000000004">
      <c r="A108" s="1" t="str">
        <f>'Population Definitions'!$A$10</f>
        <v>HCW</v>
      </c>
      <c r="B108" s="1" t="s">
        <v>14</v>
      </c>
      <c r="C108" s="2">
        <f t="shared" si="11"/>
        <v>0</v>
      </c>
      <c r="D108" s="1" t="s">
        <v>16</v>
      </c>
      <c r="E108" s="44"/>
      <c r="F108" s="44"/>
      <c r="G108" s="44"/>
      <c r="H108" s="44"/>
      <c r="I108" s="44"/>
      <c r="J108" s="44"/>
      <c r="K108" s="44"/>
      <c r="L108" s="44"/>
      <c r="M108" s="44"/>
      <c r="N108" s="44"/>
      <c r="O108" s="44"/>
      <c r="P108" s="44"/>
      <c r="Q108" s="44"/>
      <c r="R108" s="44"/>
      <c r="S108" s="44"/>
      <c r="T108" s="44"/>
      <c r="U108" s="44"/>
    </row>
    <row r="109" spans="1:21" x14ac:dyDescent="0.55000000000000004">
      <c r="A109" s="1" t="str">
        <f>'Population Definitions'!$A$11</f>
        <v>PLHIV HCW</v>
      </c>
      <c r="B109" s="1" t="s">
        <v>14</v>
      </c>
      <c r="C109" s="2">
        <f t="shared" si="11"/>
        <v>0</v>
      </c>
      <c r="D109" s="1" t="s">
        <v>16</v>
      </c>
      <c r="E109" s="44"/>
      <c r="F109" s="44"/>
      <c r="G109" s="44"/>
      <c r="H109" s="44"/>
      <c r="I109" s="44"/>
      <c r="J109" s="44"/>
      <c r="K109" s="44"/>
      <c r="L109" s="44"/>
      <c r="M109" s="44"/>
      <c r="N109" s="44"/>
      <c r="O109" s="44"/>
      <c r="P109" s="44"/>
      <c r="Q109" s="44"/>
      <c r="R109" s="44"/>
      <c r="S109" s="44"/>
      <c r="T109" s="44"/>
      <c r="U109" s="44"/>
    </row>
    <row r="110" spans="1:21" x14ac:dyDescent="0.55000000000000004">
      <c r="A110" s="1" t="str">
        <f>'Population Definitions'!$A$12</f>
        <v>Miners</v>
      </c>
      <c r="B110" s="1" t="s">
        <v>14</v>
      </c>
      <c r="C110" s="2">
        <f t="shared" si="11"/>
        <v>0</v>
      </c>
      <c r="D110" s="1" t="s">
        <v>16</v>
      </c>
      <c r="E110" s="44"/>
      <c r="F110" s="44"/>
      <c r="G110" s="44"/>
      <c r="H110" s="44"/>
      <c r="I110" s="44"/>
      <c r="J110" s="44"/>
      <c r="K110" s="44"/>
      <c r="L110" s="44"/>
      <c r="M110" s="44"/>
      <c r="N110" s="44"/>
      <c r="O110" s="44"/>
      <c r="P110" s="44"/>
      <c r="Q110" s="44"/>
      <c r="R110" s="44"/>
      <c r="S110" s="44"/>
      <c r="T110" s="44"/>
      <c r="U110" s="44"/>
    </row>
    <row r="111" spans="1:21" x14ac:dyDescent="0.55000000000000004">
      <c r="A111" s="1" t="str">
        <f>'Population Definitions'!$A$13</f>
        <v>PLHIV Miners</v>
      </c>
      <c r="B111" s="1" t="s">
        <v>14</v>
      </c>
      <c r="C111" s="2">
        <f t="shared" si="11"/>
        <v>0</v>
      </c>
      <c r="D111" s="1" t="s">
        <v>16</v>
      </c>
      <c r="E111" s="44"/>
      <c r="F111" s="44"/>
      <c r="G111" s="44"/>
      <c r="H111" s="44"/>
      <c r="I111" s="44"/>
      <c r="J111" s="44"/>
      <c r="K111" s="44"/>
      <c r="L111" s="44"/>
      <c r="M111" s="44"/>
      <c r="N111" s="44"/>
      <c r="O111" s="44"/>
      <c r="P111" s="44"/>
      <c r="Q111" s="44"/>
      <c r="R111" s="44"/>
      <c r="S111" s="44"/>
      <c r="T111" s="44"/>
      <c r="U111" s="44"/>
    </row>
    <row r="112" spans="1:21" x14ac:dyDescent="0.55000000000000004">
      <c r="E112" s="37"/>
      <c r="F112" s="37"/>
      <c r="G112" s="37"/>
      <c r="H112" s="37"/>
      <c r="I112" s="37"/>
      <c r="J112" s="37"/>
      <c r="K112" s="37"/>
      <c r="L112" s="37"/>
      <c r="M112" s="37"/>
      <c r="N112" s="37"/>
      <c r="O112" s="37"/>
      <c r="P112" s="37"/>
      <c r="Q112" s="37"/>
      <c r="R112" s="37"/>
      <c r="S112" s="37"/>
      <c r="T112" s="37"/>
      <c r="U112" s="37"/>
    </row>
    <row r="113" spans="1:21" x14ac:dyDescent="0.55000000000000004">
      <c r="A113" s="21" t="s">
        <v>73</v>
      </c>
      <c r="B113" s="1" t="s">
        <v>8</v>
      </c>
      <c r="C113" s="1" t="s">
        <v>9</v>
      </c>
      <c r="D113" s="1"/>
      <c r="E113" s="41">
        <v>2000</v>
      </c>
      <c r="F113" s="41">
        <v>2001</v>
      </c>
      <c r="G113" s="41">
        <v>2002</v>
      </c>
      <c r="H113" s="41">
        <v>2003</v>
      </c>
      <c r="I113" s="41">
        <v>2004</v>
      </c>
      <c r="J113" s="41">
        <v>2005</v>
      </c>
      <c r="K113" s="41">
        <v>2006</v>
      </c>
      <c r="L113" s="41">
        <v>2007</v>
      </c>
      <c r="M113" s="41">
        <v>2008</v>
      </c>
      <c r="N113" s="41">
        <v>2009</v>
      </c>
      <c r="O113" s="41">
        <v>2010</v>
      </c>
      <c r="P113" s="41">
        <v>2011</v>
      </c>
      <c r="Q113" s="41">
        <v>2012</v>
      </c>
      <c r="R113" s="41">
        <v>2013</v>
      </c>
      <c r="S113" s="41">
        <v>2014</v>
      </c>
      <c r="T113" s="41">
        <v>2015</v>
      </c>
      <c r="U113" s="41">
        <v>2016</v>
      </c>
    </row>
    <row r="114" spans="1:21" x14ac:dyDescent="0.55000000000000004">
      <c r="A114" s="1" t="str">
        <f>'Population Definitions'!$A$2</f>
        <v>Gen 0-4</v>
      </c>
      <c r="B114" s="1" t="s">
        <v>14</v>
      </c>
      <c r="C114" s="2">
        <f t="shared" ref="C114:C125" si="12">IF(SUMPRODUCT(--(E114:U114&lt;&gt;""))=0,0,"N.A.")</f>
        <v>0</v>
      </c>
      <c r="D114" s="1" t="s">
        <v>16</v>
      </c>
      <c r="E114" s="44"/>
      <c r="F114" s="44"/>
      <c r="G114" s="44"/>
      <c r="H114" s="44"/>
      <c r="I114" s="44"/>
      <c r="J114" s="44"/>
      <c r="K114" s="44"/>
      <c r="L114" s="44"/>
      <c r="M114" s="44"/>
      <c r="N114" s="44"/>
      <c r="O114" s="44"/>
      <c r="P114" s="44"/>
      <c r="Q114" s="44"/>
      <c r="R114" s="44"/>
      <c r="S114" s="44"/>
      <c r="T114" s="44"/>
      <c r="U114" s="44"/>
    </row>
    <row r="115" spans="1:21" x14ac:dyDescent="0.55000000000000004">
      <c r="A115" s="1" t="str">
        <f>'Population Definitions'!$A$3</f>
        <v>Gen 5-14</v>
      </c>
      <c r="B115" s="1" t="s">
        <v>14</v>
      </c>
      <c r="C115" s="2">
        <f t="shared" si="12"/>
        <v>0</v>
      </c>
      <c r="D115" s="1" t="s">
        <v>16</v>
      </c>
      <c r="E115" s="44"/>
      <c r="F115" s="44"/>
      <c r="G115" s="44"/>
      <c r="H115" s="44"/>
      <c r="I115" s="44"/>
      <c r="J115" s="44"/>
      <c r="K115" s="44"/>
      <c r="L115" s="44"/>
      <c r="M115" s="44"/>
      <c r="N115" s="44"/>
      <c r="O115" s="44"/>
      <c r="P115" s="44"/>
      <c r="Q115" s="44"/>
      <c r="R115" s="44"/>
      <c r="S115" s="44"/>
      <c r="T115" s="44"/>
      <c r="U115" s="44"/>
    </row>
    <row r="116" spans="1:21" x14ac:dyDescent="0.55000000000000004">
      <c r="A116" s="1" t="str">
        <f>'Population Definitions'!$A$4</f>
        <v>Gen 15-64</v>
      </c>
      <c r="B116" s="1" t="s">
        <v>14</v>
      </c>
      <c r="C116" s="2">
        <f t="shared" si="12"/>
        <v>0</v>
      </c>
      <c r="D116" s="1" t="s">
        <v>16</v>
      </c>
      <c r="E116" s="44"/>
      <c r="F116" s="44"/>
      <c r="G116" s="44"/>
      <c r="H116" s="44"/>
      <c r="I116" s="44"/>
      <c r="J116" s="44"/>
      <c r="K116" s="44"/>
      <c r="L116" s="44"/>
      <c r="M116" s="44"/>
      <c r="N116" s="44"/>
      <c r="O116" s="44"/>
      <c r="P116" s="44"/>
      <c r="Q116" s="44"/>
      <c r="R116" s="44"/>
      <c r="S116" s="44"/>
      <c r="T116" s="44"/>
      <c r="U116" s="44"/>
    </row>
    <row r="117" spans="1:21" x14ac:dyDescent="0.55000000000000004">
      <c r="A117" s="1" t="str">
        <f>'Population Definitions'!$A$5</f>
        <v>Gen 65+</v>
      </c>
      <c r="B117" s="1" t="s">
        <v>14</v>
      </c>
      <c r="C117" s="2">
        <f t="shared" si="12"/>
        <v>0</v>
      </c>
      <c r="D117" s="1" t="s">
        <v>16</v>
      </c>
      <c r="E117" s="44"/>
      <c r="F117" s="44"/>
      <c r="G117" s="44"/>
      <c r="H117" s="44"/>
      <c r="I117" s="44"/>
      <c r="J117" s="44"/>
      <c r="K117" s="44"/>
      <c r="L117" s="44"/>
      <c r="M117" s="44"/>
      <c r="N117" s="44"/>
      <c r="O117" s="44"/>
      <c r="P117" s="44"/>
      <c r="Q117" s="44"/>
      <c r="R117" s="44"/>
      <c r="S117" s="44"/>
      <c r="T117" s="44"/>
      <c r="U117" s="44"/>
    </row>
    <row r="118" spans="1:21" x14ac:dyDescent="0.55000000000000004">
      <c r="A118" s="1" t="str">
        <f>'Population Definitions'!$A$6</f>
        <v>PLHIV 15-64</v>
      </c>
      <c r="B118" s="1" t="s">
        <v>14</v>
      </c>
      <c r="C118" s="2">
        <f t="shared" si="12"/>
        <v>0</v>
      </c>
      <c r="D118" s="1" t="s">
        <v>16</v>
      </c>
      <c r="E118" s="44"/>
      <c r="F118" s="44"/>
      <c r="G118" s="44"/>
      <c r="H118" s="44"/>
      <c r="I118" s="44"/>
      <c r="J118" s="44"/>
      <c r="K118" s="44"/>
      <c r="L118" s="44"/>
      <c r="M118" s="44"/>
      <c r="N118" s="44"/>
      <c r="O118" s="44"/>
      <c r="P118" s="44"/>
      <c r="Q118" s="44"/>
      <c r="R118" s="44"/>
      <c r="S118" s="44"/>
      <c r="T118" s="44"/>
      <c r="U118" s="44"/>
    </row>
    <row r="119" spans="1:21" x14ac:dyDescent="0.55000000000000004">
      <c r="A119" s="1" t="str">
        <f>'Population Definitions'!$A$7</f>
        <v>PLHIV 65+</v>
      </c>
      <c r="B119" s="1" t="s">
        <v>14</v>
      </c>
      <c r="C119" s="2">
        <f t="shared" si="12"/>
        <v>0</v>
      </c>
      <c r="D119" s="1" t="s">
        <v>16</v>
      </c>
      <c r="E119" s="44"/>
      <c r="F119" s="44"/>
      <c r="G119" s="44"/>
      <c r="H119" s="44"/>
      <c r="I119" s="44"/>
      <c r="J119" s="44"/>
      <c r="K119" s="44"/>
      <c r="L119" s="44"/>
      <c r="M119" s="44"/>
      <c r="N119" s="44"/>
      <c r="O119" s="44"/>
      <c r="P119" s="44"/>
      <c r="Q119" s="44"/>
      <c r="R119" s="44"/>
      <c r="S119" s="44"/>
      <c r="T119" s="44"/>
      <c r="U119" s="44"/>
    </row>
    <row r="120" spans="1:21" x14ac:dyDescent="0.55000000000000004">
      <c r="A120" s="1" t="str">
        <f>'Population Definitions'!$A$8</f>
        <v>Prisoners</v>
      </c>
      <c r="B120" s="1" t="s">
        <v>14</v>
      </c>
      <c r="C120" s="2">
        <f t="shared" si="12"/>
        <v>0</v>
      </c>
      <c r="D120" s="1" t="s">
        <v>16</v>
      </c>
      <c r="E120" s="44"/>
      <c r="F120" s="44"/>
      <c r="G120" s="44"/>
      <c r="H120" s="44"/>
      <c r="I120" s="44"/>
      <c r="J120" s="44"/>
      <c r="K120" s="44"/>
      <c r="L120" s="44"/>
      <c r="M120" s="44"/>
      <c r="N120" s="44"/>
      <c r="O120" s="44"/>
      <c r="P120" s="44"/>
      <c r="Q120" s="44"/>
      <c r="R120" s="44"/>
      <c r="S120" s="44"/>
      <c r="T120" s="44"/>
      <c r="U120" s="44"/>
    </row>
    <row r="121" spans="1:21" x14ac:dyDescent="0.55000000000000004">
      <c r="A121" s="1" t="str">
        <f>'Population Definitions'!$A$9</f>
        <v>PLHIV Prisoners</v>
      </c>
      <c r="B121" s="1" t="s">
        <v>14</v>
      </c>
      <c r="C121" s="2">
        <f t="shared" si="12"/>
        <v>0</v>
      </c>
      <c r="D121" s="1" t="s">
        <v>16</v>
      </c>
      <c r="E121" s="44"/>
      <c r="F121" s="44"/>
      <c r="G121" s="44"/>
      <c r="H121" s="44"/>
      <c r="I121" s="44"/>
      <c r="J121" s="44"/>
      <c r="K121" s="44"/>
      <c r="L121" s="44"/>
      <c r="M121" s="44"/>
      <c r="N121" s="44"/>
      <c r="O121" s="44"/>
      <c r="P121" s="44"/>
      <c r="Q121" s="44"/>
      <c r="R121" s="44"/>
      <c r="S121" s="44"/>
      <c r="T121" s="44"/>
      <c r="U121" s="44"/>
    </row>
    <row r="122" spans="1:21" x14ac:dyDescent="0.55000000000000004">
      <c r="A122" s="1" t="str">
        <f>'Population Definitions'!$A$10</f>
        <v>HCW</v>
      </c>
      <c r="B122" s="1" t="s">
        <v>14</v>
      </c>
      <c r="C122" s="2">
        <f t="shared" si="12"/>
        <v>0</v>
      </c>
      <c r="D122" s="1" t="s">
        <v>16</v>
      </c>
      <c r="E122" s="44"/>
      <c r="F122" s="44"/>
      <c r="G122" s="44"/>
      <c r="H122" s="44"/>
      <c r="I122" s="44"/>
      <c r="J122" s="44"/>
      <c r="K122" s="44"/>
      <c r="L122" s="44"/>
      <c r="M122" s="44"/>
      <c r="N122" s="44"/>
      <c r="O122" s="44"/>
      <c r="P122" s="44"/>
      <c r="Q122" s="44"/>
      <c r="R122" s="44"/>
      <c r="S122" s="44"/>
      <c r="T122" s="44"/>
      <c r="U122" s="44"/>
    </row>
    <row r="123" spans="1:21" x14ac:dyDescent="0.55000000000000004">
      <c r="A123" s="1" t="str">
        <f>'Population Definitions'!$A$11</f>
        <v>PLHIV HCW</v>
      </c>
      <c r="B123" s="1" t="s">
        <v>14</v>
      </c>
      <c r="C123" s="2">
        <f t="shared" si="12"/>
        <v>0</v>
      </c>
      <c r="D123" s="1" t="s">
        <v>16</v>
      </c>
      <c r="E123" s="44"/>
      <c r="F123" s="44"/>
      <c r="G123" s="44"/>
      <c r="H123" s="44"/>
      <c r="I123" s="44"/>
      <c r="J123" s="44"/>
      <c r="K123" s="44"/>
      <c r="L123" s="44"/>
      <c r="M123" s="44"/>
      <c r="N123" s="44"/>
      <c r="O123" s="44"/>
      <c r="P123" s="44"/>
      <c r="Q123" s="44"/>
      <c r="R123" s="44"/>
      <c r="S123" s="44"/>
      <c r="T123" s="44"/>
      <c r="U123" s="44"/>
    </row>
    <row r="124" spans="1:21" x14ac:dyDescent="0.55000000000000004">
      <c r="A124" s="1" t="str">
        <f>'Population Definitions'!$A$12</f>
        <v>Miners</v>
      </c>
      <c r="B124" s="1" t="s">
        <v>14</v>
      </c>
      <c r="C124" s="2">
        <f t="shared" si="12"/>
        <v>0</v>
      </c>
      <c r="D124" s="1" t="s">
        <v>16</v>
      </c>
      <c r="E124" s="44"/>
      <c r="F124" s="44"/>
      <c r="G124" s="44"/>
      <c r="H124" s="44"/>
      <c r="I124" s="44"/>
      <c r="J124" s="44"/>
      <c r="K124" s="44"/>
      <c r="L124" s="44"/>
      <c r="M124" s="44"/>
      <c r="N124" s="44"/>
      <c r="O124" s="44"/>
      <c r="P124" s="44"/>
      <c r="Q124" s="44"/>
      <c r="R124" s="44"/>
      <c r="S124" s="44"/>
      <c r="T124" s="44"/>
      <c r="U124" s="44"/>
    </row>
    <row r="125" spans="1:21" x14ac:dyDescent="0.55000000000000004">
      <c r="A125" s="1" t="str">
        <f>'Population Definitions'!$A$13</f>
        <v>PLHIV Miners</v>
      </c>
      <c r="B125" s="1" t="s">
        <v>14</v>
      </c>
      <c r="C125" s="2">
        <f t="shared" si="12"/>
        <v>0</v>
      </c>
      <c r="D125" s="1" t="s">
        <v>16</v>
      </c>
      <c r="E125" s="44"/>
      <c r="F125" s="44"/>
      <c r="G125" s="44"/>
      <c r="H125" s="44"/>
      <c r="I125" s="44"/>
      <c r="J125" s="44"/>
      <c r="K125" s="44"/>
      <c r="L125" s="44"/>
      <c r="M125" s="44"/>
      <c r="N125" s="44"/>
      <c r="O125" s="44"/>
      <c r="P125" s="44"/>
      <c r="Q125" s="44"/>
      <c r="R125" s="44"/>
      <c r="S125" s="44"/>
      <c r="T125" s="44"/>
      <c r="U125" s="44"/>
    </row>
    <row r="126" spans="1:21" x14ac:dyDescent="0.55000000000000004">
      <c r="E126" s="37"/>
      <c r="F126" s="37"/>
      <c r="G126" s="37"/>
      <c r="H126" s="37"/>
      <c r="I126" s="37"/>
      <c r="J126" s="37"/>
      <c r="K126" s="37"/>
      <c r="L126" s="37"/>
      <c r="M126" s="37"/>
      <c r="N126" s="37"/>
      <c r="O126" s="37"/>
      <c r="P126" s="37"/>
      <c r="Q126" s="37"/>
      <c r="R126" s="37"/>
      <c r="S126" s="37"/>
      <c r="T126" s="37"/>
      <c r="U126" s="37"/>
    </row>
    <row r="127" spans="1:21" x14ac:dyDescent="0.55000000000000004">
      <c r="A127" s="21" t="s">
        <v>78</v>
      </c>
      <c r="B127" s="1" t="s">
        <v>8</v>
      </c>
      <c r="C127" s="1" t="s">
        <v>9</v>
      </c>
      <c r="D127" s="1"/>
      <c r="E127" s="41">
        <v>2000</v>
      </c>
      <c r="F127" s="41">
        <v>2001</v>
      </c>
      <c r="G127" s="41">
        <v>2002</v>
      </c>
      <c r="H127" s="41">
        <v>2003</v>
      </c>
      <c r="I127" s="41">
        <v>2004</v>
      </c>
      <c r="J127" s="41">
        <v>2005</v>
      </c>
      <c r="K127" s="41">
        <v>2006</v>
      </c>
      <c r="L127" s="41">
        <v>2007</v>
      </c>
      <c r="M127" s="41">
        <v>2008</v>
      </c>
      <c r="N127" s="41">
        <v>2009</v>
      </c>
      <c r="O127" s="41">
        <v>2010</v>
      </c>
      <c r="P127" s="41">
        <v>2011</v>
      </c>
      <c r="Q127" s="41">
        <v>2012</v>
      </c>
      <c r="R127" s="41">
        <v>2013</v>
      </c>
      <c r="S127" s="41">
        <v>2014</v>
      </c>
      <c r="T127" s="41">
        <v>2015</v>
      </c>
      <c r="U127" s="41">
        <v>2016</v>
      </c>
    </row>
    <row r="128" spans="1:21" x14ac:dyDescent="0.55000000000000004">
      <c r="A128" s="1" t="str">
        <f>'Population Definitions'!$A$2</f>
        <v>Gen 0-4</v>
      </c>
      <c r="B128" s="1" t="s">
        <v>14</v>
      </c>
      <c r="C128" s="2">
        <f t="shared" ref="C128:C139" si="13">IF(SUMPRODUCT(--(E128:U128&lt;&gt;""))=0,0,"N.A.")</f>
        <v>0</v>
      </c>
      <c r="D128" s="1" t="s">
        <v>16</v>
      </c>
      <c r="E128" s="44"/>
      <c r="F128" s="44"/>
      <c r="G128" s="44"/>
      <c r="H128" s="44"/>
      <c r="I128" s="44"/>
      <c r="J128" s="44"/>
      <c r="K128" s="44"/>
      <c r="L128" s="44"/>
      <c r="M128" s="44"/>
      <c r="N128" s="44"/>
      <c r="O128" s="44"/>
      <c r="P128" s="44"/>
      <c r="Q128" s="44"/>
      <c r="R128" s="44"/>
      <c r="S128" s="44"/>
      <c r="T128" s="44"/>
      <c r="U128" s="44"/>
    </row>
    <row r="129" spans="1:21" x14ac:dyDescent="0.55000000000000004">
      <c r="A129" s="1" t="str">
        <f>'Population Definitions'!$A$3</f>
        <v>Gen 5-14</v>
      </c>
      <c r="B129" s="1" t="s">
        <v>14</v>
      </c>
      <c r="C129" s="2">
        <f t="shared" si="13"/>
        <v>0</v>
      </c>
      <c r="D129" s="1" t="s">
        <v>16</v>
      </c>
      <c r="E129" s="44"/>
      <c r="F129" s="44"/>
      <c r="G129" s="44"/>
      <c r="H129" s="44"/>
      <c r="I129" s="44"/>
      <c r="J129" s="44"/>
      <c r="K129" s="44"/>
      <c r="L129" s="44"/>
      <c r="M129" s="44"/>
      <c r="N129" s="44"/>
      <c r="O129" s="44"/>
      <c r="P129" s="44"/>
      <c r="Q129" s="44"/>
      <c r="R129" s="44"/>
      <c r="S129" s="44"/>
      <c r="T129" s="44"/>
      <c r="U129" s="44"/>
    </row>
    <row r="130" spans="1:21" x14ac:dyDescent="0.55000000000000004">
      <c r="A130" s="1" t="str">
        <f>'Population Definitions'!$A$4</f>
        <v>Gen 15-64</v>
      </c>
      <c r="B130" s="1" t="s">
        <v>14</v>
      </c>
      <c r="C130" s="2">
        <f t="shared" si="13"/>
        <v>0</v>
      </c>
      <c r="D130" s="1" t="s">
        <v>16</v>
      </c>
      <c r="E130" s="44"/>
      <c r="F130" s="44"/>
      <c r="G130" s="44"/>
      <c r="H130" s="44"/>
      <c r="I130" s="44"/>
      <c r="J130" s="44"/>
      <c r="K130" s="44"/>
      <c r="L130" s="44"/>
      <c r="M130" s="44"/>
      <c r="N130" s="44"/>
      <c r="O130" s="44"/>
      <c r="P130" s="44"/>
      <c r="Q130" s="44"/>
      <c r="R130" s="44"/>
      <c r="S130" s="44"/>
      <c r="T130" s="44"/>
      <c r="U130" s="44"/>
    </row>
    <row r="131" spans="1:21" x14ac:dyDescent="0.55000000000000004">
      <c r="A131" s="1" t="str">
        <f>'Population Definitions'!$A$5</f>
        <v>Gen 65+</v>
      </c>
      <c r="B131" s="1" t="s">
        <v>14</v>
      </c>
      <c r="C131" s="2">
        <f t="shared" si="13"/>
        <v>0</v>
      </c>
      <c r="D131" s="1" t="s">
        <v>16</v>
      </c>
      <c r="E131" s="44"/>
      <c r="F131" s="44"/>
      <c r="G131" s="44"/>
      <c r="H131" s="44"/>
      <c r="I131" s="44"/>
      <c r="J131" s="44"/>
      <c r="K131" s="44"/>
      <c r="L131" s="44"/>
      <c r="M131" s="44"/>
      <c r="N131" s="44"/>
      <c r="O131" s="44"/>
      <c r="P131" s="44"/>
      <c r="Q131" s="44"/>
      <c r="R131" s="44"/>
      <c r="S131" s="44"/>
      <c r="T131" s="44"/>
      <c r="U131" s="44"/>
    </row>
    <row r="132" spans="1:21" x14ac:dyDescent="0.55000000000000004">
      <c r="A132" s="1" t="str">
        <f>'Population Definitions'!$A$6</f>
        <v>PLHIV 15-64</v>
      </c>
      <c r="B132" s="1" t="s">
        <v>14</v>
      </c>
      <c r="C132" s="2">
        <f t="shared" si="13"/>
        <v>0</v>
      </c>
      <c r="D132" s="1" t="s">
        <v>16</v>
      </c>
      <c r="E132" s="44"/>
      <c r="F132" s="44"/>
      <c r="G132" s="44"/>
      <c r="H132" s="44"/>
      <c r="I132" s="44"/>
      <c r="J132" s="44"/>
      <c r="K132" s="44"/>
      <c r="L132" s="44"/>
      <c r="M132" s="44"/>
      <c r="N132" s="44"/>
      <c r="O132" s="44"/>
      <c r="P132" s="44"/>
      <c r="Q132" s="44"/>
      <c r="R132" s="44"/>
      <c r="S132" s="44"/>
      <c r="T132" s="44"/>
      <c r="U132" s="44"/>
    </row>
    <row r="133" spans="1:21" x14ac:dyDescent="0.55000000000000004">
      <c r="A133" s="1" t="str">
        <f>'Population Definitions'!$A$7</f>
        <v>PLHIV 65+</v>
      </c>
      <c r="B133" s="1" t="s">
        <v>14</v>
      </c>
      <c r="C133" s="2">
        <f t="shared" si="13"/>
        <v>0</v>
      </c>
      <c r="D133" s="1" t="s">
        <v>16</v>
      </c>
      <c r="E133" s="44"/>
      <c r="F133" s="44"/>
      <c r="G133" s="44"/>
      <c r="H133" s="44"/>
      <c r="I133" s="44"/>
      <c r="J133" s="44"/>
      <c r="K133" s="44"/>
      <c r="L133" s="44"/>
      <c r="M133" s="44"/>
      <c r="N133" s="44"/>
      <c r="O133" s="44"/>
      <c r="P133" s="44"/>
      <c r="Q133" s="44"/>
      <c r="R133" s="44"/>
      <c r="S133" s="44"/>
      <c r="T133" s="44"/>
      <c r="U133" s="44"/>
    </row>
    <row r="134" spans="1:21" x14ac:dyDescent="0.55000000000000004">
      <c r="A134" s="1" t="str">
        <f>'Population Definitions'!$A$8</f>
        <v>Prisoners</v>
      </c>
      <c r="B134" s="1" t="s">
        <v>14</v>
      </c>
      <c r="C134" s="2">
        <f t="shared" si="13"/>
        <v>0</v>
      </c>
      <c r="D134" s="1" t="s">
        <v>16</v>
      </c>
      <c r="E134" s="44"/>
      <c r="F134" s="44"/>
      <c r="G134" s="44"/>
      <c r="H134" s="44"/>
      <c r="I134" s="44"/>
      <c r="J134" s="44"/>
      <c r="K134" s="44"/>
      <c r="L134" s="44"/>
      <c r="M134" s="44"/>
      <c r="N134" s="44"/>
      <c r="O134" s="44"/>
      <c r="P134" s="44"/>
      <c r="Q134" s="44"/>
      <c r="R134" s="44"/>
      <c r="S134" s="44"/>
      <c r="T134" s="44"/>
      <c r="U134" s="44"/>
    </row>
    <row r="135" spans="1:21" x14ac:dyDescent="0.55000000000000004">
      <c r="A135" s="1" t="str">
        <f>'Population Definitions'!$A$9</f>
        <v>PLHIV Prisoners</v>
      </c>
      <c r="B135" s="1" t="s">
        <v>14</v>
      </c>
      <c r="C135" s="2">
        <f t="shared" si="13"/>
        <v>0</v>
      </c>
      <c r="D135" s="1" t="s">
        <v>16</v>
      </c>
      <c r="E135" s="44"/>
      <c r="F135" s="44"/>
      <c r="G135" s="44"/>
      <c r="H135" s="44"/>
      <c r="I135" s="44"/>
      <c r="J135" s="44"/>
      <c r="K135" s="44"/>
      <c r="L135" s="44"/>
      <c r="M135" s="44"/>
      <c r="N135" s="44"/>
      <c r="O135" s="44"/>
      <c r="P135" s="44"/>
      <c r="Q135" s="44"/>
      <c r="R135" s="44"/>
      <c r="S135" s="44"/>
      <c r="T135" s="44"/>
      <c r="U135" s="44"/>
    </row>
    <row r="136" spans="1:21" x14ac:dyDescent="0.55000000000000004">
      <c r="A136" s="1" t="str">
        <f>'Population Definitions'!$A$10</f>
        <v>HCW</v>
      </c>
      <c r="B136" s="1" t="s">
        <v>14</v>
      </c>
      <c r="C136" s="2">
        <f t="shared" si="13"/>
        <v>0</v>
      </c>
      <c r="D136" s="1" t="s">
        <v>16</v>
      </c>
      <c r="E136" s="44"/>
      <c r="F136" s="44"/>
      <c r="G136" s="44"/>
      <c r="H136" s="44"/>
      <c r="I136" s="44"/>
      <c r="J136" s="44"/>
      <c r="K136" s="44"/>
      <c r="L136" s="44"/>
      <c r="M136" s="44"/>
      <c r="N136" s="44"/>
      <c r="O136" s="44"/>
      <c r="P136" s="44"/>
      <c r="Q136" s="44"/>
      <c r="R136" s="44"/>
      <c r="S136" s="44"/>
      <c r="T136" s="44"/>
      <c r="U136" s="44"/>
    </row>
    <row r="137" spans="1:21" x14ac:dyDescent="0.55000000000000004">
      <c r="A137" s="1" t="str">
        <f>'Population Definitions'!$A$11</f>
        <v>PLHIV HCW</v>
      </c>
      <c r="B137" s="1" t="s">
        <v>14</v>
      </c>
      <c r="C137" s="2">
        <f t="shared" si="13"/>
        <v>0</v>
      </c>
      <c r="D137" s="1" t="s">
        <v>16</v>
      </c>
      <c r="E137" s="44"/>
      <c r="F137" s="44"/>
      <c r="G137" s="44"/>
      <c r="H137" s="44"/>
      <c r="I137" s="44"/>
      <c r="J137" s="44"/>
      <c r="K137" s="44"/>
      <c r="L137" s="44"/>
      <c r="M137" s="44"/>
      <c r="N137" s="44"/>
      <c r="O137" s="44"/>
      <c r="P137" s="44"/>
      <c r="Q137" s="44"/>
      <c r="R137" s="44"/>
      <c r="S137" s="44"/>
      <c r="T137" s="44"/>
      <c r="U137" s="44"/>
    </row>
    <row r="138" spans="1:21" x14ac:dyDescent="0.55000000000000004">
      <c r="A138" s="1" t="str">
        <f>'Population Definitions'!$A$12</f>
        <v>Miners</v>
      </c>
      <c r="B138" s="1" t="s">
        <v>14</v>
      </c>
      <c r="C138" s="2">
        <f t="shared" si="13"/>
        <v>0</v>
      </c>
      <c r="D138" s="1" t="s">
        <v>16</v>
      </c>
      <c r="E138" s="44"/>
      <c r="F138" s="44"/>
      <c r="G138" s="44"/>
      <c r="H138" s="44"/>
      <c r="I138" s="44"/>
      <c r="J138" s="44"/>
      <c r="K138" s="44"/>
      <c r="L138" s="44"/>
      <c r="M138" s="44"/>
      <c r="N138" s="44"/>
      <c r="O138" s="44"/>
      <c r="P138" s="44"/>
      <c r="Q138" s="44"/>
      <c r="R138" s="44"/>
      <c r="S138" s="44"/>
      <c r="T138" s="44"/>
      <c r="U138" s="44"/>
    </row>
    <row r="139" spans="1:21" x14ac:dyDescent="0.55000000000000004">
      <c r="A139" s="1" t="str">
        <f>'Population Definitions'!$A$13</f>
        <v>PLHIV Miners</v>
      </c>
      <c r="B139" s="1" t="s">
        <v>14</v>
      </c>
      <c r="C139" s="2">
        <f t="shared" si="13"/>
        <v>0</v>
      </c>
      <c r="D139" s="1" t="s">
        <v>16</v>
      </c>
      <c r="E139" s="44"/>
      <c r="F139" s="44"/>
      <c r="G139" s="44"/>
      <c r="H139" s="44"/>
      <c r="I139" s="44"/>
      <c r="J139" s="44"/>
      <c r="K139" s="44"/>
      <c r="L139" s="44"/>
      <c r="M139" s="44"/>
      <c r="N139" s="44"/>
      <c r="O139" s="44"/>
      <c r="P139" s="44"/>
      <c r="Q139" s="44"/>
      <c r="R139" s="44"/>
      <c r="S139" s="44"/>
      <c r="T139" s="44"/>
      <c r="U139" s="44"/>
    </row>
  </sheetData>
  <dataValidations count="1">
    <dataValidation type="list" showInputMessage="1" showErrorMessage="1" sqref="B128:B139 B114:B125 B100:B111 B86:B97 B72:B83 B58:B69 B44:B55 B30:B41 B16:B27 B2:B13">
      <formula1>"Number"</formula1>
    </dataValidation>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95"/>
  <sheetViews>
    <sheetView topLeftCell="F1" zoomScale="92" workbookViewId="0">
      <selection activeCell="S23" sqref="S23"/>
    </sheetView>
  </sheetViews>
  <sheetFormatPr defaultColWidth="8.83984375" defaultRowHeight="14.4" x14ac:dyDescent="0.55000000000000004"/>
  <cols>
    <col min="1" max="1" width="39.47265625" bestFit="1" customWidth="1"/>
    <col min="2" max="3" width="10.68359375" customWidth="1"/>
    <col min="5" max="6" width="8.83984375" customWidth="1"/>
    <col min="12" max="20" width="13.68359375" bestFit="1" customWidth="1"/>
    <col min="21" max="21" width="12.68359375" bestFit="1" customWidth="1"/>
    <col min="25" max="25" width="9" bestFit="1" customWidth="1"/>
  </cols>
  <sheetData>
    <row r="1" spans="1:23" x14ac:dyDescent="0.55000000000000004">
      <c r="A1" s="21" t="s">
        <v>23</v>
      </c>
      <c r="B1" s="1" t="s">
        <v>8</v>
      </c>
      <c r="C1" s="1" t="s">
        <v>9</v>
      </c>
      <c r="D1" s="1"/>
      <c r="E1" s="41">
        <v>2000</v>
      </c>
      <c r="F1" s="41">
        <v>2001</v>
      </c>
      <c r="G1" s="41">
        <v>2002</v>
      </c>
      <c r="H1" s="41">
        <v>2003</v>
      </c>
      <c r="I1" s="41">
        <v>2004</v>
      </c>
      <c r="J1" s="41">
        <v>2005</v>
      </c>
      <c r="K1" s="41">
        <v>2006</v>
      </c>
      <c r="L1" s="41">
        <v>2007</v>
      </c>
      <c r="M1" s="41">
        <v>2008</v>
      </c>
      <c r="N1" s="41">
        <v>2009</v>
      </c>
      <c r="O1" s="41">
        <v>2010</v>
      </c>
      <c r="P1" s="41">
        <v>2011</v>
      </c>
      <c r="Q1" s="41">
        <v>2012</v>
      </c>
      <c r="R1" s="41">
        <v>2013</v>
      </c>
      <c r="S1" s="41">
        <v>2014</v>
      </c>
      <c r="T1" s="41">
        <v>2015</v>
      </c>
      <c r="U1" s="41">
        <v>2016</v>
      </c>
    </row>
    <row r="2" spans="1:23" x14ac:dyDescent="0.55000000000000004">
      <c r="A2" s="1" t="str">
        <f>'Population Definitions'!$A$2</f>
        <v>Gen 0-4</v>
      </c>
      <c r="B2" s="1" t="s">
        <v>14</v>
      </c>
      <c r="C2" s="2" t="str">
        <f t="shared" ref="C2:C13" si="0">IF(SUMPRODUCT(--(E2:U2&lt;&gt;""))=0,0,"N.A.")</f>
        <v>N.A.</v>
      </c>
      <c r="D2" s="1" t="s">
        <v>16</v>
      </c>
      <c r="E2" s="44"/>
      <c r="F2" s="44"/>
      <c r="G2" s="44">
        <f>2138.5/(0.9)</f>
        <v>2376.1111111111109</v>
      </c>
      <c r="H2" s="44">
        <f>2664.90243902439/(0.9)</f>
        <v>2961.0027100271</v>
      </c>
      <c r="I2" s="44">
        <f>2486.50526315789/(0.9)</f>
        <v>2762.7836257309891</v>
      </c>
      <c r="J2" s="44">
        <f>2847.90361445783/(0.9)</f>
        <v>3164.3373493975887</v>
      </c>
      <c r="K2" s="44">
        <f>3261.89147286822/(0.9)</f>
        <v>3624.3238587424662</v>
      </c>
      <c r="L2" s="44">
        <f>2098.38461538462/(0.9)</f>
        <v>2331.5384615384664</v>
      </c>
      <c r="M2" s="44">
        <f>1653.82716049383/(0.9)</f>
        <v>1837.5857338820333</v>
      </c>
      <c r="N2" s="44">
        <f>1205.37931034483/(0.9)</f>
        <v>1339.3103448275888</v>
      </c>
      <c r="O2" s="44">
        <f>999.385826771654/(0.9)</f>
        <v>1110.428696412949</v>
      </c>
      <c r="P2" s="44">
        <f>1240.70175438596/(0.9)</f>
        <v>1378.5575048732887</v>
      </c>
      <c r="Q2" s="44">
        <f>1011.41304347826/(0.9)</f>
        <v>1123.7922705313999</v>
      </c>
      <c r="R2" s="44">
        <f>728.681818181818/(0.9)</f>
        <v>809.64646464646444</v>
      </c>
      <c r="S2" s="44">
        <f>842.432432432433/(0.9)</f>
        <v>936.03603603603665</v>
      </c>
      <c r="T2" s="44">
        <f>952.430769230769/(0.9)</f>
        <v>1058.2564102564099</v>
      </c>
      <c r="U2" s="44">
        <f>398.734375/(0.9)</f>
        <v>443.03819444444446</v>
      </c>
    </row>
    <row r="3" spans="1:23" x14ac:dyDescent="0.55000000000000004">
      <c r="A3" s="1" t="str">
        <f>'Population Definitions'!$A$3</f>
        <v>Gen 5-14</v>
      </c>
      <c r="B3" s="1" t="s">
        <v>14</v>
      </c>
      <c r="C3" s="2" t="str">
        <f t="shared" si="0"/>
        <v>N.A.</v>
      </c>
      <c r="D3" s="1" t="s">
        <v>16</v>
      </c>
      <c r="E3" s="44"/>
      <c r="F3" s="44"/>
      <c r="G3" s="44">
        <f>951.319587628866/(0.9)</f>
        <v>1057.0217640320732</v>
      </c>
      <c r="H3" s="44">
        <f>1309.60714285714/(0.9)</f>
        <v>1455.1190476190443</v>
      </c>
      <c r="I3" s="44">
        <f>1375.48444444444/(0.9)</f>
        <v>1528.3160493827111</v>
      </c>
      <c r="J3" s="44">
        <f>1482.82608695652/(0.9)</f>
        <v>1647.5845410627999</v>
      </c>
      <c r="K3" s="44">
        <f>1341.22674418605/(0.9)</f>
        <v>1490.2519379844998</v>
      </c>
      <c r="L3" s="44">
        <f>1322.73720136519/(0.9)</f>
        <v>1469.7080015168779</v>
      </c>
      <c r="M3" s="44">
        <f>1173.59147869674/(0.9)</f>
        <v>1303.9905318852668</v>
      </c>
      <c r="N3" s="44">
        <f>1026.40186915888/(0.9)</f>
        <v>1140.4465212876444</v>
      </c>
      <c r="O3" s="44">
        <f>761.352577319588/(0.9)</f>
        <v>845.94730813287561</v>
      </c>
      <c r="P3" s="44">
        <f>853.333333333333/(0.9)</f>
        <v>948.14814814814781</v>
      </c>
      <c r="Q3" s="44">
        <f>734.402135231317/(0.9)</f>
        <v>816.00237247924099</v>
      </c>
      <c r="R3" s="44">
        <f>556.244791666667/(0.9)</f>
        <v>618.04976851851882</v>
      </c>
      <c r="S3" s="44">
        <f>392.876237623762/(0.9)</f>
        <v>436.52915291529109</v>
      </c>
      <c r="T3" s="44">
        <f>331.548913043478/(0.9)</f>
        <v>368.38768115942003</v>
      </c>
      <c r="U3" s="44">
        <f>239.896774193548/(0.9)</f>
        <v>266.55197132616445</v>
      </c>
    </row>
    <row r="4" spans="1:23" x14ac:dyDescent="0.55000000000000004">
      <c r="A4" s="1" t="str">
        <f>'Population Definitions'!$A$4</f>
        <v>Gen 15-64</v>
      </c>
      <c r="B4" s="1" t="s">
        <v>14</v>
      </c>
      <c r="C4" s="2" t="str">
        <f t="shared" si="0"/>
        <v>N.A.</v>
      </c>
      <c r="D4" s="1" t="s">
        <v>16</v>
      </c>
      <c r="E4" s="44"/>
      <c r="F4" s="44"/>
      <c r="G4" s="44">
        <f>3342.9041268232/(0.9)</f>
        <v>3714.3379186924444</v>
      </c>
      <c r="H4" s="44">
        <f>4226.54873928603/(0.9)</f>
        <v>4696.1652658733665</v>
      </c>
      <c r="I4" s="44">
        <f>4735.97612522334/(0.9)</f>
        <v>5262.1956946926002</v>
      </c>
      <c r="J4" s="44">
        <f>5238.93188247353/(0.9)</f>
        <v>5821.0354249705888</v>
      </c>
      <c r="K4" s="44">
        <f>11438.6015914352/(0.9)</f>
        <v>12709.557323816887</v>
      </c>
      <c r="L4" s="44">
        <f>6510.55200701873/(0.9)</f>
        <v>7233.9466744652555</v>
      </c>
      <c r="M4" s="44">
        <f>1884.91057407014/(0.9)</f>
        <v>2094.3450823001554</v>
      </c>
      <c r="N4" s="44">
        <f>7760.91268702042/(0.9)</f>
        <v>8623.2363189115767</v>
      </c>
      <c r="O4" s="44">
        <f>7108.2859362043/(0.9)</f>
        <v>7898.095484671444</v>
      </c>
      <c r="P4" s="44">
        <f>7332.35049578968/(0.9)</f>
        <v>8147.0561064329777</v>
      </c>
      <c r="Q4" s="44">
        <f>7112.45958549433/(0.9)</f>
        <v>7902.7328727714776</v>
      </c>
      <c r="R4" s="44">
        <f>6515.00612711079/(0.9)</f>
        <v>7238.8956967897666</v>
      </c>
      <c r="S4" s="44">
        <f>5896.12849434593/(0.9)</f>
        <v>6551.2538826065893</v>
      </c>
      <c r="T4" s="44">
        <f>5062.53916951107/(0.9)</f>
        <v>5625.0435216789665</v>
      </c>
      <c r="U4" s="44">
        <f>4420.52234764193/(0.9)</f>
        <v>4911.6914973799221</v>
      </c>
    </row>
    <row r="5" spans="1:23" x14ac:dyDescent="0.55000000000000004">
      <c r="A5" s="1" t="str">
        <f>'Population Definitions'!$A$5</f>
        <v>Gen 65+</v>
      </c>
      <c r="B5" s="1" t="s">
        <v>14</v>
      </c>
      <c r="C5" s="2" t="str">
        <f t="shared" si="0"/>
        <v>N.A.</v>
      </c>
      <c r="D5" s="1" t="s">
        <v>16</v>
      </c>
      <c r="E5" s="44"/>
      <c r="F5" s="44"/>
      <c r="G5" s="44">
        <f>229.611478149659/(0.9)</f>
        <v>255.12386461073223</v>
      </c>
      <c r="H5" s="44">
        <f>301.267388896914/(0.9)</f>
        <v>334.74154321879331</v>
      </c>
      <c r="I5" s="44">
        <f>256.693457591529/(0.9)</f>
        <v>285.2149528794767</v>
      </c>
      <c r="J5" s="44">
        <f>340.949495299918/(0.9)</f>
        <v>378.83277255546443</v>
      </c>
      <c r="K5" s="44">
        <f>332.821124673379/(0.9)</f>
        <v>369.80124963708778</v>
      </c>
      <c r="L5" s="44">
        <f>352.334315169367/(0.9)</f>
        <v>391.48257241040778</v>
      </c>
      <c r="M5" s="44">
        <f>296.62039110315/(0.9)</f>
        <v>329.5782123368333</v>
      </c>
      <c r="N5" s="44">
        <f>374.636924576011/(0.9)</f>
        <v>416.2632495289011</v>
      </c>
      <c r="O5" s="44">
        <f>398.766354083851/(0.9)</f>
        <v>443.07372675983447</v>
      </c>
      <c r="P5" s="44">
        <f>359.779873804594/(0.9)</f>
        <v>399.75541533843773</v>
      </c>
      <c r="Q5" s="44">
        <f>386.16656923639/(0.9)</f>
        <v>429.07396581821109</v>
      </c>
      <c r="R5" s="44">
        <f>326.129222797927/(0.9)</f>
        <v>362.36580310880777</v>
      </c>
      <c r="S5" s="44">
        <f>282.774250164206/(0.9)</f>
        <v>314.19361129356224</v>
      </c>
      <c r="T5" s="44">
        <f>323.5736578217/(0.9)</f>
        <v>359.52628646855555</v>
      </c>
      <c r="U5" s="44">
        <f>265.159029038113/(0.9)</f>
        <v>294.62114337568107</v>
      </c>
    </row>
    <row r="6" spans="1:23" x14ac:dyDescent="0.55000000000000004">
      <c r="A6" s="1" t="str">
        <f>'Population Definitions'!$A$6</f>
        <v>PLHIV 15-64</v>
      </c>
      <c r="B6" s="1" t="s">
        <v>14</v>
      </c>
      <c r="C6" s="2" t="str">
        <f t="shared" si="0"/>
        <v>N.A.</v>
      </c>
      <c r="D6" s="1" t="s">
        <v>16</v>
      </c>
      <c r="E6" s="44"/>
      <c r="F6" s="44"/>
      <c r="G6" s="44">
        <f>17954.539847368/(0.9)</f>
        <v>19949.488719297777</v>
      </c>
      <c r="H6" s="44">
        <f>22705.5528102436/(0.9)</f>
        <v>25228.392011381777</v>
      </c>
      <c r="I6" s="44">
        <f>25441.1404377535/(0.9)</f>
        <v>28267.93381972611</v>
      </c>
      <c r="J6" s="44">
        <f>28143.9631910461/(0.9)</f>
        <v>31271.070212273444</v>
      </c>
      <c r="K6" s="44">
        <f>22875.869849537/(0.9)</f>
        <v>25417.633166152224</v>
      </c>
      <c r="L6" s="44">
        <f>26117.9677395059/(0.9)</f>
        <v>29019.964155006557</v>
      </c>
      <c r="M6" s="44">
        <f>29549.8263375606/(0.9)</f>
        <v>32833.140375067334</v>
      </c>
      <c r="N6" s="44">
        <f>26738.7266944924/(0.9)</f>
        <v>29709.69632721378</v>
      </c>
      <c r="O6" s="44">
        <f>24226.9890410743/(0.9)</f>
        <v>26918.876712304776</v>
      </c>
      <c r="P6" s="44">
        <f>22940.7154624597/(0.9)</f>
        <v>25489.683847177443</v>
      </c>
      <c r="Q6" s="44">
        <f>20472.1335018783/(0.9)</f>
        <v>22746.815002086998</v>
      </c>
      <c r="R6" s="44">
        <f>17487.5902142304/(0.9)</f>
        <v>19430.655793589332</v>
      </c>
      <c r="S6" s="44">
        <f>14238.0921855535/(0.9)</f>
        <v>15820.102428392776</v>
      </c>
      <c r="T6" s="44">
        <f>11260.2845914552/(0.9)</f>
        <v>12511.427323839111</v>
      </c>
      <c r="U6" s="44">
        <f>9205.73909938302/(0.9)</f>
        <v>10228.598999314467</v>
      </c>
      <c r="W6" s="55"/>
    </row>
    <row r="7" spans="1:23" x14ac:dyDescent="0.55000000000000004">
      <c r="A7" s="1" t="str">
        <f>'Population Definitions'!$A$7</f>
        <v>PLHIV 65+</v>
      </c>
      <c r="B7" s="1" t="s">
        <v>14</v>
      </c>
      <c r="C7" s="2" t="str">
        <f t="shared" si="0"/>
        <v>N.A.</v>
      </c>
      <c r="D7" s="1" t="s">
        <v>16</v>
      </c>
      <c r="E7" s="44"/>
      <c r="F7" s="44"/>
      <c r="G7" s="44">
        <f>107.826793455279/(0.9)</f>
        <v>119.80754828364333</v>
      </c>
      <c r="H7" s="44">
        <f>141.476797149598/(0.9)</f>
        <v>157.19644127733113</v>
      </c>
      <c r="I7" s="44">
        <f>120.544637646566/(0.9)</f>
        <v>133.93848627396221</v>
      </c>
      <c r="J7" s="44">
        <f>160.111729189878/(0.9)</f>
        <v>177.90192132208665</v>
      </c>
      <c r="K7" s="44">
        <f>156.294602329589/(0.9)</f>
        <v>173.6606692550989</v>
      </c>
      <c r="L7" s="44">
        <f>139.600392734413/(0.9)</f>
        <v>155.11154748268109</v>
      </c>
      <c r="M7" s="44">
        <f>212.658479201957/(0.9)</f>
        <v>236.28719911328554</v>
      </c>
      <c r="N7" s="44">
        <f>130.2791065621/(0.9)</f>
        <v>144.75456284677776</v>
      </c>
      <c r="O7" s="44">
        <f>179.050238930405/(0.9)</f>
        <v>198.94470992267219</v>
      </c>
      <c r="P7" s="44">
        <f>149.185857487923/(0.9)</f>
        <v>165.76206387546998</v>
      </c>
      <c r="Q7" s="44">
        <f>120.813992687825/(0.9)</f>
        <v>134.23776965313888</v>
      </c>
      <c r="R7" s="44">
        <f>107.485/(0.9)</f>
        <v>119.42777777777778</v>
      </c>
      <c r="S7" s="44">
        <f>103.771872219951/(0.9)</f>
        <v>115.30208024439</v>
      </c>
      <c r="T7" s="44">
        <f>81.8645004636194/(0.9)</f>
        <v>90.960556070688213</v>
      </c>
      <c r="U7" s="44">
        <f>79.4038112522686/(0.9)</f>
        <v>88.226456946965101</v>
      </c>
    </row>
    <row r="8" spans="1:23" x14ac:dyDescent="0.55000000000000004">
      <c r="A8" s="1" t="str">
        <f>'Population Definitions'!$A$8</f>
        <v>Prisoners</v>
      </c>
      <c r="B8" s="1" t="s">
        <v>14</v>
      </c>
      <c r="C8" s="2" t="str">
        <f t="shared" si="0"/>
        <v>N.A.</v>
      </c>
      <c r="D8" s="1" t="s">
        <v>16</v>
      </c>
      <c r="E8" s="44"/>
      <c r="F8" s="44"/>
      <c r="G8" s="44">
        <f>57.374852712672/(0.9)</f>
        <v>63.749836347413336</v>
      </c>
      <c r="H8" s="44">
        <f>45.7322269567168/(0.9)</f>
        <v>50.81358550746311</v>
      </c>
      <c r="I8" s="44">
        <f>69.5138974485394/(0.9)</f>
        <v>77.237663831710435</v>
      </c>
      <c r="J8" s="44">
        <f>77.2387297760942/(0.9)</f>
        <v>85.820810862326894</v>
      </c>
      <c r="K8" s="44">
        <f>71.7791186555739/(0.9)</f>
        <v>79.754576283970991</v>
      </c>
      <c r="L8" s="44">
        <f>0/(0.9)</f>
        <v>0</v>
      </c>
      <c r="M8" s="44">
        <f>80.9725314889789/(0.9)</f>
        <v>89.969479432198781</v>
      </c>
      <c r="N8" s="44">
        <f>114.420873612603/(0.9)</f>
        <v>127.13430401400333</v>
      </c>
      <c r="O8" s="44">
        <f>115.227259555157/(0.9)</f>
        <v>128.03028839461888</v>
      </c>
      <c r="P8" s="44">
        <f>112.623002114165/(0.9)</f>
        <v>125.13666901573889</v>
      </c>
      <c r="Q8" s="44">
        <f>84.1432621308017/(0.9)</f>
        <v>93.492513478668556</v>
      </c>
      <c r="R8" s="44">
        <f>76.9515/(0.9)</f>
        <v>85.501666666666665</v>
      </c>
      <c r="S8" s="44">
        <f>58.4674908424908/(0.9)</f>
        <v>64.963878713878657</v>
      </c>
      <c r="T8" s="44">
        <f>47.4078947368421/(0.9)</f>
        <v>52.675438596491226</v>
      </c>
      <c r="U8" s="44">
        <f>53.7157249829816/(0.9)</f>
        <v>59.684138869979549</v>
      </c>
    </row>
    <row r="9" spans="1:23" x14ac:dyDescent="0.55000000000000004">
      <c r="A9" s="1" t="str">
        <f>'Population Definitions'!$A$9</f>
        <v>PLHIV Prisoners</v>
      </c>
      <c r="B9" s="1" t="s">
        <v>14</v>
      </c>
      <c r="C9" s="2" t="str">
        <f t="shared" si="0"/>
        <v>N.A.</v>
      </c>
      <c r="D9" s="1" t="s">
        <v>16</v>
      </c>
      <c r="E9" s="44"/>
      <c r="F9" s="44"/>
      <c r="G9" s="44">
        <f>319.827101684722/(0.9)</f>
        <v>355.36344631635774</v>
      </c>
      <c r="H9" s="44">
        <f>254.927113702624/(0.9)</f>
        <v>283.25234855847111</v>
      </c>
      <c r="I9" s="44">
        <f>387.494299272772/(0.9)</f>
        <v>430.54922141419115</v>
      </c>
      <c r="J9" s="44">
        <f>430.555163353677/(0.9)</f>
        <v>478.39462594853001</v>
      </c>
      <c r="K9" s="44">
        <f>400.121418978835/(0.9)</f>
        <v>444.57935442092776</v>
      </c>
      <c r="L9" s="44">
        <f>327.870516717325/(0.9)</f>
        <v>364.3005741303611</v>
      </c>
      <c r="M9" s="44">
        <f>359.281528340081/(0.9)</f>
        <v>399.20169815564554</v>
      </c>
      <c r="N9" s="44">
        <f>339.928065595883/(0.9)</f>
        <v>377.69785066209226</v>
      </c>
      <c r="O9" s="44">
        <f>270.214727121601/(0.9)</f>
        <v>300.23858569066778</v>
      </c>
      <c r="P9" s="44">
        <f>302.085900707152/(0.9)</f>
        <v>335.65100078572442</v>
      </c>
      <c r="Q9" s="44">
        <f>210.662592754256/(0.9)</f>
        <v>234.06954750472889</v>
      </c>
      <c r="R9" s="44">
        <f>145.129617318436/(0.9)</f>
        <v>161.25513035381778</v>
      </c>
      <c r="S9" s="44">
        <f>122.264835164835/(0.9)</f>
        <v>135.84981684981668</v>
      </c>
      <c r="T9" s="44">
        <f>95.0539868985769/(0.9)</f>
        <v>105.61554099841877</v>
      </c>
      <c r="U9" s="44">
        <f>10.2760304065834/(0.9)</f>
        <v>11.417811562870444</v>
      </c>
    </row>
    <row r="10" spans="1:23" x14ac:dyDescent="0.55000000000000004">
      <c r="A10" s="1" t="str">
        <f>'Population Definitions'!$A$10</f>
        <v>HCW</v>
      </c>
      <c r="B10" s="1" t="s">
        <v>14</v>
      </c>
      <c r="C10" s="2">
        <f t="shared" si="0"/>
        <v>0</v>
      </c>
      <c r="D10" s="1" t="s">
        <v>16</v>
      </c>
      <c r="E10" s="44"/>
      <c r="F10" s="44"/>
      <c r="G10" s="44"/>
      <c r="H10" s="44"/>
      <c r="I10" s="44"/>
      <c r="J10" s="44"/>
      <c r="K10" s="44"/>
      <c r="L10" s="44"/>
      <c r="M10" s="44"/>
      <c r="N10" s="44"/>
      <c r="O10" s="44"/>
      <c r="P10" s="44"/>
      <c r="Q10" s="44"/>
      <c r="R10" s="44"/>
      <c r="S10" s="44"/>
      <c r="T10" s="44"/>
      <c r="U10" s="44"/>
    </row>
    <row r="11" spans="1:23" x14ac:dyDescent="0.55000000000000004">
      <c r="A11" s="1" t="str">
        <f>'Population Definitions'!$A$11</f>
        <v>PLHIV HCW</v>
      </c>
      <c r="B11" s="1" t="s">
        <v>14</v>
      </c>
      <c r="C11" s="2">
        <f t="shared" si="0"/>
        <v>0</v>
      </c>
      <c r="D11" s="1" t="s">
        <v>16</v>
      </c>
      <c r="E11" s="44"/>
      <c r="F11" s="44"/>
      <c r="G11" s="44"/>
      <c r="H11" s="44"/>
      <c r="I11" s="44"/>
      <c r="J11" s="44"/>
      <c r="K11" s="44"/>
      <c r="L11" s="44"/>
      <c r="M11" s="44"/>
      <c r="N11" s="44"/>
      <c r="O11" s="44"/>
      <c r="P11" s="44"/>
      <c r="Q11" s="44"/>
      <c r="R11" s="44"/>
      <c r="S11" s="44"/>
      <c r="T11" s="44"/>
      <c r="U11" s="44"/>
    </row>
    <row r="12" spans="1:23" x14ac:dyDescent="0.55000000000000004">
      <c r="A12" s="1" t="str">
        <f>'Population Definitions'!$A$12</f>
        <v>Miners</v>
      </c>
      <c r="B12" s="1" t="s">
        <v>14</v>
      </c>
      <c r="C12" s="2" t="str">
        <f t="shared" si="0"/>
        <v>N.A.</v>
      </c>
      <c r="D12" s="1" t="s">
        <v>16</v>
      </c>
      <c r="E12" s="44"/>
      <c r="F12" s="44"/>
      <c r="G12" s="44"/>
      <c r="H12" s="44"/>
      <c r="I12" s="44"/>
      <c r="J12" s="44"/>
      <c r="K12" s="44"/>
      <c r="L12" s="44"/>
      <c r="M12" s="44"/>
      <c r="N12" s="44"/>
      <c r="O12" s="44"/>
      <c r="P12" s="44"/>
      <c r="Q12" s="44"/>
      <c r="R12" s="44"/>
      <c r="S12" s="44"/>
      <c r="T12" s="44">
        <f>(1811-1118)*T88</f>
        <v>357.31581638100369</v>
      </c>
      <c r="U12" s="44"/>
    </row>
    <row r="13" spans="1:23" x14ac:dyDescent="0.55000000000000004">
      <c r="A13" s="1" t="str">
        <f>'Population Definitions'!$A$13</f>
        <v>PLHIV Miners</v>
      </c>
      <c r="B13" s="1" t="s">
        <v>14</v>
      </c>
      <c r="C13" s="2" t="str">
        <f t="shared" si="0"/>
        <v>N.A.</v>
      </c>
      <c r="D13" s="1" t="s">
        <v>16</v>
      </c>
      <c r="E13" s="44"/>
      <c r="F13" s="44"/>
      <c r="G13" s="44"/>
      <c r="H13" s="44"/>
      <c r="I13" s="44"/>
      <c r="J13" s="44"/>
      <c r="K13" s="44"/>
      <c r="L13" s="44"/>
      <c r="M13" s="44"/>
      <c r="N13" s="44"/>
      <c r="O13" s="44"/>
      <c r="P13" s="44"/>
      <c r="Q13" s="44"/>
      <c r="R13" s="44"/>
      <c r="S13" s="44"/>
      <c r="T13" s="44">
        <f>1118*T90</f>
        <v>428.04737290844014</v>
      </c>
      <c r="U13" s="44"/>
    </row>
    <row r="14" spans="1:23" x14ac:dyDescent="0.55000000000000004">
      <c r="E14" s="37"/>
      <c r="F14" s="37"/>
      <c r="G14" s="37"/>
      <c r="H14" s="37"/>
      <c r="I14" s="37"/>
      <c r="J14" s="37"/>
      <c r="K14" s="37"/>
      <c r="L14" s="37"/>
      <c r="M14" s="37"/>
      <c r="N14" s="37"/>
      <c r="O14" s="37"/>
      <c r="P14" s="37"/>
      <c r="Q14" s="37"/>
      <c r="R14" s="37"/>
      <c r="S14" s="37"/>
      <c r="T14" s="37"/>
      <c r="U14" s="37"/>
    </row>
    <row r="15" spans="1:23" x14ac:dyDescent="0.55000000000000004">
      <c r="A15" s="21" t="s">
        <v>31</v>
      </c>
      <c r="B15" s="1" t="s">
        <v>8</v>
      </c>
      <c r="C15" s="1" t="s">
        <v>9</v>
      </c>
      <c r="D15" s="1"/>
      <c r="E15" s="41">
        <v>2000</v>
      </c>
      <c r="F15" s="41">
        <v>2001</v>
      </c>
      <c r="G15" s="41">
        <v>2002</v>
      </c>
      <c r="H15" s="41">
        <v>2003</v>
      </c>
      <c r="I15" s="41">
        <v>2004</v>
      </c>
      <c r="J15" s="41">
        <v>2005</v>
      </c>
      <c r="K15" s="41">
        <v>2006</v>
      </c>
      <c r="L15" s="41">
        <v>2007</v>
      </c>
      <c r="M15" s="41">
        <v>2008</v>
      </c>
      <c r="N15" s="41">
        <v>2009</v>
      </c>
      <c r="O15" s="41">
        <v>2010</v>
      </c>
      <c r="P15" s="41">
        <v>2011</v>
      </c>
      <c r="Q15" s="41">
        <v>2012</v>
      </c>
      <c r="R15" s="41">
        <v>2013</v>
      </c>
      <c r="S15" s="41">
        <v>2014</v>
      </c>
      <c r="T15" s="41">
        <v>2015</v>
      </c>
      <c r="U15" s="41">
        <v>2016</v>
      </c>
    </row>
    <row r="16" spans="1:23" x14ac:dyDescent="0.55000000000000004">
      <c r="A16" s="1" t="str">
        <f>'Population Definitions'!$A$2</f>
        <v>Gen 0-4</v>
      </c>
      <c r="B16" s="1" t="s">
        <v>14</v>
      </c>
      <c r="C16" s="2" t="str">
        <f t="shared" ref="C16:C27" si="1">IF(SUMPRODUCT(--(E16:U16&lt;&gt;""))=0,0,"N.A.")</f>
        <v>N.A.</v>
      </c>
      <c r="D16" s="1" t="s">
        <v>16</v>
      </c>
      <c r="E16" s="44"/>
      <c r="F16" s="44"/>
      <c r="G16" s="44">
        <f t="shared" ref="G16:K21" si="2">0/(0.9)</f>
        <v>0</v>
      </c>
      <c r="H16" s="44">
        <f t="shared" si="2"/>
        <v>0</v>
      </c>
      <c r="I16" s="44">
        <f t="shared" si="2"/>
        <v>0</v>
      </c>
      <c r="J16" s="44">
        <f t="shared" si="2"/>
        <v>0</v>
      </c>
      <c r="K16" s="44">
        <f t="shared" si="2"/>
        <v>0</v>
      </c>
      <c r="L16" s="44">
        <f>1.11111111111111/(0.9)</f>
        <v>1.2345679012345667</v>
      </c>
      <c r="M16" s="44">
        <f>1/(0.9)</f>
        <v>1.1111111111111112</v>
      </c>
      <c r="N16" s="44">
        <f>0/(0.9)</f>
        <v>0</v>
      </c>
      <c r="O16" s="44">
        <f>3.42857142857143/(0.9)</f>
        <v>3.8095238095238111</v>
      </c>
      <c r="P16" s="44">
        <f>3/(0.9)</f>
        <v>3.333333333333333</v>
      </c>
      <c r="Q16" s="44">
        <f>4/(0.9)</f>
        <v>4.4444444444444446</v>
      </c>
      <c r="R16" s="44">
        <f>2.57142857142857/(0.9)</f>
        <v>2.8571428571428554</v>
      </c>
      <c r="S16" s="44">
        <f>2.5/(0.9)</f>
        <v>2.7777777777777777</v>
      </c>
      <c r="T16" s="44">
        <f>3/(0.9)</f>
        <v>3.333333333333333</v>
      </c>
      <c r="U16" s="44"/>
    </row>
    <row r="17" spans="1:23" x14ac:dyDescent="0.55000000000000004">
      <c r="A17" s="1" t="str">
        <f>'Population Definitions'!$A$3</f>
        <v>Gen 5-14</v>
      </c>
      <c r="B17" s="1" t="s">
        <v>14</v>
      </c>
      <c r="C17" s="2" t="str">
        <f t="shared" si="1"/>
        <v>N.A.</v>
      </c>
      <c r="D17" s="1" t="s">
        <v>16</v>
      </c>
      <c r="E17" s="44"/>
      <c r="F17" s="44"/>
      <c r="G17" s="44">
        <f t="shared" si="2"/>
        <v>0</v>
      </c>
      <c r="H17" s="44">
        <f t="shared" si="2"/>
        <v>0</v>
      </c>
      <c r="I17" s="44">
        <f t="shared" si="2"/>
        <v>0</v>
      </c>
      <c r="J17" s="44">
        <f t="shared" si="2"/>
        <v>0</v>
      </c>
      <c r="K17" s="44">
        <f t="shared" si="2"/>
        <v>0</v>
      </c>
      <c r="L17" s="44">
        <f>3.25/(0.9)</f>
        <v>3.6111111111111112</v>
      </c>
      <c r="M17" s="44">
        <f>11/(0.9)</f>
        <v>12.222222222222221</v>
      </c>
      <c r="N17" s="44">
        <f>9.33333333333333/(0.9)</f>
        <v>10.370370370370367</v>
      </c>
      <c r="O17" s="44">
        <f>5/(0.9)</f>
        <v>5.5555555555555554</v>
      </c>
      <c r="P17" s="44">
        <f>2.2/(0.9)</f>
        <v>2.4444444444444446</v>
      </c>
      <c r="Q17" s="44">
        <f>10.7692307692308/(0.9)</f>
        <v>11.965811965812</v>
      </c>
      <c r="R17" s="44">
        <f>8.66666666666667/(0.9)</f>
        <v>9.6296296296296333</v>
      </c>
      <c r="S17" s="44">
        <f>9.45/(0.9)</f>
        <v>10.499999999999998</v>
      </c>
      <c r="T17" s="44">
        <f>12.375/(0.9)</f>
        <v>13.75</v>
      </c>
      <c r="U17" s="44"/>
    </row>
    <row r="18" spans="1:23" x14ac:dyDescent="0.55000000000000004">
      <c r="A18" s="1" t="str">
        <f>'Population Definitions'!$A$4</f>
        <v>Gen 15-64</v>
      </c>
      <c r="B18" s="1" t="s">
        <v>14</v>
      </c>
      <c r="C18" s="2" t="str">
        <f t="shared" si="1"/>
        <v>N.A.</v>
      </c>
      <c r="D18" s="1" t="s">
        <v>16</v>
      </c>
      <c r="E18" s="44"/>
      <c r="F18" s="44"/>
      <c r="G18" s="44">
        <f t="shared" si="2"/>
        <v>0</v>
      </c>
      <c r="H18" s="44">
        <f t="shared" si="2"/>
        <v>0</v>
      </c>
      <c r="I18" s="44">
        <f t="shared" si="2"/>
        <v>0</v>
      </c>
      <c r="J18" s="44">
        <f t="shared" si="2"/>
        <v>0</v>
      </c>
      <c r="K18" s="44">
        <f t="shared" si="2"/>
        <v>0</v>
      </c>
      <c r="L18" s="44">
        <f>258.947521865889/(0.9)</f>
        <v>287.71946873987662</v>
      </c>
      <c r="M18" s="44">
        <f>179.364059881766/(0.9)</f>
        <v>199.29339986862888</v>
      </c>
      <c r="N18" s="44">
        <f>83.9025974025974/(0.9)</f>
        <v>93.225108225108215</v>
      </c>
      <c r="O18" s="45">
        <v>112</v>
      </c>
      <c r="P18" s="44">
        <f>87.6006191950464/(0.9)</f>
        <v>97.334021327829333</v>
      </c>
      <c r="Q18" s="44">
        <f>81.3626000183942/(0.9)</f>
        <v>90.40288890932689</v>
      </c>
      <c r="R18" s="44">
        <f>121.805058286388/(0.9)</f>
        <v>135.33895365154223</v>
      </c>
      <c r="S18" s="44">
        <f>143.024673926582/(0.9)</f>
        <v>158.91630436286889</v>
      </c>
      <c r="T18" s="44">
        <f>185.881530450405/(0.9)</f>
        <v>206.53503383378333</v>
      </c>
      <c r="U18" s="44"/>
    </row>
    <row r="19" spans="1:23" x14ac:dyDescent="0.55000000000000004">
      <c r="A19" s="1" t="str">
        <f>'Population Definitions'!$A$5</f>
        <v>Gen 65+</v>
      </c>
      <c r="B19" s="1" t="s">
        <v>14</v>
      </c>
      <c r="C19" s="2" t="str">
        <f t="shared" si="1"/>
        <v>N.A.</v>
      </c>
      <c r="D19" s="1" t="s">
        <v>16</v>
      </c>
      <c r="E19" s="44"/>
      <c r="F19" s="44"/>
      <c r="G19" s="44">
        <f t="shared" si="2"/>
        <v>0</v>
      </c>
      <c r="H19" s="44">
        <f t="shared" si="2"/>
        <v>0</v>
      </c>
      <c r="I19" s="44">
        <f t="shared" si="2"/>
        <v>0</v>
      </c>
      <c r="J19" s="44">
        <f t="shared" si="2"/>
        <v>0</v>
      </c>
      <c r="K19" s="44">
        <f t="shared" si="2"/>
        <v>0</v>
      </c>
      <c r="L19" s="44">
        <f>0/(0.9)</f>
        <v>0</v>
      </c>
      <c r="M19" s="44">
        <f>1.28368794326241/(0.9)</f>
        <v>1.4263199369582333</v>
      </c>
      <c r="N19" s="44">
        <f>3.5/(0.9)</f>
        <v>3.8888888888888888</v>
      </c>
      <c r="O19" s="45" t="s">
        <v>171</v>
      </c>
      <c r="P19" s="44">
        <f>0.74468085106383/(0.9)</f>
        <v>0.82742316784869996</v>
      </c>
      <c r="Q19" s="44">
        <f>0.41358024691358/(0.9)</f>
        <v>0.4595336076817555</v>
      </c>
      <c r="R19" s="44">
        <f>8.16666666666667/(0.9)</f>
        <v>9.074074074074078</v>
      </c>
      <c r="S19" s="44">
        <f>7/(0.9)</f>
        <v>7.7777777777777777</v>
      </c>
      <c r="T19" s="44">
        <f>9.375/(0.9)</f>
        <v>10.416666666666666</v>
      </c>
      <c r="U19" s="44"/>
      <c r="W19" s="55"/>
    </row>
    <row r="20" spans="1:23" x14ac:dyDescent="0.55000000000000004">
      <c r="A20" s="1" t="str">
        <f>'Population Definitions'!$A$6</f>
        <v>PLHIV 15-64</v>
      </c>
      <c r="B20" s="1" t="s">
        <v>14</v>
      </c>
      <c r="C20" s="2" t="str">
        <f t="shared" si="1"/>
        <v>N.A.</v>
      </c>
      <c r="D20" s="1" t="s">
        <v>16</v>
      </c>
      <c r="E20" s="44"/>
      <c r="F20" s="44"/>
      <c r="G20" s="44">
        <f t="shared" si="2"/>
        <v>0</v>
      </c>
      <c r="H20" s="44">
        <f t="shared" si="2"/>
        <v>0</v>
      </c>
      <c r="I20" s="44">
        <f t="shared" si="2"/>
        <v>0</v>
      </c>
      <c r="J20" s="44">
        <f t="shared" si="2"/>
        <v>0</v>
      </c>
      <c r="K20" s="44">
        <f t="shared" si="2"/>
        <v>0</v>
      </c>
      <c r="L20" s="44">
        <f>1.49820788530466/(0.9)</f>
        <v>1.664675428116289</v>
      </c>
      <c r="M20" s="44">
        <f>50.51018979821/(0.9)</f>
        <v>56.12243310912222</v>
      </c>
      <c r="N20" s="44">
        <f>253.207792207792/(0.9)</f>
        <v>281.3419913419911</v>
      </c>
      <c r="O20" s="46">
        <v>272</v>
      </c>
      <c r="P20" s="44">
        <f>238.799760735672/(0.9)</f>
        <v>265.33306748408</v>
      </c>
      <c r="Q20" s="44">
        <f>263.75521841252/(0.9)</f>
        <v>293.06135379168887</v>
      </c>
      <c r="R20" s="44">
        <f>529.156449756081/(0.9)</f>
        <v>587.95161084008998</v>
      </c>
      <c r="S20" s="44">
        <f>666.476419233131/(0.9)</f>
        <v>740.52935470347882</v>
      </c>
      <c r="T20" s="44">
        <f>772.55588306662/(0.9)</f>
        <v>858.39542562957774</v>
      </c>
      <c r="U20" s="44"/>
      <c r="W20" s="55"/>
    </row>
    <row r="21" spans="1:23" x14ac:dyDescent="0.55000000000000004">
      <c r="A21" s="1" t="str">
        <f>'Population Definitions'!$A$7</f>
        <v>PLHIV 65+</v>
      </c>
      <c r="B21" s="1" t="s">
        <v>14</v>
      </c>
      <c r="C21" s="2" t="str">
        <f t="shared" si="1"/>
        <v>N.A.</v>
      </c>
      <c r="D21" s="1" t="s">
        <v>16</v>
      </c>
      <c r="E21" s="44"/>
      <c r="F21" s="44"/>
      <c r="G21" s="44">
        <f t="shared" si="2"/>
        <v>0</v>
      </c>
      <c r="H21" s="44">
        <f t="shared" si="2"/>
        <v>0</v>
      </c>
      <c r="I21" s="44">
        <f t="shared" si="2"/>
        <v>0</v>
      </c>
      <c r="J21" s="44">
        <f t="shared" si="2"/>
        <v>0</v>
      </c>
      <c r="K21" s="44">
        <f t="shared" si="2"/>
        <v>0</v>
      </c>
      <c r="L21" s="44">
        <f>0/(0.9)</f>
        <v>0</v>
      </c>
      <c r="M21" s="44">
        <f>0.716312056737589/(0.9)</f>
        <v>0.79590228526398776</v>
      </c>
      <c r="N21" s="44">
        <f>0/(0.9)</f>
        <v>0</v>
      </c>
      <c r="O21" s="46">
        <v>6</v>
      </c>
      <c r="P21" s="44">
        <f>1.25531914893617/(0.9)</f>
        <v>1.394799054373522</v>
      </c>
      <c r="Q21" s="44">
        <f>1/(0.9)</f>
        <v>1.1111111111111112</v>
      </c>
      <c r="R21" s="44">
        <f>2.33333333333333/(0.9)</f>
        <v>2.5925925925925886</v>
      </c>
      <c r="S21" s="44">
        <f>0/(0.9)</f>
        <v>0</v>
      </c>
      <c r="T21" s="44">
        <f>2.5/(0.9)</f>
        <v>2.7777777777777777</v>
      </c>
      <c r="U21" s="44"/>
    </row>
    <row r="22" spans="1:23" x14ac:dyDescent="0.55000000000000004">
      <c r="A22" s="1" t="str">
        <f>'Population Definitions'!$A$8</f>
        <v>Prisoners</v>
      </c>
      <c r="B22" s="1" t="s">
        <v>14</v>
      </c>
      <c r="C22" s="2">
        <f t="shared" si="1"/>
        <v>0</v>
      </c>
      <c r="D22" s="1" t="s">
        <v>16</v>
      </c>
      <c r="E22" s="44"/>
      <c r="F22" s="44"/>
      <c r="G22" s="44"/>
      <c r="H22" s="44"/>
      <c r="I22" s="44"/>
      <c r="J22" s="44"/>
      <c r="K22" s="44"/>
      <c r="L22" s="44"/>
      <c r="M22" s="44"/>
      <c r="N22" s="44"/>
      <c r="O22" s="44"/>
      <c r="P22" s="44"/>
      <c r="Q22" s="44"/>
      <c r="R22" s="44"/>
      <c r="S22" s="44"/>
      <c r="T22" s="44"/>
      <c r="U22" s="44"/>
    </row>
    <row r="23" spans="1:23" x14ac:dyDescent="0.55000000000000004">
      <c r="A23" s="1" t="str">
        <f>'Population Definitions'!$A$9</f>
        <v>PLHIV Prisoners</v>
      </c>
      <c r="B23" s="1" t="s">
        <v>14</v>
      </c>
      <c r="C23" s="2">
        <f t="shared" si="1"/>
        <v>0</v>
      </c>
      <c r="D23" s="1" t="s">
        <v>16</v>
      </c>
      <c r="E23" s="44"/>
      <c r="F23" s="44"/>
      <c r="G23" s="44"/>
      <c r="H23" s="44"/>
      <c r="I23" s="44"/>
      <c r="J23" s="44"/>
      <c r="K23" s="44"/>
      <c r="L23" s="44"/>
      <c r="M23" s="44"/>
      <c r="N23" s="44"/>
      <c r="O23" s="44"/>
      <c r="P23" s="44"/>
      <c r="Q23" s="44"/>
      <c r="R23" s="44"/>
      <c r="S23" s="44"/>
      <c r="T23" s="44"/>
      <c r="U23" s="44"/>
    </row>
    <row r="24" spans="1:23" x14ac:dyDescent="0.55000000000000004">
      <c r="A24" s="1" t="str">
        <f>'Population Definitions'!$A$10</f>
        <v>HCW</v>
      </c>
      <c r="B24" s="1" t="s">
        <v>14</v>
      </c>
      <c r="C24" s="2">
        <f t="shared" si="1"/>
        <v>0</v>
      </c>
      <c r="D24" s="1" t="s">
        <v>16</v>
      </c>
      <c r="E24" s="44"/>
      <c r="F24" s="44"/>
      <c r="G24" s="44"/>
      <c r="H24" s="44"/>
      <c r="I24" s="44"/>
      <c r="J24" s="44"/>
      <c r="K24" s="44"/>
      <c r="L24" s="44"/>
      <c r="M24" s="44"/>
      <c r="N24" s="44"/>
      <c r="O24" s="44"/>
      <c r="P24" s="44"/>
      <c r="Q24" s="44"/>
      <c r="R24" s="44"/>
      <c r="S24" s="44"/>
      <c r="T24" s="44"/>
      <c r="U24" s="44"/>
    </row>
    <row r="25" spans="1:23" x14ac:dyDescent="0.55000000000000004">
      <c r="A25" s="1" t="str">
        <f>'Population Definitions'!$A$11</f>
        <v>PLHIV HCW</v>
      </c>
      <c r="B25" s="1" t="s">
        <v>14</v>
      </c>
      <c r="C25" s="2">
        <f t="shared" si="1"/>
        <v>0</v>
      </c>
      <c r="D25" s="1" t="s">
        <v>16</v>
      </c>
      <c r="E25" s="44"/>
      <c r="F25" s="44"/>
      <c r="G25" s="44"/>
      <c r="H25" s="44"/>
      <c r="I25" s="44"/>
      <c r="J25" s="44"/>
      <c r="K25" s="44"/>
      <c r="L25" s="44"/>
      <c r="M25" s="44"/>
      <c r="N25" s="44"/>
      <c r="O25" s="44"/>
      <c r="P25" s="44"/>
      <c r="Q25" s="44"/>
      <c r="R25" s="44"/>
      <c r="S25" s="44"/>
      <c r="T25" s="44"/>
      <c r="U25" s="44"/>
    </row>
    <row r="26" spans="1:23" x14ac:dyDescent="0.55000000000000004">
      <c r="A26" s="1" t="str">
        <f>'Population Definitions'!$A$12</f>
        <v>Miners</v>
      </c>
      <c r="B26" s="1" t="s">
        <v>14</v>
      </c>
      <c r="C26" s="2" t="str">
        <f t="shared" si="1"/>
        <v>N.A.</v>
      </c>
      <c r="D26" s="1" t="s">
        <v>16</v>
      </c>
      <c r="E26" s="44"/>
      <c r="F26" s="44"/>
      <c r="G26" s="44"/>
      <c r="H26" s="44"/>
      <c r="I26" s="44"/>
      <c r="J26" s="44"/>
      <c r="K26" s="44"/>
      <c r="L26" s="44"/>
      <c r="M26" s="44"/>
      <c r="N26" s="44"/>
      <c r="O26" s="44"/>
      <c r="P26" s="44"/>
      <c r="Q26" s="44"/>
      <c r="R26" s="44"/>
      <c r="S26" s="44"/>
      <c r="T26" s="43">
        <f>45*(T12/(T12+T13))*T88</f>
        <v>10.556336324954312</v>
      </c>
      <c r="U26" s="44"/>
    </row>
    <row r="27" spans="1:23" x14ac:dyDescent="0.55000000000000004">
      <c r="A27" s="1" t="str">
        <f>'Population Definitions'!$A$13</f>
        <v>PLHIV Miners</v>
      </c>
      <c r="B27" s="1" t="s">
        <v>14</v>
      </c>
      <c r="C27" s="2" t="str">
        <f t="shared" si="1"/>
        <v>N.A.</v>
      </c>
      <c r="D27" s="1" t="s">
        <v>16</v>
      </c>
      <c r="E27" s="44"/>
      <c r="F27" s="44"/>
      <c r="G27" s="44"/>
      <c r="H27" s="44"/>
      <c r="I27" s="44"/>
      <c r="J27" s="44"/>
      <c r="K27" s="44"/>
      <c r="L27" s="44"/>
      <c r="M27" s="44"/>
      <c r="N27" s="44"/>
      <c r="O27" s="44"/>
      <c r="P27" s="44"/>
      <c r="Q27" s="44"/>
      <c r="R27" s="44"/>
      <c r="S27" s="44"/>
      <c r="T27" s="43">
        <f>45*(T13/(T12+T13))*T90</f>
        <v>9.3903945589695681</v>
      </c>
      <c r="U27" s="44"/>
    </row>
    <row r="28" spans="1:23" x14ac:dyDescent="0.55000000000000004">
      <c r="E28" s="37"/>
      <c r="F28" s="37"/>
      <c r="G28" s="37"/>
      <c r="H28" s="37"/>
      <c r="I28" s="37"/>
      <c r="J28" s="37"/>
      <c r="K28" s="37"/>
      <c r="L28" s="37"/>
      <c r="M28" s="37"/>
      <c r="N28" s="37"/>
      <c r="O28" s="37"/>
      <c r="P28" s="37"/>
      <c r="Q28" s="37"/>
      <c r="R28" s="37"/>
      <c r="S28" s="37"/>
      <c r="T28" s="37"/>
      <c r="U28" s="37"/>
    </row>
    <row r="29" spans="1:23" x14ac:dyDescent="0.55000000000000004">
      <c r="A29" s="21" t="s">
        <v>37</v>
      </c>
      <c r="B29" s="1" t="s">
        <v>8</v>
      </c>
      <c r="C29" s="1" t="s">
        <v>9</v>
      </c>
      <c r="D29" s="1"/>
      <c r="E29" s="41">
        <v>2000</v>
      </c>
      <c r="F29" s="41">
        <v>2001</v>
      </c>
      <c r="G29" s="41">
        <v>2002</v>
      </c>
      <c r="H29" s="41">
        <v>2003</v>
      </c>
      <c r="I29" s="41">
        <v>2004</v>
      </c>
      <c r="J29" s="41">
        <v>2005</v>
      </c>
      <c r="K29" s="41">
        <v>2006</v>
      </c>
      <c r="L29" s="41">
        <v>2007</v>
      </c>
      <c r="M29" s="41">
        <v>2008</v>
      </c>
      <c r="N29" s="41">
        <v>2009</v>
      </c>
      <c r="O29" s="41">
        <v>2010</v>
      </c>
      <c r="P29" s="41">
        <v>2011</v>
      </c>
      <c r="Q29" s="41">
        <v>2012</v>
      </c>
      <c r="R29" s="41">
        <v>2013</v>
      </c>
      <c r="S29" s="41">
        <v>2014</v>
      </c>
      <c r="T29" s="41">
        <v>2015</v>
      </c>
      <c r="U29" s="41">
        <v>2016</v>
      </c>
    </row>
    <row r="30" spans="1:23" x14ac:dyDescent="0.55000000000000004">
      <c r="A30" s="1" t="str">
        <f>'Population Definitions'!$A$2</f>
        <v>Gen 0-4</v>
      </c>
      <c r="B30" s="1" t="s">
        <v>14</v>
      </c>
      <c r="C30" s="2" t="str">
        <f t="shared" ref="C30:C41" si="3">IF(SUMPRODUCT(--(E30:U30&lt;&gt;""))=0,0,"N.A.")</f>
        <v>N.A.</v>
      </c>
      <c r="D30" s="1" t="s">
        <v>16</v>
      </c>
      <c r="E30" s="44"/>
      <c r="F30" s="44"/>
      <c r="G30" s="44">
        <f t="shared" ref="G30:L34" si="4">0/(0.9)</f>
        <v>0</v>
      </c>
      <c r="H30" s="44">
        <f t="shared" si="4"/>
        <v>0</v>
      </c>
      <c r="I30" s="44">
        <f t="shared" si="4"/>
        <v>0</v>
      </c>
      <c r="J30" s="44">
        <f t="shared" si="4"/>
        <v>0</v>
      </c>
      <c r="K30" s="44">
        <f t="shared" si="4"/>
        <v>0</v>
      </c>
      <c r="L30" s="44">
        <f t="shared" si="4"/>
        <v>0</v>
      </c>
      <c r="M30" s="44">
        <f>1/(0.9)</f>
        <v>1.1111111111111112</v>
      </c>
      <c r="N30" s="44">
        <f t="shared" ref="N30:T31" si="5">0/(0.9)</f>
        <v>0</v>
      </c>
      <c r="O30" s="44">
        <f t="shared" si="5"/>
        <v>0</v>
      </c>
      <c r="P30" s="44">
        <f t="shared" si="5"/>
        <v>0</v>
      </c>
      <c r="Q30" s="44">
        <f t="shared" si="5"/>
        <v>0</v>
      </c>
      <c r="R30" s="44">
        <f t="shared" si="5"/>
        <v>0</v>
      </c>
      <c r="S30" s="44">
        <f t="shared" si="5"/>
        <v>0</v>
      </c>
      <c r="T30" s="44">
        <f t="shared" si="5"/>
        <v>0</v>
      </c>
      <c r="U30" s="44"/>
    </row>
    <row r="31" spans="1:23" x14ac:dyDescent="0.55000000000000004">
      <c r="A31" s="1" t="str">
        <f>'Population Definitions'!$A$3</f>
        <v>Gen 5-14</v>
      </c>
      <c r="B31" s="1" t="s">
        <v>14</v>
      </c>
      <c r="C31" s="2" t="str">
        <f t="shared" si="3"/>
        <v>N.A.</v>
      </c>
      <c r="D31" s="1" t="s">
        <v>16</v>
      </c>
      <c r="E31" s="44"/>
      <c r="F31" s="44"/>
      <c r="G31" s="44">
        <f t="shared" si="4"/>
        <v>0</v>
      </c>
      <c r="H31" s="44">
        <f t="shared" si="4"/>
        <v>0</v>
      </c>
      <c r="I31" s="44">
        <f t="shared" si="4"/>
        <v>0</v>
      </c>
      <c r="J31" s="44">
        <f t="shared" si="4"/>
        <v>0</v>
      </c>
      <c r="K31" s="44">
        <f t="shared" si="4"/>
        <v>0</v>
      </c>
      <c r="L31" s="44">
        <f t="shared" si="4"/>
        <v>0</v>
      </c>
      <c r="M31" s="44">
        <f>0/(0.9)</f>
        <v>0</v>
      </c>
      <c r="N31" s="44">
        <f t="shared" si="5"/>
        <v>0</v>
      </c>
      <c r="O31" s="44">
        <f t="shared" si="5"/>
        <v>0</v>
      </c>
      <c r="P31" s="44">
        <f t="shared" si="5"/>
        <v>0</v>
      </c>
      <c r="Q31" s="44">
        <f t="shared" si="5"/>
        <v>0</v>
      </c>
      <c r="R31" s="44">
        <f t="shared" si="5"/>
        <v>0</v>
      </c>
      <c r="S31" s="44">
        <f t="shared" si="5"/>
        <v>0</v>
      </c>
      <c r="T31" s="44">
        <f t="shared" si="5"/>
        <v>0</v>
      </c>
      <c r="U31" s="44"/>
    </row>
    <row r="32" spans="1:23" x14ac:dyDescent="0.55000000000000004">
      <c r="A32" s="1" t="str">
        <f>'Population Definitions'!$A$4</f>
        <v>Gen 15-64</v>
      </c>
      <c r="B32" s="1" t="s">
        <v>14</v>
      </c>
      <c r="C32" s="2" t="str">
        <f t="shared" si="3"/>
        <v>N.A.</v>
      </c>
      <c r="D32" s="1" t="s">
        <v>16</v>
      </c>
      <c r="E32" s="44"/>
      <c r="F32" s="44"/>
      <c r="G32" s="44">
        <f t="shared" si="4"/>
        <v>0</v>
      </c>
      <c r="H32" s="44">
        <f t="shared" si="4"/>
        <v>0</v>
      </c>
      <c r="I32" s="44">
        <f t="shared" si="4"/>
        <v>0</v>
      </c>
      <c r="J32" s="44">
        <f t="shared" si="4"/>
        <v>0</v>
      </c>
      <c r="K32" s="44">
        <f t="shared" si="4"/>
        <v>0</v>
      </c>
      <c r="L32" s="44">
        <f>3.37515527950311/(0.9)</f>
        <v>3.750172532781233</v>
      </c>
      <c r="M32" s="44">
        <f>5.1890756302521/(0.9)</f>
        <v>5.765639589169</v>
      </c>
      <c r="N32" s="44">
        <f>0/(0.9)</f>
        <v>0</v>
      </c>
      <c r="O32" s="44">
        <f>11.8/(0.9)</f>
        <v>13.111111111111111</v>
      </c>
      <c r="P32" s="44">
        <f>4.6/(0.9)</f>
        <v>5.1111111111111107</v>
      </c>
      <c r="Q32" s="44">
        <f>3.5/(0.9)</f>
        <v>3.8888888888888888</v>
      </c>
      <c r="R32" s="44">
        <f>10.2153846153846/(0.9)</f>
        <v>11.350427350427333</v>
      </c>
      <c r="S32" s="44">
        <f>3.6969696969697/(0.9)</f>
        <v>4.1077441077441108</v>
      </c>
      <c r="T32" s="44">
        <f>4.88275862068966/(0.9)</f>
        <v>5.425287356321844</v>
      </c>
      <c r="U32" s="44"/>
    </row>
    <row r="33" spans="1:25" x14ac:dyDescent="0.55000000000000004">
      <c r="A33" s="1" t="str">
        <f>'Population Definitions'!$A$5</f>
        <v>Gen 65+</v>
      </c>
      <c r="B33" s="1" t="s">
        <v>14</v>
      </c>
      <c r="C33" s="2" t="str">
        <f t="shared" si="3"/>
        <v>N.A.</v>
      </c>
      <c r="D33" s="1" t="s">
        <v>16</v>
      </c>
      <c r="E33" s="44"/>
      <c r="F33" s="44"/>
      <c r="G33" s="44">
        <f t="shared" si="4"/>
        <v>0</v>
      </c>
      <c r="H33" s="44">
        <f t="shared" si="4"/>
        <v>0</v>
      </c>
      <c r="I33" s="44">
        <f t="shared" si="4"/>
        <v>0</v>
      </c>
      <c r="J33" s="44">
        <f t="shared" si="4"/>
        <v>0</v>
      </c>
      <c r="K33" s="44">
        <f t="shared" si="4"/>
        <v>0</v>
      </c>
      <c r="L33" s="44">
        <f>0/(0.9)</f>
        <v>0</v>
      </c>
      <c r="M33" s="44">
        <f>0/(0.9)</f>
        <v>0</v>
      </c>
      <c r="N33" s="44">
        <f>0/(0.9)</f>
        <v>0</v>
      </c>
      <c r="O33" s="44">
        <f t="shared" ref="O33:T33" si="6">0/(0.9)</f>
        <v>0</v>
      </c>
      <c r="P33" s="44">
        <f t="shared" si="6"/>
        <v>0</v>
      </c>
      <c r="Q33" s="44">
        <f t="shared" si="6"/>
        <v>0</v>
      </c>
      <c r="R33" s="44">
        <f t="shared" si="6"/>
        <v>0</v>
      </c>
      <c r="S33" s="44">
        <f t="shared" si="6"/>
        <v>0</v>
      </c>
      <c r="T33" s="44">
        <f t="shared" si="6"/>
        <v>0</v>
      </c>
      <c r="U33" s="44"/>
    </row>
    <row r="34" spans="1:25" x14ac:dyDescent="0.55000000000000004">
      <c r="A34" s="1" t="str">
        <f>'Population Definitions'!$A$6</f>
        <v>PLHIV 15-64</v>
      </c>
      <c r="B34" s="1" t="s">
        <v>14</v>
      </c>
      <c r="C34" s="2" t="str">
        <f t="shared" si="3"/>
        <v>N.A.</v>
      </c>
      <c r="D34" s="1" t="s">
        <v>16</v>
      </c>
      <c r="E34" s="44"/>
      <c r="F34" s="44"/>
      <c r="G34" s="44">
        <f t="shared" si="4"/>
        <v>0</v>
      </c>
      <c r="H34" s="44">
        <f t="shared" si="4"/>
        <v>0</v>
      </c>
      <c r="I34" s="44">
        <f t="shared" si="4"/>
        <v>0</v>
      </c>
      <c r="J34" s="44">
        <f t="shared" si="4"/>
        <v>0</v>
      </c>
      <c r="K34" s="44">
        <f t="shared" si="4"/>
        <v>0</v>
      </c>
      <c r="L34" s="44">
        <f>9.05962732919255/(0.9)</f>
        <v>10.066252587991722</v>
      </c>
      <c r="M34" s="44">
        <f>13.9285714285714/(0.9)</f>
        <v>15.476190476190444</v>
      </c>
      <c r="N34" s="44">
        <f>25.2307692307692/(0.9)</f>
        <v>28.034188034188002</v>
      </c>
      <c r="O34" s="44">
        <f>18.2142857142857/(0.9)</f>
        <v>20.238095238095223</v>
      </c>
      <c r="P34" s="44">
        <f>16.6/(0.9)</f>
        <v>18.444444444444446</v>
      </c>
      <c r="Q34" s="44">
        <f>13.5882352941176/(0.9)</f>
        <v>15.098039215686223</v>
      </c>
      <c r="R34" s="44">
        <f>5.83916083916084/(0.9)</f>
        <v>6.487956487956489</v>
      </c>
      <c r="S34" s="44">
        <f>13.3363636363636/(0.9)</f>
        <v>14.818181818181777</v>
      </c>
      <c r="T34" s="44">
        <f>35.2469711090401/(0.9)</f>
        <v>39.163301232266782</v>
      </c>
      <c r="U34" s="44"/>
    </row>
    <row r="35" spans="1:25" x14ac:dyDescent="0.55000000000000004">
      <c r="A35" s="1" t="str">
        <f>'Population Definitions'!$A$7</f>
        <v>PLHIV 65+</v>
      </c>
      <c r="B35" s="1" t="s">
        <v>14</v>
      </c>
      <c r="C35" s="2">
        <f t="shared" si="3"/>
        <v>0</v>
      </c>
      <c r="D35" s="1" t="s">
        <v>16</v>
      </c>
      <c r="E35" s="44"/>
      <c r="F35" s="44"/>
      <c r="G35" s="44"/>
      <c r="H35" s="44"/>
      <c r="I35" s="44"/>
      <c r="J35" s="44"/>
      <c r="K35" s="44"/>
      <c r="L35" s="44"/>
      <c r="M35" s="44"/>
      <c r="N35" s="44"/>
      <c r="O35" s="44"/>
      <c r="P35" s="44"/>
      <c r="Q35" s="44"/>
      <c r="R35" s="44"/>
      <c r="S35" s="44"/>
      <c r="T35" s="44"/>
      <c r="U35" s="44"/>
    </row>
    <row r="36" spans="1:25" x14ac:dyDescent="0.55000000000000004">
      <c r="A36" s="1" t="str">
        <f>'Population Definitions'!$A$8</f>
        <v>Prisoners</v>
      </c>
      <c r="B36" s="1" t="s">
        <v>14</v>
      </c>
      <c r="C36" s="2">
        <f t="shared" si="3"/>
        <v>0</v>
      </c>
      <c r="D36" s="1" t="s">
        <v>16</v>
      </c>
      <c r="E36" s="44"/>
      <c r="F36" s="44"/>
      <c r="G36" s="44"/>
      <c r="H36" s="44"/>
      <c r="I36" s="44"/>
      <c r="J36" s="44"/>
      <c r="K36" s="44"/>
      <c r="L36" s="44"/>
      <c r="M36" s="44"/>
      <c r="N36" s="44"/>
      <c r="O36" s="44"/>
      <c r="P36" s="44"/>
      <c r="Q36" s="44"/>
      <c r="R36" s="44"/>
      <c r="S36" s="44"/>
      <c r="T36" s="44"/>
      <c r="U36" s="44"/>
    </row>
    <row r="37" spans="1:25" x14ac:dyDescent="0.55000000000000004">
      <c r="A37" s="1" t="str">
        <f>'Population Definitions'!$A$9</f>
        <v>PLHIV Prisoners</v>
      </c>
      <c r="B37" s="1" t="s">
        <v>14</v>
      </c>
      <c r="C37" s="2">
        <f t="shared" si="3"/>
        <v>0</v>
      </c>
      <c r="D37" s="1" t="s">
        <v>16</v>
      </c>
      <c r="E37" s="44"/>
      <c r="F37" s="44"/>
      <c r="G37" s="44"/>
      <c r="H37" s="44"/>
      <c r="I37" s="44"/>
      <c r="J37" s="44"/>
      <c r="K37" s="44"/>
      <c r="L37" s="44"/>
      <c r="M37" s="44"/>
      <c r="N37" s="44"/>
      <c r="O37" s="44"/>
      <c r="P37" s="44"/>
      <c r="Q37" s="44"/>
      <c r="R37" s="44"/>
      <c r="S37" s="44"/>
      <c r="T37" s="44"/>
      <c r="U37" s="44"/>
    </row>
    <row r="38" spans="1:25" x14ac:dyDescent="0.55000000000000004">
      <c r="A38" s="1" t="str">
        <f>'Population Definitions'!$A$10</f>
        <v>HCW</v>
      </c>
      <c r="B38" s="1" t="s">
        <v>14</v>
      </c>
      <c r="C38" s="2">
        <f t="shared" si="3"/>
        <v>0</v>
      </c>
      <c r="D38" s="1" t="s">
        <v>16</v>
      </c>
      <c r="E38" s="44"/>
      <c r="F38" s="44"/>
      <c r="G38" s="44"/>
      <c r="H38" s="44"/>
      <c r="I38" s="44"/>
      <c r="J38" s="44"/>
      <c r="K38" s="44"/>
      <c r="L38" s="44"/>
      <c r="M38" s="44"/>
      <c r="N38" s="44"/>
      <c r="O38" s="44"/>
      <c r="P38" s="44"/>
      <c r="Q38" s="44"/>
      <c r="R38" s="44"/>
      <c r="S38" s="44"/>
      <c r="T38" s="44"/>
      <c r="U38" s="44"/>
    </row>
    <row r="39" spans="1:25" x14ac:dyDescent="0.55000000000000004">
      <c r="A39" s="1" t="str">
        <f>'Population Definitions'!$A$11</f>
        <v>PLHIV HCW</v>
      </c>
      <c r="B39" s="1" t="s">
        <v>14</v>
      </c>
      <c r="C39" s="2">
        <f t="shared" si="3"/>
        <v>0</v>
      </c>
      <c r="D39" s="1" t="s">
        <v>16</v>
      </c>
      <c r="E39" s="44"/>
      <c r="F39" s="44"/>
      <c r="G39" s="44"/>
      <c r="H39" s="44"/>
      <c r="I39" s="44"/>
      <c r="J39" s="44"/>
      <c r="K39" s="44"/>
      <c r="L39" s="44"/>
      <c r="M39" s="44"/>
      <c r="N39" s="44"/>
      <c r="O39" s="44"/>
      <c r="P39" s="44"/>
      <c r="Q39" s="44"/>
      <c r="R39" s="44"/>
      <c r="S39" s="44"/>
      <c r="T39" s="44"/>
      <c r="U39" s="44"/>
    </row>
    <row r="40" spans="1:25" x14ac:dyDescent="0.55000000000000004">
      <c r="A40" s="1" t="str">
        <f>'Population Definitions'!$A$12</f>
        <v>Miners</v>
      </c>
      <c r="B40" s="1" t="s">
        <v>14</v>
      </c>
      <c r="C40" s="2" t="str">
        <f t="shared" si="3"/>
        <v>N.A.</v>
      </c>
      <c r="D40" s="1" t="s">
        <v>16</v>
      </c>
      <c r="E40" s="44"/>
      <c r="F40" s="44"/>
      <c r="G40" s="44"/>
      <c r="H40" s="44"/>
      <c r="I40" s="44"/>
      <c r="J40" s="44"/>
      <c r="K40" s="44"/>
      <c r="L40" s="44"/>
      <c r="M40" s="44"/>
      <c r="N40" s="44"/>
      <c r="O40" s="44"/>
      <c r="P40" s="44"/>
      <c r="Q40" s="44"/>
      <c r="R40" s="44"/>
      <c r="S40" s="44"/>
      <c r="T40" s="22">
        <f>4*(T12/(T12+T13))*T88</f>
        <v>0.93834100666260556</v>
      </c>
      <c r="U40" s="44"/>
    </row>
    <row r="41" spans="1:25" x14ac:dyDescent="0.55000000000000004">
      <c r="A41" s="1" t="str">
        <f>'Population Definitions'!$A$13</f>
        <v>PLHIV Miners</v>
      </c>
      <c r="B41" s="1" t="s">
        <v>14</v>
      </c>
      <c r="C41" s="2" t="str">
        <f t="shared" si="3"/>
        <v>N.A.</v>
      </c>
      <c r="D41" s="1" t="s">
        <v>16</v>
      </c>
      <c r="E41" s="44"/>
      <c r="F41" s="44"/>
      <c r="G41" s="44"/>
      <c r="H41" s="44"/>
      <c r="I41" s="44"/>
      <c r="J41" s="44"/>
      <c r="K41" s="44"/>
      <c r="L41" s="44"/>
      <c r="M41" s="44"/>
      <c r="N41" s="44"/>
      <c r="O41" s="44"/>
      <c r="P41" s="44"/>
      <c r="Q41" s="44"/>
      <c r="R41" s="44"/>
      <c r="S41" s="44"/>
      <c r="T41" s="22">
        <f>4*(T13/(T12+T13))*T90</f>
        <v>0.83470173857507279</v>
      </c>
      <c r="U41" s="44"/>
    </row>
    <row r="42" spans="1:25" x14ac:dyDescent="0.55000000000000004">
      <c r="E42" s="37"/>
      <c r="F42" s="37"/>
      <c r="G42" s="37"/>
      <c r="H42" s="37"/>
      <c r="I42" s="37"/>
      <c r="J42" s="37"/>
      <c r="K42" s="37"/>
      <c r="L42" s="37"/>
      <c r="M42" s="37"/>
      <c r="N42" s="37"/>
      <c r="O42" s="37"/>
      <c r="P42" s="37"/>
      <c r="Q42" s="37"/>
      <c r="R42" s="37"/>
      <c r="S42" s="37"/>
      <c r="T42" s="37"/>
      <c r="U42" s="37"/>
    </row>
    <row r="43" spans="1:25" x14ac:dyDescent="0.55000000000000004">
      <c r="A43" s="21" t="s">
        <v>44</v>
      </c>
      <c r="B43" s="1" t="s">
        <v>8</v>
      </c>
      <c r="C43" s="1" t="s">
        <v>9</v>
      </c>
      <c r="D43" s="1"/>
      <c r="E43" s="41">
        <v>2000</v>
      </c>
      <c r="F43" s="41">
        <v>2001</v>
      </c>
      <c r="G43" s="41">
        <v>2002</v>
      </c>
      <c r="H43" s="41">
        <v>2003</v>
      </c>
      <c r="I43" s="41">
        <v>2004</v>
      </c>
      <c r="J43" s="41">
        <v>2005</v>
      </c>
      <c r="K43" s="41">
        <v>2006</v>
      </c>
      <c r="L43" s="41">
        <v>2007</v>
      </c>
      <c r="M43" s="41">
        <v>2008</v>
      </c>
      <c r="N43" s="41">
        <v>2009</v>
      </c>
      <c r="O43" s="41">
        <v>2010</v>
      </c>
      <c r="P43" s="41">
        <v>2011</v>
      </c>
      <c r="Q43" s="41">
        <v>2012</v>
      </c>
      <c r="R43" s="41">
        <v>2013</v>
      </c>
      <c r="S43" s="41">
        <v>2014</v>
      </c>
      <c r="T43" s="41">
        <v>2015</v>
      </c>
      <c r="U43" s="41">
        <v>2016</v>
      </c>
    </row>
    <row r="44" spans="1:25" x14ac:dyDescent="0.55000000000000004">
      <c r="A44" s="1" t="str">
        <f>'Population Definitions'!$A$2</f>
        <v>Gen 0-4</v>
      </c>
      <c r="B44" s="1" t="s">
        <v>14</v>
      </c>
      <c r="C44" s="2" t="str">
        <f t="shared" ref="C44:C55" si="7">IF(SUMPRODUCT(--(E44:U44&lt;&gt;""))=0,0,"N.A.")</f>
        <v>N.A.</v>
      </c>
      <c r="D44" s="1" t="s">
        <v>16</v>
      </c>
      <c r="E44" s="44"/>
      <c r="F44" s="44"/>
      <c r="G44" s="44">
        <f>211.5/(0.9)</f>
        <v>235</v>
      </c>
      <c r="H44" s="44">
        <f>288.09756097561/(0.9)</f>
        <v>320.10840108401112</v>
      </c>
      <c r="I44" s="44">
        <f>359.494736842105/(0.9)</f>
        <v>399.43859649122777</v>
      </c>
      <c r="J44" s="44">
        <f>680.096385542169/(0.9)</f>
        <v>755.66265060240994</v>
      </c>
      <c r="K44" s="44">
        <f>784.108527131783/(0.9)</f>
        <v>871.23169681309219</v>
      </c>
      <c r="L44" s="44">
        <f>1798.61538461538/(0.9)</f>
        <v>1998.4615384615333</v>
      </c>
      <c r="M44" s="44">
        <f>2286.17283950617/(0.9)</f>
        <v>2540.1920438957445</v>
      </c>
      <c r="N44" s="44">
        <f>2678.62068965517/(0.9)</f>
        <v>2976.2452107279664</v>
      </c>
      <c r="O44" s="44">
        <f>2733.61417322835/(0.9)</f>
        <v>3037.3490813648332</v>
      </c>
      <c r="P44" s="44">
        <f>2919.29824561403/(0.9)</f>
        <v>3243.6647173489218</v>
      </c>
      <c r="Q44" s="44">
        <f>2710.58695652174/(0.9)</f>
        <v>3011.7632850241553</v>
      </c>
      <c r="R44" s="44">
        <f>3043.31818181818/(0.9)</f>
        <v>3381.4646464646444</v>
      </c>
      <c r="S44" s="44">
        <f>2274.56756756757/(0.9)</f>
        <v>2527.2972972973002</v>
      </c>
      <c r="T44" s="44">
        <f>1995.56923076923/(0.9)</f>
        <v>2217.2991452991446</v>
      </c>
      <c r="U44" s="44">
        <f>1564.265625/(0.9)</f>
        <v>1738.0729166666665</v>
      </c>
      <c r="Y44" s="56"/>
    </row>
    <row r="45" spans="1:25" x14ac:dyDescent="0.55000000000000004">
      <c r="A45" s="1" t="str">
        <f>'Population Definitions'!$A$3</f>
        <v>Gen 5-14</v>
      </c>
      <c r="B45" s="1" t="s">
        <v>14</v>
      </c>
      <c r="C45" s="2" t="str">
        <f t="shared" si="7"/>
        <v>N.A.</v>
      </c>
      <c r="D45" s="1" t="s">
        <v>16</v>
      </c>
      <c r="E45" s="44"/>
      <c r="F45" s="44"/>
      <c r="G45" s="44">
        <f>121.680412371134/(0.9)</f>
        <v>135.20045819014888</v>
      </c>
      <c r="H45" s="44">
        <f>128.392857142857/(0.9)</f>
        <v>142.65873015872998</v>
      </c>
      <c r="I45" s="44">
        <f>203.515555555556/(0.9)</f>
        <v>226.1283950617289</v>
      </c>
      <c r="J45" s="44">
        <f>312.173913043478/(0.9)</f>
        <v>346.85990338164225</v>
      </c>
      <c r="K45" s="44">
        <f>419.773255813953/(0.9)</f>
        <v>466.41472868216999</v>
      </c>
      <c r="L45" s="44">
        <f>463.262798634812/(0.9)</f>
        <v>514.73644292756887</v>
      </c>
      <c r="M45" s="44">
        <f>769.408521303258/(0.9)</f>
        <v>854.89835700361994</v>
      </c>
      <c r="N45" s="44">
        <f>883.598130841121/(0.9)</f>
        <v>981.77570093457894</v>
      </c>
      <c r="O45" s="44">
        <f>1066.64742268041/(0.9)</f>
        <v>1185.1638029782334</v>
      </c>
      <c r="P45" s="44">
        <f>1194.66666666667/(0.9)</f>
        <v>1327.407407407411</v>
      </c>
      <c r="Q45" s="44">
        <f>1167.59786476868/(0.9)</f>
        <v>1297.3309608540887</v>
      </c>
      <c r="R45" s="44">
        <f>1049.75520833333/(0.9)</f>
        <v>1166.3946759259222</v>
      </c>
      <c r="S45" s="44">
        <f>908.123762376238/(0.9)</f>
        <v>1009.0264026402645</v>
      </c>
      <c r="T45" s="44">
        <f>913.451086956522/(0.9)</f>
        <v>1014.9456521739132</v>
      </c>
      <c r="U45" s="44">
        <f>656.103225806452/(0.9)</f>
        <v>729.00358422939109</v>
      </c>
      <c r="Y45" s="55"/>
    </row>
    <row r="46" spans="1:25" x14ac:dyDescent="0.55000000000000004">
      <c r="A46" s="1" t="str">
        <f>'Population Definitions'!$A$4</f>
        <v>Gen 15-64</v>
      </c>
      <c r="B46" s="1" t="s">
        <v>14</v>
      </c>
      <c r="C46" s="2" t="str">
        <f t="shared" si="7"/>
        <v>N.A.</v>
      </c>
      <c r="D46" s="1" t="s">
        <v>16</v>
      </c>
      <c r="E46" s="44"/>
      <c r="F46" s="44"/>
      <c r="G46" s="44">
        <f>236.613137292436/(0.9)</f>
        <v>262.90348588048442</v>
      </c>
      <c r="H46" s="44">
        <f>333.953125053072/(0.9)</f>
        <v>371.05902783674662</v>
      </c>
      <c r="I46" s="44">
        <f>428.53635125831/(0.9)</f>
        <v>476.15150139812221</v>
      </c>
      <c r="J46" s="44">
        <f>546.369081921294/(0.9)</f>
        <v>607.07675769032664</v>
      </c>
      <c r="K46" s="44">
        <f>662.240669320456/(0.9)</f>
        <v>735.82296591161787</v>
      </c>
      <c r="L46" s="44">
        <f>841.576440409191/(0.9)</f>
        <v>935.08493378799005</v>
      </c>
      <c r="M46" s="44">
        <f>2391.93479896152/(0.9)</f>
        <v>2657.7053321794665</v>
      </c>
      <c r="N46" s="44">
        <f>1630.50647261998/(0.9)</f>
        <v>1811.6738584666446</v>
      </c>
      <c r="O46" s="44">
        <f>2027.94964038948/(0.9)</f>
        <v>2253.2773782105332</v>
      </c>
      <c r="P46" s="44">
        <f>2375.35946636873/(0.9)</f>
        <v>2639.2882959652557</v>
      </c>
      <c r="Q46" s="44">
        <f>2423.66458002349/(0.9)</f>
        <v>2692.9606444705446</v>
      </c>
      <c r="R46" s="44">
        <f>3127.33352069371/(0.9)</f>
        <v>3474.8150229930111</v>
      </c>
      <c r="S46" s="44">
        <f>4161.9454270565/(0.9)</f>
        <v>4624.3838078405561</v>
      </c>
      <c r="T46" s="44">
        <f>3933.36584015097/(0.9)</f>
        <v>4370.4064890566333</v>
      </c>
      <c r="U46" s="44">
        <f>3392.68391215091/(0.9)</f>
        <v>3769.6487912787888</v>
      </c>
      <c r="Y46" s="55"/>
    </row>
    <row r="47" spans="1:25" x14ac:dyDescent="0.55000000000000004">
      <c r="A47" s="1" t="str">
        <f>'Population Definitions'!$A$5</f>
        <v>Gen 65+</v>
      </c>
      <c r="B47" s="1" t="s">
        <v>14</v>
      </c>
      <c r="C47" s="2" t="str">
        <f t="shared" si="7"/>
        <v>N.A.</v>
      </c>
      <c r="D47" s="1" t="s">
        <v>16</v>
      </c>
      <c r="E47" s="44"/>
      <c r="F47" s="44"/>
      <c r="G47" s="44">
        <f>28.5916813639036/(0.9)</f>
        <v>31.768534848781776</v>
      </c>
      <c r="H47" s="44">
        <f>42.1020955788398/(0.9)</f>
        <v>46.780106198710889</v>
      </c>
      <c r="I47" s="44">
        <f>64.1491714634572/(0.9)</f>
        <v>71.276857181619107</v>
      </c>
      <c r="J47" s="44">
        <f>83.0674740225761/(0.9)</f>
        <v>92.2971933584179</v>
      </c>
      <c r="K47" s="44">
        <f>84.4735057227639/(0.9)</f>
        <v>93.859450803070999</v>
      </c>
      <c r="L47" s="44">
        <f>120.06529209622/(0.9)</f>
        <v>133.40588010691113</v>
      </c>
      <c r="M47" s="44">
        <f>113.720363380462/(0.9)</f>
        <v>126.35595931162445</v>
      </c>
      <c r="N47" s="44">
        <f>236.030312553455/(0.9)</f>
        <v>262.25590283717219</v>
      </c>
      <c r="O47" s="44">
        <f>261.206901423795/(0.9)</f>
        <v>290.22989047088333</v>
      </c>
      <c r="P47" s="44">
        <f>289.421341357056/(0.9)</f>
        <v>321.57926817450669</v>
      </c>
      <c r="Q47" s="44">
        <f>313.149400548895/(0.9)</f>
        <v>347.9437783876611</v>
      </c>
      <c r="R47" s="44">
        <f>356.432681963977/(0.9)</f>
        <v>396.03631329330778</v>
      </c>
      <c r="S47" s="44">
        <f>492.587882134715/(0.9)</f>
        <v>547.31986903857228</v>
      </c>
      <c r="T47" s="44">
        <f>454.331358893168/(0.9)</f>
        <v>504.81262099240888</v>
      </c>
      <c r="U47" s="44">
        <f>443.084259926173/(0.9)</f>
        <v>492.3158443624144</v>
      </c>
      <c r="Y47" s="55"/>
    </row>
    <row r="48" spans="1:25" x14ac:dyDescent="0.55000000000000004">
      <c r="A48" s="1" t="str">
        <f>'Population Definitions'!$A$6</f>
        <v>PLHIV 15-64</v>
      </c>
      <c r="B48" s="1" t="s">
        <v>14</v>
      </c>
      <c r="C48" s="2" t="str">
        <f t="shared" si="7"/>
        <v>N.A.</v>
      </c>
      <c r="D48" s="1" t="s">
        <v>16</v>
      </c>
      <c r="E48" s="44"/>
      <c r="F48" s="44"/>
      <c r="G48" s="44">
        <f>1707.94288851641/(0.9)</f>
        <v>1897.7143205737889</v>
      </c>
      <c r="H48" s="44">
        <f>2412.94532541732/(0.9)</f>
        <v>2681.0503615747998</v>
      </c>
      <c r="I48" s="44">
        <f>3096.34708576481/(0.9)</f>
        <v>3440.3856508497888</v>
      </c>
      <c r="J48" s="44">
        <f>3947.73584455909/(0.9)</f>
        <v>4386.3731606212104</v>
      </c>
      <c r="K48" s="44">
        <f>5449.52855902778/(0.9)</f>
        <v>6055.0317322530891</v>
      </c>
      <c r="L48" s="44">
        <f>5721.9038130662/(0.9)</f>
        <v>6357.670903406889</v>
      </c>
      <c r="M48" s="44">
        <f>10274.3282894078/(0.9)</f>
        <v>11415.920321564223</v>
      </c>
      <c r="N48" s="44">
        <f>11892.8541458672/(0.9)</f>
        <v>13214.28238429689</v>
      </c>
      <c r="O48" s="44">
        <f>15845.7753823319/(0.9)</f>
        <v>17606.417091479889</v>
      </c>
      <c r="P48" s="44">
        <f>16213.5745753819/(0.9)</f>
        <v>18015.082861535444</v>
      </c>
      <c r="Q48" s="44">
        <f>15680.7423326039/(0.9)</f>
        <v>17423.047036226555</v>
      </c>
      <c r="R48" s="44">
        <f>17528.0701379651/(0.9)</f>
        <v>19475.633486627888</v>
      </c>
      <c r="S48" s="44">
        <f>19308.8338930441/(0.9)</f>
        <v>21454.259881160109</v>
      </c>
      <c r="T48" s="44">
        <f>18741.8103988828/(0.9)</f>
        <v>20824.233776536446</v>
      </c>
      <c r="U48" s="44">
        <f>15794.0546408241/(0.9)</f>
        <v>17548.949600915668</v>
      </c>
      <c r="Y48" s="55"/>
    </row>
    <row r="49" spans="1:21" x14ac:dyDescent="0.55000000000000004">
      <c r="A49" s="1" t="str">
        <f>'Population Definitions'!$A$7</f>
        <v>PLHIV 65+</v>
      </c>
      <c r="B49" s="1" t="s">
        <v>14</v>
      </c>
      <c r="C49" s="2" t="str">
        <f t="shared" si="7"/>
        <v>N.A.</v>
      </c>
      <c r="D49" s="1" t="s">
        <v>16</v>
      </c>
      <c r="E49" s="44"/>
      <c r="F49" s="44"/>
      <c r="G49" s="44">
        <f>10.9700470311581/(0.9)</f>
        <v>12.188941145731221</v>
      </c>
      <c r="H49" s="44">
        <f>16.1537183746486/(0.9)</f>
        <v>17.948575971831779</v>
      </c>
      <c r="I49" s="44">
        <f>24.6127332984476/(0.9)</f>
        <v>27.347481442719555</v>
      </c>
      <c r="J49" s="44">
        <f>31.871301487628/(0.9)</f>
        <v>35.412557208475555</v>
      </c>
      <c r="K49" s="44">
        <f>32.4107672742687/(0.9)</f>
        <v>36.011963638076331</v>
      </c>
      <c r="L49" s="44">
        <f>0/(0.9)</f>
        <v>0</v>
      </c>
      <c r="M49" s="44">
        <f>106.000766314431/(0.9)</f>
        <v>117.77862923825667</v>
      </c>
      <c r="N49" s="44">
        <f>129.053656308435/(0.9)</f>
        <v>143.39295145381666</v>
      </c>
      <c r="O49" s="44">
        <f>159.976505561949/(0.9)</f>
        <v>177.75167284661001</v>
      </c>
      <c r="P49" s="44">
        <f>171.612927350427/(0.9)</f>
        <v>190.68103038936331</v>
      </c>
      <c r="Q49" s="44">
        <f>167.87003752689/(0.9)</f>
        <v>186.52226391876667</v>
      </c>
      <c r="R49" s="44">
        <f>157.953095238095/(0.9)</f>
        <v>175.50343915343888</v>
      </c>
      <c r="S49" s="44">
        <f>247.865995481127/(0.9)</f>
        <v>275.40666164569666</v>
      </c>
      <c r="T49" s="44">
        <f>206.230482821512/(0.9)</f>
        <v>229.14498091279111</v>
      </c>
      <c r="U49" s="44">
        <f>195.352899783446/(0.9)</f>
        <v>217.0587775371622</v>
      </c>
    </row>
    <row r="50" spans="1:21" x14ac:dyDescent="0.55000000000000004">
      <c r="A50" s="1" t="str">
        <f>'Population Definitions'!$A$8</f>
        <v>Prisoners</v>
      </c>
      <c r="B50" s="1" t="s">
        <v>14</v>
      </c>
      <c r="C50" s="2" t="str">
        <f t="shared" si="7"/>
        <v>N.A.</v>
      </c>
      <c r="D50" s="1" t="s">
        <v>16</v>
      </c>
      <c r="E50" s="44"/>
      <c r="F50" s="44"/>
      <c r="G50" s="44">
        <f>39.3172809483438/(0.9)</f>
        <v>43.685867720381999</v>
      </c>
      <c r="H50" s="44">
        <f>43.1055246123739/(0.9)</f>
        <v>47.895027347082106</v>
      </c>
      <c r="I50" s="44">
        <f>24.2838395463732/(0.9)</f>
        <v>26.982043940414666</v>
      </c>
      <c r="J50" s="44">
        <f>16.8056572205375/(0.9)</f>
        <v>18.67295246726389</v>
      </c>
      <c r="K50" s="44">
        <f>10.2067299430451/(0.9)</f>
        <v>11.34081104782789</v>
      </c>
      <c r="L50" s="44">
        <f>22.7042553191489/(0.9)</f>
        <v>25.226950354609887</v>
      </c>
      <c r="M50" s="44">
        <f>13.1793536324786/(0.9)</f>
        <v>14.643726258309556</v>
      </c>
      <c r="N50" s="44">
        <f>14.146479211728/(0.9)</f>
        <v>15.718310235253332</v>
      </c>
      <c r="O50" s="44">
        <f>24.2292277242272/(0.9)</f>
        <v>26.921364138030221</v>
      </c>
      <c r="P50" s="44">
        <f>35.6499173553719/(0.9)</f>
        <v>39.61101928374655</v>
      </c>
      <c r="Q50" s="44">
        <f>27.7135416666667/(0.9)</f>
        <v>30.792824074074112</v>
      </c>
      <c r="R50" s="44">
        <f>57.0070588235294/(0.9)</f>
        <v>63.341176470588216</v>
      </c>
      <c r="S50" s="44">
        <f>74.8713782051282/(0.9)</f>
        <v>83.190420227920214</v>
      </c>
      <c r="T50" s="44">
        <f>151.525643488283/(0.9)</f>
        <v>168.36182609809222</v>
      </c>
      <c r="U50" s="44">
        <f>74.6153109144543/(0.9)</f>
        <v>82.905901016060326</v>
      </c>
    </row>
    <row r="51" spans="1:21" x14ac:dyDescent="0.55000000000000004">
      <c r="A51" s="1" t="str">
        <f>'Population Definitions'!$A$9</f>
        <v>PLHIV Prisoners</v>
      </c>
      <c r="B51" s="1" t="s">
        <v>14</v>
      </c>
      <c r="C51" s="2" t="str">
        <f t="shared" si="7"/>
        <v>N.A.</v>
      </c>
      <c r="D51" s="1" t="s">
        <v>16</v>
      </c>
      <c r="E51" s="44"/>
      <c r="F51" s="44"/>
      <c r="G51" s="44">
        <f>80.480764654262/(0.9)</f>
        <v>89.423071838068893</v>
      </c>
      <c r="H51" s="44">
        <f>88.2351347282854/(0.9)</f>
        <v>98.039038586983779</v>
      </c>
      <c r="I51" s="44">
        <f>49.7079637323153/(0.9)</f>
        <v>55.231070813683665</v>
      </c>
      <c r="J51" s="44">
        <f>34.4004496496915/(0.9)</f>
        <v>38.222721832990558</v>
      </c>
      <c r="K51" s="44">
        <f>20.8927324225463/(0.9)</f>
        <v>23.214147136162556</v>
      </c>
      <c r="L51" s="44">
        <f>8.42522796352584/(0.9)</f>
        <v>9.3613644039175998</v>
      </c>
      <c r="M51" s="44">
        <f>92.5665865384616/(0.9)</f>
        <v>102.85176282051289</v>
      </c>
      <c r="N51" s="44">
        <f>135.504581579786/(0.9)</f>
        <v>150.5606461997622</v>
      </c>
      <c r="O51" s="44">
        <f>145.328785599015/(0.9)</f>
        <v>161.47642844334999</v>
      </c>
      <c r="P51" s="44">
        <f>179.641179823311/(0.9)</f>
        <v>199.60131091478999</v>
      </c>
      <c r="Q51" s="44">
        <f>109.480603448276/(0.9)</f>
        <v>121.64511494252889</v>
      </c>
      <c r="R51" s="44">
        <f>111.911823858035/(0.9)</f>
        <v>124.34647095337223</v>
      </c>
      <c r="S51" s="44">
        <f>149.396295787546/(0.9)</f>
        <v>165.99588420838444</v>
      </c>
      <c r="T51" s="44">
        <f>210.012474876298/(0.9)</f>
        <v>233.34719430699778</v>
      </c>
      <c r="U51" s="44">
        <f>184.392933695981/(0.9)</f>
        <v>204.88103743997885</v>
      </c>
    </row>
    <row r="52" spans="1:21" x14ac:dyDescent="0.55000000000000004">
      <c r="A52" s="1" t="str">
        <f>'Population Definitions'!$A$10</f>
        <v>HCW</v>
      </c>
      <c r="B52" s="1" t="s">
        <v>14</v>
      </c>
      <c r="C52" s="2">
        <f t="shared" si="7"/>
        <v>0</v>
      </c>
      <c r="D52" s="1" t="s">
        <v>16</v>
      </c>
      <c r="E52" s="44"/>
      <c r="F52" s="44"/>
      <c r="G52" s="44"/>
      <c r="H52" s="44"/>
      <c r="I52" s="44"/>
      <c r="J52" s="44"/>
      <c r="K52" s="44"/>
      <c r="L52" s="44"/>
      <c r="M52" s="44"/>
      <c r="N52" s="44"/>
      <c r="O52" s="44"/>
      <c r="P52" s="44"/>
      <c r="Q52" s="44"/>
      <c r="R52" s="44"/>
      <c r="S52" s="44"/>
      <c r="T52" s="44"/>
      <c r="U52" s="44"/>
    </row>
    <row r="53" spans="1:21" x14ac:dyDescent="0.55000000000000004">
      <c r="A53" s="1" t="str">
        <f>'Population Definitions'!$A$11</f>
        <v>PLHIV HCW</v>
      </c>
      <c r="B53" s="1" t="s">
        <v>14</v>
      </c>
      <c r="C53" s="2">
        <f t="shared" si="7"/>
        <v>0</v>
      </c>
      <c r="D53" s="1" t="s">
        <v>16</v>
      </c>
      <c r="E53" s="44"/>
      <c r="F53" s="44"/>
      <c r="G53" s="44"/>
      <c r="H53" s="44"/>
      <c r="I53" s="44"/>
      <c r="J53" s="44"/>
      <c r="K53" s="44"/>
      <c r="L53" s="44"/>
      <c r="M53" s="44"/>
      <c r="N53" s="44"/>
      <c r="O53" s="44"/>
      <c r="P53" s="44"/>
      <c r="Q53" s="44"/>
      <c r="R53" s="44"/>
      <c r="S53" s="44"/>
      <c r="T53" s="44"/>
      <c r="U53" s="44"/>
    </row>
    <row r="54" spans="1:21" x14ac:dyDescent="0.55000000000000004">
      <c r="A54" s="1" t="str">
        <f>'Population Definitions'!$A$12</f>
        <v>Miners</v>
      </c>
      <c r="B54" s="1" t="s">
        <v>14</v>
      </c>
      <c r="C54" s="2" t="str">
        <f t="shared" si="7"/>
        <v>N.A.</v>
      </c>
      <c r="D54" s="1" t="s">
        <v>16</v>
      </c>
      <c r="E54" s="44"/>
      <c r="F54" s="44"/>
      <c r="G54" s="44"/>
      <c r="H54" s="44"/>
      <c r="I54" s="44"/>
      <c r="J54" s="44"/>
      <c r="K54" s="44"/>
      <c r="L54" s="44"/>
      <c r="M54" s="44"/>
      <c r="N54" s="44"/>
      <c r="O54" s="44"/>
      <c r="P54" s="44"/>
      <c r="Q54" s="44"/>
      <c r="R54" s="44"/>
      <c r="S54" s="44"/>
      <c r="T54" s="43">
        <f>(1811-1118)*T102</f>
        <v>335.68418361899631</v>
      </c>
      <c r="U54" s="44"/>
    </row>
    <row r="55" spans="1:21" x14ac:dyDescent="0.55000000000000004">
      <c r="A55" s="1" t="str">
        <f>'Population Definitions'!$A$13</f>
        <v>PLHIV Miners</v>
      </c>
      <c r="B55" s="1" t="s">
        <v>14</v>
      </c>
      <c r="C55" s="2" t="str">
        <f t="shared" si="7"/>
        <v>N.A.</v>
      </c>
      <c r="D55" s="1" t="s">
        <v>16</v>
      </c>
      <c r="E55" s="44"/>
      <c r="F55" s="44"/>
      <c r="G55" s="44"/>
      <c r="H55" s="44"/>
      <c r="I55" s="44"/>
      <c r="J55" s="44"/>
      <c r="K55" s="44"/>
      <c r="L55" s="44"/>
      <c r="M55" s="44"/>
      <c r="N55" s="44"/>
      <c r="O55" s="44"/>
      <c r="P55" s="44"/>
      <c r="Q55" s="44"/>
      <c r="R55" s="44"/>
      <c r="S55" s="44"/>
      <c r="T55" s="43">
        <f>1118*T104</f>
        <v>689.95262709155998</v>
      </c>
      <c r="U55" s="44"/>
    </row>
    <row r="56" spans="1:21" x14ac:dyDescent="0.55000000000000004">
      <c r="E56" s="37"/>
      <c r="F56" s="37"/>
      <c r="G56" s="37"/>
      <c r="H56" s="37"/>
      <c r="I56" s="37"/>
      <c r="J56" s="37"/>
      <c r="K56" s="37"/>
      <c r="L56" s="37"/>
      <c r="M56" s="37"/>
      <c r="N56" s="37"/>
      <c r="O56" s="37"/>
      <c r="P56" s="37"/>
      <c r="Q56" s="37"/>
      <c r="R56" s="37"/>
      <c r="S56" s="37"/>
      <c r="T56" s="37"/>
      <c r="U56" s="37"/>
    </row>
    <row r="57" spans="1:21" x14ac:dyDescent="0.55000000000000004">
      <c r="A57" s="21" t="s">
        <v>51</v>
      </c>
      <c r="B57" s="1" t="s">
        <v>8</v>
      </c>
      <c r="C57" s="1" t="s">
        <v>9</v>
      </c>
      <c r="D57" s="1"/>
      <c r="E57" s="41">
        <v>2000</v>
      </c>
      <c r="F57" s="41">
        <v>2001</v>
      </c>
      <c r="G57" s="41">
        <v>2002</v>
      </c>
      <c r="H57" s="41">
        <v>2003</v>
      </c>
      <c r="I57" s="41">
        <v>2004</v>
      </c>
      <c r="J57" s="41">
        <v>2005</v>
      </c>
      <c r="K57" s="41">
        <v>2006</v>
      </c>
      <c r="L57" s="41">
        <v>2007</v>
      </c>
      <c r="M57" s="41">
        <v>2008</v>
      </c>
      <c r="N57" s="41">
        <v>2009</v>
      </c>
      <c r="O57" s="41">
        <v>2010</v>
      </c>
      <c r="P57" s="41">
        <v>2011</v>
      </c>
      <c r="Q57" s="41">
        <v>2012</v>
      </c>
      <c r="R57" s="41">
        <v>2013</v>
      </c>
      <c r="S57" s="41">
        <v>2014</v>
      </c>
      <c r="T57" s="41">
        <v>2015</v>
      </c>
      <c r="U57" s="41">
        <v>2016</v>
      </c>
    </row>
    <row r="58" spans="1:21" x14ac:dyDescent="0.55000000000000004">
      <c r="A58" s="1" t="str">
        <f>'Population Definitions'!$A$2</f>
        <v>Gen 0-4</v>
      </c>
      <c r="B58" s="1" t="s">
        <v>14</v>
      </c>
      <c r="C58" s="2" t="str">
        <f t="shared" ref="C58:C69" si="8">IF(SUMPRODUCT(--(E58:U58&lt;&gt;""))=0,0,"N.A.")</f>
        <v>N.A.</v>
      </c>
      <c r="D58" s="1" t="s">
        <v>16</v>
      </c>
      <c r="E58" s="44"/>
      <c r="F58" s="44"/>
      <c r="G58" s="44">
        <v>0</v>
      </c>
      <c r="H58" s="44">
        <v>0</v>
      </c>
      <c r="I58" s="44">
        <v>0</v>
      </c>
      <c r="J58" s="44">
        <v>0</v>
      </c>
      <c r="K58" s="44">
        <v>0</v>
      </c>
      <c r="L58" s="44">
        <f>('[3]Notified cases'!K5*'[3]Resitance dis. by Smear'!I37)/(0.9)</f>
        <v>9.8765432098765427</v>
      </c>
      <c r="M58" s="44">
        <f>('[3]Notified cases'!L5*'[3]Resitance dis. by Smear'!J37)/(0.9)</f>
        <v>6.6666666666666661</v>
      </c>
      <c r="N58" s="44">
        <f>('[3]Notified cases'!M5*'[3]Resitance dis. by Smear'!K37)/(0.9)</f>
        <v>1.1111111111111112</v>
      </c>
      <c r="O58" s="44">
        <f>('[3]Notified cases'!N5*'[3]Resitance dis. by Smear'!L37)/(0.9)</f>
        <v>5.0793650793650791</v>
      </c>
      <c r="P58" s="44">
        <f>('[3]Notified cases'!O5*'[3]Resitance dis. by Smear'!M37)/(0.9)</f>
        <v>11.111111111111111</v>
      </c>
      <c r="Q58" s="44">
        <f>('[3]Notified cases'!P5*'[3]Resitance dis. by Smear'!N37)/(0.9)</f>
        <v>1.1111111111111112</v>
      </c>
      <c r="R58" s="44">
        <f>('[3]Notified cases'!Q5*'[3]Resitance dis. by Smear'!O37)/(0.9)</f>
        <v>7.1428571428571432</v>
      </c>
      <c r="S58" s="44">
        <f>('[3]Notified cases'!R5*'[3]Resitance dis. by Smear'!P37)/(0.9)</f>
        <v>2.7777777777777777</v>
      </c>
      <c r="T58" s="44">
        <f>('[3]Notified cases'!S5*'[3]Resitance dis. by Smear'!Q37)/(0.9)</f>
        <v>10</v>
      </c>
      <c r="U58" s="44"/>
    </row>
    <row r="59" spans="1:21" x14ac:dyDescent="0.55000000000000004">
      <c r="A59" s="1" t="str">
        <f>'Population Definitions'!$A$3</f>
        <v>Gen 5-14</v>
      </c>
      <c r="B59" s="1" t="s">
        <v>14</v>
      </c>
      <c r="C59" s="2" t="str">
        <f t="shared" si="8"/>
        <v>N.A.</v>
      </c>
      <c r="D59" s="1" t="s">
        <v>16</v>
      </c>
      <c r="E59" s="44"/>
      <c r="F59" s="44"/>
      <c r="G59" s="44">
        <v>0</v>
      </c>
      <c r="H59" s="44">
        <v>0</v>
      </c>
      <c r="I59" s="44">
        <v>0</v>
      </c>
      <c r="J59" s="44">
        <v>0</v>
      </c>
      <c r="K59" s="44">
        <v>0</v>
      </c>
      <c r="L59" s="44">
        <f>('[3]Notified cases'!K20*'[3]Resitance dis. by Smear'!I38)/(0.9)</f>
        <v>10.833333333333334</v>
      </c>
      <c r="M59" s="44">
        <f>('[3]Notified cases'!L20*'[3]Resitance dis. by Smear'!J38)/(0.9)</f>
        <v>3.333333333333333</v>
      </c>
      <c r="N59" s="44">
        <f>('[3]Notified cases'!M20*'[3]Resitance dis. by Smear'!K38)/(0.9)</f>
        <v>7.4074074074074074</v>
      </c>
      <c r="O59" s="44">
        <f>('[3]Notified cases'!N20*'[3]Resitance dis. by Smear'!L38)/(0.9)</f>
        <v>4.4444444444444446</v>
      </c>
      <c r="P59" s="44">
        <f>('[3]Notified cases'!O20*'[3]Resitance dis. by Smear'!M38)/(0.9)</f>
        <v>9.7777777777777786</v>
      </c>
      <c r="Q59" s="44">
        <f>('[3]Notified cases'!P20*'[3]Resitance dis. by Smear'!N38)/(0.9)</f>
        <v>3.5897435897435899</v>
      </c>
      <c r="R59" s="44">
        <f>('[3]Notified cases'!Q20*'[3]Resitance dis. by Smear'!O38)/(0.9)</f>
        <v>4.814814814814814</v>
      </c>
      <c r="S59" s="44">
        <f>('[3]Notified cases'!R20*'[3]Resitance dis. by Smear'!P38)/(0.9)</f>
        <v>12.833333333333334</v>
      </c>
      <c r="T59" s="44">
        <f>('[3]Notified cases'!S20*'[3]Resitance dis. by Smear'!Q38)/(0.9)</f>
        <v>10.694444444444445</v>
      </c>
      <c r="U59" s="44"/>
    </row>
    <row r="60" spans="1:21" x14ac:dyDescent="0.55000000000000004">
      <c r="A60" s="1" t="str">
        <f>'Population Definitions'!$A$4</f>
        <v>Gen 15-64</v>
      </c>
      <c r="B60" s="1" t="s">
        <v>14</v>
      </c>
      <c r="C60" s="2" t="str">
        <f t="shared" si="8"/>
        <v>N.A.</v>
      </c>
      <c r="D60" s="1" t="s">
        <v>16</v>
      </c>
      <c r="E60" s="44"/>
      <c r="F60" s="44"/>
      <c r="G60" s="44">
        <v>0</v>
      </c>
      <c r="H60" s="44">
        <v>0</v>
      </c>
      <c r="I60" s="44">
        <v>0</v>
      </c>
      <c r="J60" s="44">
        <v>0</v>
      </c>
      <c r="K60" s="44">
        <v>0</v>
      </c>
      <c r="L60" s="44">
        <f>('[3]Amended HIV unknown totals'!J67+'[3]Amended Notified Cases'!L60)/(0.9)</f>
        <v>52.556037513727901</v>
      </c>
      <c r="M60" s="44">
        <f>('[3]Amended HIV unknown totals'!K67+'[3]Amended Notified Cases'!M60)/(0.9)</f>
        <v>18.02893730572902</v>
      </c>
      <c r="N60" s="44">
        <f>('[3]Amended HIV unknown totals'!L67+'[3]Amended Notified Cases'!N60)/(0.9)</f>
        <v>160.988455988456</v>
      </c>
      <c r="O60" s="45">
        <v>37</v>
      </c>
      <c r="P60" s="44">
        <f>('[3]Amended HIV unknown totals'!N67+'[3]Amended Notified Cases'!P60)/(0.9)</f>
        <v>32.034897541957875</v>
      </c>
      <c r="Q60" s="44">
        <f>('[3]Amended HIV unknown totals'!O67+'[3]Amended Notified Cases'!Q60)/(0.9)</f>
        <v>31.777532351628736</v>
      </c>
      <c r="R60" s="44">
        <f>('[3]Amended HIV unknown totals'!P67+'[3]Amended Notified Cases'!R60)/(0.9)</f>
        <v>45.022100584101736</v>
      </c>
      <c r="S60" s="44">
        <f>('[3]Amended HIV unknown totals'!Q67+'[3]Amended Notified Cases'!S60)/(0.9)</f>
        <v>82.318593658709929</v>
      </c>
      <c r="T60" s="44">
        <f>('[3]Amended HIV unknown totals'!R67+'[3]Amended Notified Cases'!T60)/(0.9)</f>
        <v>110.00234049923088</v>
      </c>
      <c r="U60" s="44"/>
    </row>
    <row r="61" spans="1:21" x14ac:dyDescent="0.55000000000000004">
      <c r="A61" s="1" t="str">
        <f>'Population Definitions'!$A$5</f>
        <v>Gen 65+</v>
      </c>
      <c r="B61" s="1" t="s">
        <v>14</v>
      </c>
      <c r="C61" s="2" t="str">
        <f t="shared" si="8"/>
        <v>N.A.</v>
      </c>
      <c r="D61" s="1" t="s">
        <v>16</v>
      </c>
      <c r="E61" s="44"/>
      <c r="F61" s="44"/>
      <c r="G61" s="44">
        <v>0</v>
      </c>
      <c r="H61" s="44">
        <v>0</v>
      </c>
      <c r="I61" s="44">
        <v>0</v>
      </c>
      <c r="J61" s="44">
        <v>0</v>
      </c>
      <c r="K61" s="44">
        <v>0</v>
      </c>
      <c r="L61" s="44">
        <f>('[3]Amended HIV unknown totals'!J79+'[3]Amended Notified Cases'!L61)/(0.9)</f>
        <v>0</v>
      </c>
      <c r="M61" s="44">
        <f>('[3]Amended HIV unknown totals'!K79+'[3]Amended Notified Cases'!M61)/(0.9)</f>
        <v>3.333333333333333</v>
      </c>
      <c r="N61" s="44">
        <f>('[3]Amended HIV unknown totals'!L79+'[3]Amended Notified Cases'!N61)/(0.9)</f>
        <v>1.0900140646976091</v>
      </c>
      <c r="O61" s="45" t="s">
        <v>171</v>
      </c>
      <c r="P61" s="44">
        <f>('[3]Amended HIV unknown totals'!N79+'[3]Amended Notified Cases'!P61)/(0.9)</f>
        <v>1.1111111111111112</v>
      </c>
      <c r="Q61" s="44">
        <f>('[3]Amended HIV unknown totals'!O79+'[3]Amended Notified Cases'!Q61)/(0.9)</f>
        <v>0.65157750342935528</v>
      </c>
      <c r="R61" s="44">
        <f>('[3]Amended HIV unknown totals'!P79+'[3]Amended Notified Cases'!R61)/(0.9)</f>
        <v>7.2222222222222223</v>
      </c>
      <c r="S61" s="44">
        <f>('[3]Amended HIV unknown totals'!Q79+'[3]Amended Notified Cases'!S61)/(0.9)</f>
        <v>4.4444444444444446</v>
      </c>
      <c r="T61" s="44">
        <f>('[3]Amended HIV unknown totals'!R79+'[3]Amended Notified Cases'!T61)/(0.9)</f>
        <v>7.083333333333333</v>
      </c>
      <c r="U61" s="44"/>
    </row>
    <row r="62" spans="1:21" x14ac:dyDescent="0.55000000000000004">
      <c r="A62" s="1" t="str">
        <f>'Population Definitions'!$A$6</f>
        <v>PLHIV 15-64</v>
      </c>
      <c r="B62" s="1" t="s">
        <v>14</v>
      </c>
      <c r="C62" s="2" t="str">
        <f t="shared" si="8"/>
        <v>N.A.</v>
      </c>
      <c r="D62" s="1" t="s">
        <v>16</v>
      </c>
      <c r="E62" s="44"/>
      <c r="F62" s="44"/>
      <c r="G62" s="44">
        <v>0</v>
      </c>
      <c r="H62" s="44">
        <v>0</v>
      </c>
      <c r="I62" s="44">
        <v>0</v>
      </c>
      <c r="J62" s="44">
        <v>0</v>
      </c>
      <c r="K62" s="44">
        <v>0</v>
      </c>
      <c r="L62" s="44">
        <f>('[3]Amended HIV unknown totals'!J68+'[3]Amended Notified Cases'!L62)/(0.9)</f>
        <v>110.2820405405011</v>
      </c>
      <c r="M62" s="44">
        <f>('[3]Amended HIV unknown totals'!K68+'[3]Amended Notified Cases'!M62)/(0.9)</f>
        <v>130.99967416096447</v>
      </c>
      <c r="N62" s="44">
        <f>('[3]Amended HIV unknown totals'!L68+'[3]Amended Notified Cases'!N62)/(0.9)</f>
        <v>0</v>
      </c>
      <c r="O62" s="46">
        <v>166</v>
      </c>
      <c r="P62" s="44">
        <f>('[3]Amended HIV unknown totals'!N68+'[3]Amended Notified Cases'!P62)/(0.9)</f>
        <v>216.40912475724377</v>
      </c>
      <c r="Q62" s="44">
        <f>('[3]Amended HIV unknown totals'!O68+'[3]Amended Notified Cases'!Q62)/(0.9)</f>
        <v>139.20266939179982</v>
      </c>
      <c r="R62" s="44">
        <f>('[3]Amended HIV unknown totals'!P68+'[3]Amended Notified Cases'!R62)/(0.9)</f>
        <v>362.7984460353768</v>
      </c>
      <c r="S62" s="44">
        <f>('[3]Amended HIV unknown totals'!Q68+'[3]Amended Notified Cases'!S62)/(0.9)</f>
        <v>504.90241394160796</v>
      </c>
      <c r="T62" s="44">
        <f>('[3]Amended HIV unknown totals'!R68+'[3]Amended Notified Cases'!T62)/(0.9)</f>
        <v>669.51164448185273</v>
      </c>
      <c r="U62" s="44"/>
    </row>
    <row r="63" spans="1:21" x14ac:dyDescent="0.55000000000000004">
      <c r="A63" s="1" t="str">
        <f>'Population Definitions'!$A$7</f>
        <v>PLHIV 65+</v>
      </c>
      <c r="B63" s="1" t="s">
        <v>14</v>
      </c>
      <c r="C63" s="2" t="str">
        <f t="shared" si="8"/>
        <v>N.A.</v>
      </c>
      <c r="D63" s="1" t="s">
        <v>16</v>
      </c>
      <c r="E63" s="44"/>
      <c r="F63" s="44"/>
      <c r="G63" s="44">
        <v>0</v>
      </c>
      <c r="H63" s="44">
        <v>0</v>
      </c>
      <c r="I63" s="44">
        <v>0</v>
      </c>
      <c r="J63" s="44">
        <v>0</v>
      </c>
      <c r="K63" s="44">
        <v>0</v>
      </c>
      <c r="L63" s="44">
        <f>('[3]Amended HIV unknown totals'!J80+'[3]Amended Notified Cases'!L63)/(0.9)</f>
        <v>0</v>
      </c>
      <c r="M63" s="44">
        <f>('[3]Amended HIV unknown totals'!K80+'[3]Amended Notified Cases'!M63)/(0.9)</f>
        <v>0</v>
      </c>
      <c r="N63" s="44">
        <f>('[3]Amended HIV unknown totals'!L80+'[3]Amended Notified Cases'!N63)/(0.9)</f>
        <v>1.6877637130801688</v>
      </c>
      <c r="O63" s="46">
        <v>4</v>
      </c>
      <c r="P63" s="44">
        <f>('[3]Amended HIV unknown totals'!N80+'[3]Amended Notified Cases'!P63)/(0.9)</f>
        <v>0</v>
      </c>
      <c r="Q63" s="44">
        <f>('[3]Amended HIV unknown totals'!O80+'[3]Amended Notified Cases'!Q63)/(0.9)</f>
        <v>1.1111111111111112</v>
      </c>
      <c r="R63" s="44">
        <f>('[3]Amended HIV unknown totals'!P80+'[3]Amended Notified Cases'!R63)/(0.9)</f>
        <v>0</v>
      </c>
      <c r="S63" s="44">
        <f>('[3]Amended HIV unknown totals'!Q80+'[3]Amended Notified Cases'!S63)/(0.9)</f>
        <v>4.4444444444444446</v>
      </c>
      <c r="T63" s="44">
        <f>('[3]Amended HIV unknown totals'!R80+'[3]Amended Notified Cases'!T63)/(0.9)</f>
        <v>3.0555555555555554</v>
      </c>
      <c r="U63" s="44"/>
    </row>
    <row r="64" spans="1:21" x14ac:dyDescent="0.55000000000000004">
      <c r="A64" s="1" t="str">
        <f>'Population Definitions'!$A$8</f>
        <v>Prisoners</v>
      </c>
      <c r="B64" s="1" t="s">
        <v>14</v>
      </c>
      <c r="C64" s="2">
        <f t="shared" si="8"/>
        <v>0</v>
      </c>
      <c r="D64" s="1" t="s">
        <v>16</v>
      </c>
      <c r="E64" s="44"/>
      <c r="F64" s="44"/>
      <c r="G64" s="44"/>
      <c r="H64" s="44"/>
      <c r="I64" s="44"/>
      <c r="J64" s="44"/>
      <c r="K64" s="44"/>
      <c r="L64" s="44"/>
      <c r="M64" s="44"/>
      <c r="N64" s="44"/>
      <c r="O64" s="44"/>
      <c r="P64" s="44"/>
      <c r="Q64" s="44"/>
      <c r="R64" s="44"/>
      <c r="S64" s="44"/>
      <c r="T64" s="44"/>
      <c r="U64" s="44"/>
    </row>
    <row r="65" spans="1:21" x14ac:dyDescent="0.55000000000000004">
      <c r="A65" s="1" t="str">
        <f>'Population Definitions'!$A$9</f>
        <v>PLHIV Prisoners</v>
      </c>
      <c r="B65" s="1" t="s">
        <v>14</v>
      </c>
      <c r="C65" s="2">
        <f t="shared" si="8"/>
        <v>0</v>
      </c>
      <c r="D65" s="1" t="s">
        <v>16</v>
      </c>
      <c r="E65" s="44"/>
      <c r="F65" s="44"/>
      <c r="G65" s="44"/>
      <c r="H65" s="44"/>
      <c r="I65" s="44"/>
      <c r="J65" s="44"/>
      <c r="K65" s="44"/>
      <c r="L65" s="44"/>
      <c r="M65" s="44"/>
      <c r="N65" s="44"/>
      <c r="O65" s="44"/>
      <c r="P65" s="44"/>
      <c r="Q65" s="44"/>
      <c r="R65" s="44"/>
      <c r="S65" s="44"/>
      <c r="T65" s="44"/>
      <c r="U65" s="44"/>
    </row>
    <row r="66" spans="1:21" x14ac:dyDescent="0.55000000000000004">
      <c r="A66" s="1" t="str">
        <f>'Population Definitions'!$A$10</f>
        <v>HCW</v>
      </c>
      <c r="B66" s="1" t="s">
        <v>14</v>
      </c>
      <c r="C66" s="2">
        <f t="shared" si="8"/>
        <v>0</v>
      </c>
      <c r="D66" s="1" t="s">
        <v>16</v>
      </c>
      <c r="E66" s="44"/>
      <c r="F66" s="44"/>
      <c r="G66" s="44"/>
      <c r="H66" s="44"/>
      <c r="I66" s="44"/>
      <c r="J66" s="44"/>
      <c r="K66" s="44"/>
      <c r="L66" s="44"/>
      <c r="M66" s="44"/>
      <c r="N66" s="44"/>
      <c r="O66" s="44"/>
      <c r="P66" s="44"/>
      <c r="Q66" s="44"/>
      <c r="R66" s="44"/>
      <c r="S66" s="44"/>
      <c r="T66" s="44"/>
      <c r="U66" s="44"/>
    </row>
    <row r="67" spans="1:21" x14ac:dyDescent="0.55000000000000004">
      <c r="A67" s="1" t="str">
        <f>'Population Definitions'!$A$11</f>
        <v>PLHIV HCW</v>
      </c>
      <c r="B67" s="1" t="s">
        <v>14</v>
      </c>
      <c r="C67" s="2">
        <f t="shared" si="8"/>
        <v>0</v>
      </c>
      <c r="D67" s="1" t="s">
        <v>16</v>
      </c>
      <c r="E67" s="44"/>
      <c r="F67" s="44"/>
      <c r="G67" s="44"/>
      <c r="H67" s="44"/>
      <c r="I67" s="44"/>
      <c r="J67" s="44"/>
      <c r="K67" s="44"/>
      <c r="L67" s="44"/>
      <c r="M67" s="44"/>
      <c r="N67" s="44"/>
      <c r="O67" s="44"/>
      <c r="P67" s="44"/>
      <c r="Q67" s="44"/>
      <c r="R67" s="44"/>
      <c r="S67" s="44"/>
      <c r="T67" s="44"/>
      <c r="U67" s="44"/>
    </row>
    <row r="68" spans="1:21" x14ac:dyDescent="0.55000000000000004">
      <c r="A68" s="1" t="str">
        <f>'Population Definitions'!$A$12</f>
        <v>Miners</v>
      </c>
      <c r="B68" s="1" t="s">
        <v>14</v>
      </c>
      <c r="C68" s="2" t="str">
        <f t="shared" si="8"/>
        <v>N.A.</v>
      </c>
      <c r="D68" s="1" t="s">
        <v>16</v>
      </c>
      <c r="E68" s="44"/>
      <c r="F68" s="44"/>
      <c r="G68" s="44"/>
      <c r="H68" s="44"/>
      <c r="I68" s="44"/>
      <c r="J68" s="44"/>
      <c r="K68" s="44"/>
      <c r="L68" s="44"/>
      <c r="M68" s="44"/>
      <c r="N68" s="44"/>
      <c r="O68" s="44"/>
      <c r="P68" s="44"/>
      <c r="Q68" s="44"/>
      <c r="R68" s="44"/>
      <c r="S68" s="44"/>
      <c r="T68" s="43">
        <f>45*(T12/(T12+T13))*T102</f>
        <v>9.9172636048982774</v>
      </c>
      <c r="U68" s="44"/>
    </row>
    <row r="69" spans="1:21" x14ac:dyDescent="0.55000000000000004">
      <c r="A69" s="1" t="str">
        <f>'Population Definitions'!$A$13</f>
        <v>PLHIV Miners</v>
      </c>
      <c r="B69" s="1" t="s">
        <v>14</v>
      </c>
      <c r="C69" s="2" t="str">
        <f t="shared" si="8"/>
        <v>N.A.</v>
      </c>
      <c r="D69" s="1" t="s">
        <v>16</v>
      </c>
      <c r="E69" s="44"/>
      <c r="F69" s="44"/>
      <c r="G69" s="44"/>
      <c r="H69" s="44"/>
      <c r="I69" s="44"/>
      <c r="J69" s="44"/>
      <c r="K69" s="44"/>
      <c r="L69" s="44"/>
      <c r="M69" s="44"/>
      <c r="N69" s="44"/>
      <c r="O69" s="44"/>
      <c r="P69" s="44"/>
      <c r="Q69" s="44"/>
      <c r="R69" s="44"/>
      <c r="S69" s="44"/>
      <c r="T69" s="43">
        <f>45*(T13/(T12+T13))*T104</f>
        <v>15.136005511177835</v>
      </c>
      <c r="U69" s="44"/>
    </row>
    <row r="70" spans="1:21" x14ac:dyDescent="0.55000000000000004">
      <c r="E70" s="37"/>
      <c r="F70" s="37"/>
      <c r="G70" s="37"/>
      <c r="H70" s="37"/>
      <c r="I70" s="37"/>
      <c r="J70" s="37"/>
      <c r="K70" s="37"/>
      <c r="L70" s="37"/>
      <c r="M70" s="37"/>
      <c r="N70" s="37"/>
      <c r="O70" s="37"/>
      <c r="P70" s="37"/>
      <c r="Q70" s="37"/>
      <c r="R70" s="37"/>
      <c r="S70" s="37"/>
      <c r="T70" s="37"/>
      <c r="U70" s="37"/>
    </row>
    <row r="71" spans="1:21" x14ac:dyDescent="0.55000000000000004">
      <c r="A71" s="21" t="s">
        <v>58</v>
      </c>
      <c r="B71" s="1" t="s">
        <v>8</v>
      </c>
      <c r="C71" s="1" t="s">
        <v>9</v>
      </c>
      <c r="D71" s="1"/>
      <c r="E71" s="41">
        <v>2000</v>
      </c>
      <c r="F71" s="41">
        <v>2001</v>
      </c>
      <c r="G71" s="41">
        <v>2002</v>
      </c>
      <c r="H71" s="41">
        <v>2003</v>
      </c>
      <c r="I71" s="41">
        <v>2004</v>
      </c>
      <c r="J71" s="41">
        <v>2005</v>
      </c>
      <c r="K71" s="41">
        <v>2006</v>
      </c>
      <c r="L71" s="41">
        <v>2007</v>
      </c>
      <c r="M71" s="41">
        <v>2008</v>
      </c>
      <c r="N71" s="41">
        <v>2009</v>
      </c>
      <c r="O71" s="41">
        <v>2010</v>
      </c>
      <c r="P71" s="41">
        <v>2011</v>
      </c>
      <c r="Q71" s="41">
        <v>2012</v>
      </c>
      <c r="R71" s="41">
        <v>2013</v>
      </c>
      <c r="S71" s="41">
        <v>2014</v>
      </c>
      <c r="T71" s="41">
        <v>2015</v>
      </c>
      <c r="U71" s="41">
        <v>2016</v>
      </c>
    </row>
    <row r="72" spans="1:21" x14ac:dyDescent="0.55000000000000004">
      <c r="A72" s="1" t="str">
        <f>'Population Definitions'!$A$2</f>
        <v>Gen 0-4</v>
      </c>
      <c r="B72" s="1" t="s">
        <v>14</v>
      </c>
      <c r="C72" s="2" t="str">
        <f t="shared" ref="C72:C83" si="9">IF(SUMPRODUCT(--(E72:U72&lt;&gt;""))=0,0,"N.A.")</f>
        <v>N.A.</v>
      </c>
      <c r="D72" s="1" t="s">
        <v>16</v>
      </c>
      <c r="E72" s="44"/>
      <c r="F72" s="44"/>
      <c r="G72" s="44">
        <f t="shared" ref="G72:P76" si="10">0/(0.9)</f>
        <v>0</v>
      </c>
      <c r="H72" s="44">
        <f t="shared" si="10"/>
        <v>0</v>
      </c>
      <c r="I72" s="44">
        <f t="shared" si="10"/>
        <v>0</v>
      </c>
      <c r="J72" s="44">
        <f t="shared" si="10"/>
        <v>0</v>
      </c>
      <c r="K72" s="44">
        <f t="shared" si="10"/>
        <v>0</v>
      </c>
      <c r="L72" s="44">
        <f t="shared" si="10"/>
        <v>0</v>
      </c>
      <c r="M72" s="44">
        <f t="shared" si="10"/>
        <v>0</v>
      </c>
      <c r="N72" s="44">
        <f t="shared" si="10"/>
        <v>0</v>
      </c>
      <c r="O72" s="44">
        <f t="shared" si="10"/>
        <v>0</v>
      </c>
      <c r="P72" s="44">
        <f t="shared" si="10"/>
        <v>0</v>
      </c>
      <c r="Q72" s="44">
        <f>1/(0.9)</f>
        <v>1.1111111111111112</v>
      </c>
      <c r="R72" s="44">
        <f t="shared" ref="R72:T73" si="11">0/(0.9)</f>
        <v>0</v>
      </c>
      <c r="S72" s="44">
        <f t="shared" si="11"/>
        <v>0</v>
      </c>
      <c r="T72" s="44">
        <f t="shared" si="11"/>
        <v>0</v>
      </c>
      <c r="U72" s="44"/>
    </row>
    <row r="73" spans="1:21" x14ac:dyDescent="0.55000000000000004">
      <c r="A73" s="1" t="str">
        <f>'Population Definitions'!$A$3</f>
        <v>Gen 5-14</v>
      </c>
      <c r="B73" s="1" t="s">
        <v>14</v>
      </c>
      <c r="C73" s="2" t="str">
        <f t="shared" si="9"/>
        <v>N.A.</v>
      </c>
      <c r="D73" s="1" t="s">
        <v>16</v>
      </c>
      <c r="E73" s="44"/>
      <c r="F73" s="44"/>
      <c r="G73" s="44">
        <f t="shared" si="10"/>
        <v>0</v>
      </c>
      <c r="H73" s="44">
        <f t="shared" si="10"/>
        <v>0</v>
      </c>
      <c r="I73" s="44">
        <f t="shared" si="10"/>
        <v>0</v>
      </c>
      <c r="J73" s="44">
        <f t="shared" si="10"/>
        <v>0</v>
      </c>
      <c r="K73" s="44">
        <f t="shared" si="10"/>
        <v>0</v>
      </c>
      <c r="L73" s="44">
        <f>1/(0.9)</f>
        <v>1.1111111111111112</v>
      </c>
      <c r="M73" s="44">
        <f>0/(0.9)</f>
        <v>0</v>
      </c>
      <c r="N73" s="44">
        <f>0/(0.9)</f>
        <v>0</v>
      </c>
      <c r="O73" s="44">
        <f>0/(0.9)</f>
        <v>0</v>
      </c>
      <c r="P73" s="44">
        <f>0/(0.9)</f>
        <v>0</v>
      </c>
      <c r="Q73" s="44">
        <f>0/(0.9)</f>
        <v>0</v>
      </c>
      <c r="R73" s="44">
        <f t="shared" si="11"/>
        <v>0</v>
      </c>
      <c r="S73" s="44">
        <f t="shared" si="11"/>
        <v>0</v>
      </c>
      <c r="T73" s="44">
        <f t="shared" si="11"/>
        <v>0</v>
      </c>
      <c r="U73" s="44"/>
    </row>
    <row r="74" spans="1:21" x14ac:dyDescent="0.55000000000000004">
      <c r="A74" s="1" t="str">
        <f>'Population Definitions'!$A$4</f>
        <v>Gen 15-64</v>
      </c>
      <c r="B74" s="1" t="s">
        <v>14</v>
      </c>
      <c r="C74" s="2" t="str">
        <f t="shared" si="9"/>
        <v>N.A.</v>
      </c>
      <c r="D74" s="1" t="s">
        <v>16</v>
      </c>
      <c r="E74" s="44"/>
      <c r="F74" s="44"/>
      <c r="G74" s="44">
        <f t="shared" si="10"/>
        <v>0</v>
      </c>
      <c r="H74" s="44">
        <f t="shared" si="10"/>
        <v>0</v>
      </c>
      <c r="I74" s="44">
        <f t="shared" si="10"/>
        <v>0</v>
      </c>
      <c r="J74" s="44">
        <f t="shared" si="10"/>
        <v>0</v>
      </c>
      <c r="K74" s="44">
        <f t="shared" si="10"/>
        <v>0</v>
      </c>
      <c r="L74" s="44">
        <f>4.42125603864734/(0.9)</f>
        <v>4.9125067096081558</v>
      </c>
      <c r="M74" s="44">
        <f>1.91721132897604/(0.9)</f>
        <v>2.1302348099733779</v>
      </c>
      <c r="N74" s="44">
        <f>3.50997150997151/(0.9)</f>
        <v>3.8999683444127888</v>
      </c>
      <c r="O74" s="44">
        <f>9.64444444444445/(0.9)</f>
        <v>10.716049382716054</v>
      </c>
      <c r="P74" s="44">
        <f>3/(0.9)</f>
        <v>3.333333333333333</v>
      </c>
      <c r="Q74" s="44">
        <f>3.5/(0.9)</f>
        <v>3.8888888888888888</v>
      </c>
      <c r="R74" s="44">
        <f>2.4/(0.9)</f>
        <v>2.6666666666666665</v>
      </c>
      <c r="S74" s="44">
        <f>2.66666666666667/(0.9)</f>
        <v>2.9629629629629668</v>
      </c>
      <c r="T74" s="44">
        <f>2.22857142857143/(0.9)</f>
        <v>2.4761904761904776</v>
      </c>
      <c r="U74" s="44"/>
    </row>
    <row r="75" spans="1:21" x14ac:dyDescent="0.55000000000000004">
      <c r="A75" s="1" t="str">
        <f>'Population Definitions'!$A$5</f>
        <v>Gen 65+</v>
      </c>
      <c r="B75" s="1" t="s">
        <v>14</v>
      </c>
      <c r="C75" s="2" t="str">
        <f t="shared" si="9"/>
        <v>N.A.</v>
      </c>
      <c r="D75" s="1" t="s">
        <v>16</v>
      </c>
      <c r="E75" s="44"/>
      <c r="F75" s="44"/>
      <c r="G75" s="44">
        <f t="shared" si="10"/>
        <v>0</v>
      </c>
      <c r="H75" s="44">
        <f t="shared" si="10"/>
        <v>0</v>
      </c>
      <c r="I75" s="44">
        <f t="shared" si="10"/>
        <v>0</v>
      </c>
      <c r="J75" s="44">
        <f t="shared" si="10"/>
        <v>0</v>
      </c>
      <c r="K75" s="44">
        <f t="shared" si="10"/>
        <v>0</v>
      </c>
      <c r="L75" s="44">
        <f>0/(0.9)</f>
        <v>0</v>
      </c>
      <c r="M75" s="44">
        <f>0/(0.9)</f>
        <v>0</v>
      </c>
      <c r="N75" s="44">
        <f>0/(0.9)</f>
        <v>0</v>
      </c>
      <c r="O75" s="44">
        <f>1/(0.9)</f>
        <v>1.1111111111111112</v>
      </c>
      <c r="P75" s="44">
        <f>1/(0.9)</f>
        <v>1.1111111111111112</v>
      </c>
      <c r="Q75" s="44">
        <f>0/(0.9)</f>
        <v>0</v>
      </c>
      <c r="R75" s="44">
        <f>0/(0.9)</f>
        <v>0</v>
      </c>
      <c r="S75" s="44">
        <f>0/(0.9)</f>
        <v>0</v>
      </c>
      <c r="T75" s="44">
        <f>0/(0.9)</f>
        <v>0</v>
      </c>
      <c r="U75" s="44"/>
    </row>
    <row r="76" spans="1:21" x14ac:dyDescent="0.55000000000000004">
      <c r="A76" s="1" t="str">
        <f>'Population Definitions'!$A$6</f>
        <v>PLHIV 15-64</v>
      </c>
      <c r="B76" s="1" t="s">
        <v>14</v>
      </c>
      <c r="C76" s="2" t="str">
        <f t="shared" si="9"/>
        <v>N.A.</v>
      </c>
      <c r="D76" s="1" t="s">
        <v>16</v>
      </c>
      <c r="E76" s="44"/>
      <c r="F76" s="44"/>
      <c r="G76" s="44">
        <f t="shared" si="10"/>
        <v>0</v>
      </c>
      <c r="H76" s="44">
        <f t="shared" si="10"/>
        <v>0</v>
      </c>
      <c r="I76" s="44">
        <f t="shared" si="10"/>
        <v>0</v>
      </c>
      <c r="J76" s="44">
        <f t="shared" si="10"/>
        <v>0</v>
      </c>
      <c r="K76" s="44">
        <f t="shared" si="10"/>
        <v>0</v>
      </c>
      <c r="L76" s="44">
        <f>9.143961352657/(0.9)</f>
        <v>10.159957058507777</v>
      </c>
      <c r="M76" s="44">
        <f>3.96514161220044/(0.9)</f>
        <v>4.4057129024449333</v>
      </c>
      <c r="N76" s="44">
        <f>7.25925925925926/(0.9)</f>
        <v>8.0658436213991784</v>
      </c>
      <c r="O76" s="44">
        <f>12.3412698412698/(0.9)</f>
        <v>13.712522045855332</v>
      </c>
      <c r="P76" s="44">
        <f>10.8/(0.9)</f>
        <v>12</v>
      </c>
      <c r="Q76" s="44">
        <f>7.41176470588235/(0.9)</f>
        <v>8.2352941176470544</v>
      </c>
      <c r="R76" s="44">
        <f>6.54545454545454/(0.9)</f>
        <v>7.2727272727272663</v>
      </c>
      <c r="S76" s="44">
        <f>2.3/(0.9)</f>
        <v>2.5555555555555554</v>
      </c>
      <c r="T76" s="44">
        <f>15.6416988416988/(0.9)</f>
        <v>17.379665379665333</v>
      </c>
      <c r="U76" s="44"/>
    </row>
    <row r="77" spans="1:21" x14ac:dyDescent="0.55000000000000004">
      <c r="A77" s="1" t="str">
        <f>'Population Definitions'!$A$7</f>
        <v>PLHIV 65+</v>
      </c>
      <c r="B77" s="1" t="s">
        <v>14</v>
      </c>
      <c r="C77" s="2">
        <f t="shared" si="9"/>
        <v>0</v>
      </c>
      <c r="D77" s="1" t="s">
        <v>16</v>
      </c>
      <c r="E77" s="44"/>
      <c r="F77" s="44"/>
      <c r="G77" s="44"/>
      <c r="H77" s="44"/>
      <c r="I77" s="44"/>
      <c r="J77" s="44"/>
      <c r="K77" s="44"/>
      <c r="L77" s="44"/>
      <c r="M77" s="44"/>
      <c r="N77" s="44"/>
      <c r="O77" s="44"/>
      <c r="P77" s="44"/>
      <c r="Q77" s="44"/>
      <c r="R77" s="44"/>
      <c r="S77" s="44"/>
      <c r="T77" s="44"/>
      <c r="U77" s="44"/>
    </row>
    <row r="78" spans="1:21" x14ac:dyDescent="0.55000000000000004">
      <c r="A78" s="1" t="str">
        <f>'Population Definitions'!$A$8</f>
        <v>Prisoners</v>
      </c>
      <c r="B78" s="1" t="s">
        <v>14</v>
      </c>
      <c r="C78" s="2">
        <f t="shared" si="9"/>
        <v>0</v>
      </c>
      <c r="D78" s="1" t="s">
        <v>16</v>
      </c>
      <c r="E78" s="44"/>
      <c r="F78" s="44"/>
      <c r="G78" s="44"/>
      <c r="H78" s="44"/>
      <c r="I78" s="44"/>
      <c r="J78" s="44"/>
      <c r="K78" s="44"/>
      <c r="L78" s="44"/>
      <c r="M78" s="44"/>
      <c r="N78" s="44"/>
      <c r="O78" s="44"/>
      <c r="P78" s="44"/>
      <c r="Q78" s="44"/>
      <c r="R78" s="44"/>
      <c r="S78" s="44"/>
      <c r="T78" s="44"/>
      <c r="U78" s="44"/>
    </row>
    <row r="79" spans="1:21" x14ac:dyDescent="0.55000000000000004">
      <c r="A79" s="1" t="str">
        <f>'Population Definitions'!$A$9</f>
        <v>PLHIV Prisoners</v>
      </c>
      <c r="B79" s="1" t="s">
        <v>14</v>
      </c>
      <c r="C79" s="2">
        <f t="shared" si="9"/>
        <v>0</v>
      </c>
      <c r="D79" s="1" t="s">
        <v>16</v>
      </c>
      <c r="E79" s="44"/>
      <c r="F79" s="44"/>
      <c r="G79" s="44"/>
      <c r="H79" s="44"/>
      <c r="I79" s="44"/>
      <c r="J79" s="44"/>
      <c r="K79" s="44"/>
      <c r="L79" s="44"/>
      <c r="M79" s="44"/>
      <c r="N79" s="44"/>
      <c r="O79" s="44"/>
      <c r="P79" s="44"/>
      <c r="Q79" s="44"/>
      <c r="R79" s="44"/>
      <c r="S79" s="44"/>
      <c r="T79" s="44"/>
      <c r="U79" s="44"/>
    </row>
    <row r="80" spans="1:21" x14ac:dyDescent="0.55000000000000004">
      <c r="A80" s="1" t="str">
        <f>'Population Definitions'!$A$10</f>
        <v>HCW</v>
      </c>
      <c r="B80" s="1" t="s">
        <v>14</v>
      </c>
      <c r="C80" s="2">
        <f t="shared" si="9"/>
        <v>0</v>
      </c>
      <c r="D80" s="1" t="s">
        <v>16</v>
      </c>
      <c r="E80" s="44"/>
      <c r="F80" s="44"/>
      <c r="G80" s="44"/>
      <c r="H80" s="44"/>
      <c r="I80" s="44"/>
      <c r="J80" s="44"/>
      <c r="K80" s="44"/>
      <c r="L80" s="44"/>
      <c r="M80" s="44"/>
      <c r="N80" s="44"/>
      <c r="O80" s="44"/>
      <c r="P80" s="44"/>
      <c r="Q80" s="44"/>
      <c r="R80" s="44"/>
      <c r="S80" s="44"/>
      <c r="T80" s="44"/>
      <c r="U80" s="44"/>
    </row>
    <row r="81" spans="1:21" x14ac:dyDescent="0.55000000000000004">
      <c r="A81" s="1" t="str">
        <f>'Population Definitions'!$A$11</f>
        <v>PLHIV HCW</v>
      </c>
      <c r="B81" s="1" t="s">
        <v>14</v>
      </c>
      <c r="C81" s="2">
        <f t="shared" si="9"/>
        <v>0</v>
      </c>
      <c r="D81" s="1" t="s">
        <v>16</v>
      </c>
      <c r="E81" s="44"/>
      <c r="F81" s="44"/>
      <c r="G81" s="44"/>
      <c r="H81" s="44"/>
      <c r="I81" s="44"/>
      <c r="J81" s="44"/>
      <c r="K81" s="44"/>
      <c r="L81" s="44"/>
      <c r="M81" s="44"/>
      <c r="N81" s="44"/>
      <c r="O81" s="44"/>
      <c r="P81" s="44"/>
      <c r="Q81" s="44"/>
      <c r="R81" s="44"/>
      <c r="S81" s="44"/>
      <c r="T81" s="44"/>
      <c r="U81" s="44"/>
    </row>
    <row r="82" spans="1:21" x14ac:dyDescent="0.55000000000000004">
      <c r="A82" s="1" t="str">
        <f>'Population Definitions'!$A$12</f>
        <v>Miners</v>
      </c>
      <c r="B82" s="1" t="s">
        <v>14</v>
      </c>
      <c r="C82" s="2" t="str">
        <f t="shared" si="9"/>
        <v>N.A.</v>
      </c>
      <c r="D82" s="1" t="s">
        <v>16</v>
      </c>
      <c r="E82" s="44"/>
      <c r="F82" s="44"/>
      <c r="G82" s="44"/>
      <c r="H82" s="44"/>
      <c r="I82" s="44"/>
      <c r="J82" s="44"/>
      <c r="K82" s="44"/>
      <c r="L82" s="44"/>
      <c r="M82" s="44"/>
      <c r="N82" s="44"/>
      <c r="O82" s="44"/>
      <c r="P82" s="44"/>
      <c r="Q82" s="44"/>
      <c r="R82" s="44"/>
      <c r="S82" s="44"/>
      <c r="T82" s="22">
        <f>4*(T12/(T12+T13))*T102</f>
        <v>0.88153454265762476</v>
      </c>
      <c r="U82" s="44"/>
    </row>
    <row r="83" spans="1:21" x14ac:dyDescent="0.55000000000000004">
      <c r="A83" s="1" t="str">
        <f>'Population Definitions'!$A$13</f>
        <v>PLHIV Miners</v>
      </c>
      <c r="B83" s="1" t="s">
        <v>14</v>
      </c>
      <c r="C83" s="2" t="str">
        <f t="shared" si="9"/>
        <v>N.A.</v>
      </c>
      <c r="D83" s="1" t="s">
        <v>16</v>
      </c>
      <c r="E83" s="44"/>
      <c r="F83" s="44"/>
      <c r="G83" s="44"/>
      <c r="H83" s="44"/>
      <c r="I83" s="44"/>
      <c r="J83" s="44"/>
      <c r="K83" s="44"/>
      <c r="L83" s="44"/>
      <c r="M83" s="44"/>
      <c r="N83" s="44"/>
      <c r="O83" s="44"/>
      <c r="P83" s="44"/>
      <c r="Q83" s="44"/>
      <c r="R83" s="44"/>
      <c r="S83" s="44"/>
      <c r="T83" s="22">
        <f>4*(T13/(T12+T13))*T104</f>
        <v>1.3454227121046964</v>
      </c>
      <c r="U83" s="44"/>
    </row>
    <row r="84" spans="1:21" x14ac:dyDescent="0.55000000000000004">
      <c r="E84" s="37"/>
      <c r="F84" s="37"/>
      <c r="G84" s="37"/>
      <c r="H84" s="37"/>
      <c r="I84" s="37"/>
      <c r="J84" s="37"/>
      <c r="K84" s="37"/>
      <c r="L84" s="37"/>
      <c r="M84" s="37"/>
      <c r="N84" s="37"/>
      <c r="O84" s="37"/>
      <c r="P84" s="37"/>
      <c r="Q84" s="37"/>
      <c r="R84" s="37"/>
      <c r="S84" s="37"/>
      <c r="T84" s="37"/>
      <c r="U84" s="37"/>
    </row>
    <row r="85" spans="1:21" x14ac:dyDescent="0.55000000000000004">
      <c r="A85" s="21" t="s">
        <v>65</v>
      </c>
      <c r="B85" s="1" t="s">
        <v>8</v>
      </c>
      <c r="C85" s="1" t="s">
        <v>9</v>
      </c>
      <c r="D85" s="1"/>
      <c r="E85" s="41">
        <v>2000</v>
      </c>
      <c r="F85" s="41">
        <v>2001</v>
      </c>
      <c r="G85" s="41">
        <v>2002</v>
      </c>
      <c r="H85" s="41">
        <v>2003</v>
      </c>
      <c r="I85" s="41">
        <v>2004</v>
      </c>
      <c r="J85" s="41">
        <v>2005</v>
      </c>
      <c r="K85" s="41">
        <v>2006</v>
      </c>
      <c r="L85" s="41">
        <v>2007</v>
      </c>
      <c r="M85" s="41">
        <v>2008</v>
      </c>
      <c r="N85" s="41">
        <v>2009</v>
      </c>
      <c r="O85" s="41">
        <v>2010</v>
      </c>
      <c r="P85" s="41">
        <v>2011</v>
      </c>
      <c r="Q85" s="41">
        <v>2012</v>
      </c>
      <c r="R85" s="41">
        <v>2013</v>
      </c>
      <c r="S85" s="41">
        <v>2014</v>
      </c>
      <c r="T85" s="41">
        <v>2015</v>
      </c>
      <c r="U85" s="41">
        <v>2016</v>
      </c>
    </row>
    <row r="86" spans="1:21" x14ac:dyDescent="0.55000000000000004">
      <c r="A86" s="1" t="str">
        <f>'Population Definitions'!$A$2</f>
        <v>Gen 0-4</v>
      </c>
      <c r="B86" s="1" t="s">
        <v>64</v>
      </c>
      <c r="C86" s="2" t="str">
        <f t="shared" ref="C86:C97" si="12">IF(SUMPRODUCT(--(E86:U86&lt;&gt;""))=0,0,"N.A.")</f>
        <v>N.A.</v>
      </c>
      <c r="D86" s="1" t="s">
        <v>16</v>
      </c>
      <c r="E86" s="44"/>
      <c r="F86" s="44"/>
      <c r="G86" s="22">
        <v>0.91</v>
      </c>
      <c r="H86" s="22">
        <v>0.90243902439024393</v>
      </c>
      <c r="I86" s="22">
        <v>0.87368421052631573</v>
      </c>
      <c r="J86" s="22">
        <v>0.80722891566265054</v>
      </c>
      <c r="K86" s="22">
        <v>0.80620155038759689</v>
      </c>
      <c r="L86" s="22">
        <v>0.53736773137848137</v>
      </c>
      <c r="M86" s="22">
        <v>0.419409108534404</v>
      </c>
      <c r="N86" s="22">
        <v>0.31026494474770339</v>
      </c>
      <c r="O86" s="22">
        <v>0.26806051809682574</v>
      </c>
      <c r="P86" s="22">
        <v>0.29803540723363647</v>
      </c>
      <c r="Q86" s="22">
        <v>0.27237474342228024</v>
      </c>
      <c r="R86" s="22">
        <v>0.19340207531162304</v>
      </c>
      <c r="S86" s="22">
        <v>0.2706381910417785</v>
      </c>
      <c r="T86" s="22">
        <v>0.32278066528066529</v>
      </c>
      <c r="U86" s="22"/>
    </row>
    <row r="87" spans="1:21" x14ac:dyDescent="0.55000000000000004">
      <c r="A87" s="1" t="str">
        <f>'Population Definitions'!$A$3</f>
        <v>Gen 5-14</v>
      </c>
      <c r="B87" s="1" t="s">
        <v>64</v>
      </c>
      <c r="C87" s="2" t="str">
        <f t="shared" si="12"/>
        <v>N.A.</v>
      </c>
      <c r="D87" s="1" t="s">
        <v>16</v>
      </c>
      <c r="E87" s="44"/>
      <c r="F87" s="44"/>
      <c r="G87" s="22">
        <v>0.88659793814432986</v>
      </c>
      <c r="H87" s="22">
        <v>0.9107142857142857</v>
      </c>
      <c r="I87" s="22">
        <v>0.87111111111111106</v>
      </c>
      <c r="J87" s="22">
        <v>0.82608695652173914</v>
      </c>
      <c r="K87" s="22">
        <v>0.76162790697674421</v>
      </c>
      <c r="L87" s="22">
        <v>0.73665955631399316</v>
      </c>
      <c r="M87" s="22">
        <v>0.60530990224667447</v>
      </c>
      <c r="N87" s="22">
        <v>0.5377649026439314</v>
      </c>
      <c r="O87" s="22">
        <v>0.41717614443091328</v>
      </c>
      <c r="P87" s="22">
        <v>0.41550914683503321</v>
      </c>
      <c r="Q87" s="22">
        <v>0.3889203371610373</v>
      </c>
      <c r="R87" s="22">
        <v>0.34892616326950793</v>
      </c>
      <c r="S87" s="22">
        <v>0.30410146456822551</v>
      </c>
      <c r="T87" s="22">
        <v>0.27144744518033015</v>
      </c>
      <c r="U87" s="22"/>
    </row>
    <row r="88" spans="1:21" x14ac:dyDescent="0.55000000000000004">
      <c r="A88" s="1" t="str">
        <f>'Population Definitions'!$A$4</f>
        <v>Gen 15-64</v>
      </c>
      <c r="B88" s="1" t="s">
        <v>64</v>
      </c>
      <c r="C88" s="2" t="str">
        <f t="shared" si="12"/>
        <v>N.A.</v>
      </c>
      <c r="D88" s="1" t="s">
        <v>16</v>
      </c>
      <c r="E88" s="44"/>
      <c r="F88" s="44"/>
      <c r="G88" s="22">
        <v>0.9338980315406038</v>
      </c>
      <c r="H88" s="22">
        <v>0.92677272480372763</v>
      </c>
      <c r="I88" s="22">
        <v>0.91702288391986764</v>
      </c>
      <c r="J88" s="22">
        <v>0.90555909099908916</v>
      </c>
      <c r="K88" s="22">
        <v>0.94527317561454582</v>
      </c>
      <c r="L88" s="22">
        <v>0.88347534658555682</v>
      </c>
      <c r="M88" s="22"/>
      <c r="N88" s="22">
        <f>0.815154035339617-0.05</f>
        <v>0.7651540353396169</v>
      </c>
      <c r="O88" s="22">
        <f>0.777498877428247-0.05</f>
        <v>0.72749887742824693</v>
      </c>
      <c r="P88" s="22">
        <f>0.755161305411071-0.05</f>
        <v>0.70516130541107092</v>
      </c>
      <c r="Q88" s="22">
        <f>0.745598016988636-0.05</f>
        <v>0.69559801698863599</v>
      </c>
      <c r="R88" s="22">
        <f>0.677074157273696-0.05</f>
        <v>0.62707415727369598</v>
      </c>
      <c r="S88" s="22">
        <f>0.587737330042494-0.05</f>
        <v>0.53773733004249391</v>
      </c>
      <c r="T88" s="22">
        <f>0.565607238645027-0.05</f>
        <v>0.515607238645027</v>
      </c>
      <c r="U88" s="22"/>
    </row>
    <row r="89" spans="1:21" x14ac:dyDescent="0.55000000000000004">
      <c r="A89" s="1" t="str">
        <f>'Population Definitions'!$A$5</f>
        <v>Gen 65+</v>
      </c>
      <c r="B89" s="1" t="s">
        <v>64</v>
      </c>
      <c r="C89" s="2" t="str">
        <f t="shared" si="12"/>
        <v>N.A.</v>
      </c>
      <c r="D89" s="1" t="s">
        <v>16</v>
      </c>
      <c r="E89" s="44"/>
      <c r="F89" s="44"/>
      <c r="G89" s="22">
        <v>0.88926672540425789</v>
      </c>
      <c r="H89" s="22">
        <v>0.87738544779796024</v>
      </c>
      <c r="I89" s="22">
        <v>0.80006032349129241</v>
      </c>
      <c r="J89" s="22">
        <v>0.80409398672108912</v>
      </c>
      <c r="K89" s="22">
        <v>0.79756867313971369</v>
      </c>
      <c r="L89" s="22">
        <v>0.745839559877707</v>
      </c>
      <c r="M89" s="22">
        <v>0.71849135883722659</v>
      </c>
      <c r="N89" s="22">
        <v>0.61470860838264163</v>
      </c>
      <c r="O89" s="22">
        <v>0.62808190930071339</v>
      </c>
      <c r="P89" s="22">
        <v>0.55299765956135027</v>
      </c>
      <c r="Q89" s="22">
        <v>0.55200818796382456</v>
      </c>
      <c r="R89" s="22">
        <v>0.47946384179243512</v>
      </c>
      <c r="S89" s="22">
        <v>0.36849975127496815</v>
      </c>
      <c r="T89" s="22">
        <v>0.41951307660078296</v>
      </c>
      <c r="U89" s="22"/>
    </row>
    <row r="90" spans="1:21" x14ac:dyDescent="0.55000000000000004">
      <c r="A90" s="1" t="str">
        <f>'Population Definitions'!$A$6</f>
        <v>PLHIV 15-64</v>
      </c>
      <c r="B90" s="1" t="s">
        <v>64</v>
      </c>
      <c r="C90" s="2" t="str">
        <f t="shared" si="12"/>
        <v>N.A.</v>
      </c>
      <c r="D90" s="1" t="s">
        <v>16</v>
      </c>
      <c r="E90" s="44"/>
      <c r="F90" s="44"/>
      <c r="G90" s="22">
        <v>0.91313696691011537</v>
      </c>
      <c r="H90" s="22">
        <v>0.90393751599377492</v>
      </c>
      <c r="I90" s="22">
        <v>0.89149895963290227</v>
      </c>
      <c r="J90" s="22">
        <v>0.87698576382075777</v>
      </c>
      <c r="K90" s="22">
        <v>0.80760981785943775</v>
      </c>
      <c r="L90" s="22">
        <v>0.81728487080211432</v>
      </c>
      <c r="M90" s="22">
        <v>0.73981498418123381</v>
      </c>
      <c r="N90" s="22">
        <v>0.69357199206504849</v>
      </c>
      <c r="O90" s="22">
        <v>0.60410340398619511</v>
      </c>
      <c r="P90" s="22">
        <v>0.58511584644587455</v>
      </c>
      <c r="Q90" s="22">
        <v>0.56712900479374162</v>
      </c>
      <c r="R90" s="22">
        <v>0.50208692561872825</v>
      </c>
      <c r="S90" s="22">
        <v>0.42973141831156103</v>
      </c>
      <c r="T90" s="22">
        <v>0.38286884875531318</v>
      </c>
      <c r="U90" s="22"/>
    </row>
    <row r="91" spans="1:21" x14ac:dyDescent="0.55000000000000004">
      <c r="A91" s="1" t="str">
        <f>'Population Definitions'!$A$7</f>
        <v>PLHIV 65+</v>
      </c>
      <c r="B91" s="1" t="s">
        <v>64</v>
      </c>
      <c r="C91" s="2" t="str">
        <f t="shared" si="12"/>
        <v>N.A.</v>
      </c>
      <c r="D91" s="1" t="s">
        <v>16</v>
      </c>
      <c r="E91" s="44"/>
      <c r="F91" s="44"/>
      <c r="G91" s="22">
        <v>0.9076570808934048</v>
      </c>
      <c r="H91" s="22">
        <v>0.89752162948319569</v>
      </c>
      <c r="I91" s="22">
        <v>0.83044103693658822</v>
      </c>
      <c r="J91" s="22">
        <v>0.83398896571663372</v>
      </c>
      <c r="K91" s="22">
        <v>0.82824671421747276</v>
      </c>
      <c r="L91" s="22">
        <v>0.66526133477150717</v>
      </c>
      <c r="M91" s="22">
        <v>0.66809994127318151</v>
      </c>
      <c r="N91" s="22">
        <v>0.49943734882386709</v>
      </c>
      <c r="O91" s="22">
        <v>0.5778728703640984</v>
      </c>
      <c r="P91" s="22">
        <v>0.46713013364610889</v>
      </c>
      <c r="Q91" s="22">
        <v>0.41905980386279468</v>
      </c>
      <c r="R91" s="22">
        <v>0.4101196827429221</v>
      </c>
      <c r="S91" s="22">
        <v>0.29179084019020718</v>
      </c>
      <c r="T91" s="22">
        <v>0.28759482953767479</v>
      </c>
      <c r="U91" s="22"/>
    </row>
    <row r="92" spans="1:21" x14ac:dyDescent="0.55000000000000004">
      <c r="A92" s="1" t="str">
        <f>'Population Definitions'!$A$8</f>
        <v>Prisoners</v>
      </c>
      <c r="B92" s="1" t="s">
        <v>64</v>
      </c>
      <c r="C92" s="2" t="str">
        <f t="shared" si="12"/>
        <v>N.A.</v>
      </c>
      <c r="D92" s="1" t="s">
        <v>16</v>
      </c>
      <c r="E92" s="44"/>
      <c r="F92" s="44"/>
      <c r="G92" s="22">
        <v>0.59337663303425792</v>
      </c>
      <c r="H92" s="22">
        <v>0.51478370567663445</v>
      </c>
      <c r="I92" s="22">
        <v>0.74110420651523445</v>
      </c>
      <c r="J92" s="22">
        <v>0.82130079468603034</v>
      </c>
      <c r="K92" s="22">
        <v>0.87550619872199453</v>
      </c>
      <c r="L92" s="22">
        <v>0</v>
      </c>
      <c r="M92" s="22">
        <v>0.86002028939221931</v>
      </c>
      <c r="N92" s="22">
        <v>0.88996834032153471</v>
      </c>
      <c r="O92" s="22">
        <v>0.82625958679364375</v>
      </c>
      <c r="P92" s="22">
        <v>0.75956555328570086</v>
      </c>
      <c r="Q92" s="22">
        <v>0.75224089437737085</v>
      </c>
      <c r="R92" s="22">
        <v>0.57444257892750406</v>
      </c>
      <c r="S92" s="22">
        <v>0.43848797623752511</v>
      </c>
      <c r="T92" s="22">
        <v>0.2383102173711531</v>
      </c>
      <c r="U92" s="22"/>
    </row>
    <row r="93" spans="1:21" x14ac:dyDescent="0.55000000000000004">
      <c r="A93" s="1" t="str">
        <f>'Population Definitions'!$A$9</f>
        <v>PLHIV Prisoners</v>
      </c>
      <c r="B93" s="1" t="s">
        <v>64</v>
      </c>
      <c r="C93" s="2" t="str">
        <f t="shared" si="12"/>
        <v>N.A.</v>
      </c>
      <c r="D93" s="1" t="s">
        <v>16</v>
      </c>
      <c r="E93" s="44"/>
      <c r="F93" s="44"/>
      <c r="G93" s="22">
        <v>0.79895282750674146</v>
      </c>
      <c r="H93" s="22">
        <v>0.74287633580985168</v>
      </c>
      <c r="I93" s="22">
        <v>0.88630442260145192</v>
      </c>
      <c r="J93" s="22">
        <v>0.92601347593701955</v>
      </c>
      <c r="K93" s="22">
        <v>0.95037522526736207</v>
      </c>
      <c r="L93" s="22">
        <v>0.97494696826591876</v>
      </c>
      <c r="M93" s="22">
        <v>0.79513782731318117</v>
      </c>
      <c r="N93" s="22">
        <v>0.71498679700530177</v>
      </c>
      <c r="O93" s="22">
        <v>0.65026818816751875</v>
      </c>
      <c r="P93" s="22">
        <v>0.62708930619907</v>
      </c>
      <c r="Q93" s="22">
        <v>0.65802614346670252</v>
      </c>
      <c r="R93" s="22">
        <v>0.56461563806280446</v>
      </c>
      <c r="S93" s="22">
        <v>0.45006377885641197</v>
      </c>
      <c r="T93" s="22">
        <v>0.31158451947012883</v>
      </c>
      <c r="U93" s="22"/>
    </row>
    <row r="94" spans="1:21" x14ac:dyDescent="0.55000000000000004">
      <c r="A94" s="1" t="str">
        <f>'Population Definitions'!$A$10</f>
        <v>HCW</v>
      </c>
      <c r="B94" s="1" t="s">
        <v>64</v>
      </c>
      <c r="C94" s="2" t="str">
        <f t="shared" si="12"/>
        <v>N.A.</v>
      </c>
      <c r="D94" s="1" t="s">
        <v>16</v>
      </c>
      <c r="E94" s="44"/>
      <c r="F94" s="44"/>
      <c r="G94" s="22"/>
      <c r="H94" s="52"/>
      <c r="I94" s="52"/>
      <c r="J94" s="52"/>
      <c r="K94" s="52">
        <v>1</v>
      </c>
      <c r="L94" s="52">
        <v>0.83136094674556216</v>
      </c>
      <c r="M94" s="52">
        <v>0.83807746150256646</v>
      </c>
      <c r="N94" s="52">
        <v>0.79525032092426184</v>
      </c>
      <c r="O94" s="52">
        <v>0.7731414868105515</v>
      </c>
      <c r="P94" s="52">
        <v>0.75533165407220826</v>
      </c>
      <c r="Q94" s="52">
        <v>0.73450494272713007</v>
      </c>
      <c r="R94" s="52">
        <v>0.66998754669987548</v>
      </c>
      <c r="S94" s="52">
        <v>0.58444318503825443</v>
      </c>
      <c r="T94" s="52">
        <v>0.56289402581807269</v>
      </c>
      <c r="U94" s="22"/>
    </row>
    <row r="95" spans="1:21" x14ac:dyDescent="0.55000000000000004">
      <c r="A95" s="1" t="str">
        <f>'Population Definitions'!$A$11</f>
        <v>PLHIV HCW</v>
      </c>
      <c r="B95" s="1" t="s">
        <v>64</v>
      </c>
      <c r="C95" s="2" t="str">
        <f t="shared" si="12"/>
        <v>N.A.</v>
      </c>
      <c r="D95" s="1" t="s">
        <v>16</v>
      </c>
      <c r="E95" s="44"/>
      <c r="F95" s="44"/>
      <c r="G95" s="22"/>
      <c r="H95" s="52">
        <v>1</v>
      </c>
      <c r="I95" s="52"/>
      <c r="J95" s="52">
        <v>1</v>
      </c>
      <c r="K95" s="52">
        <v>0.66666666666666663</v>
      </c>
      <c r="L95" s="52">
        <v>0.74448160535117058</v>
      </c>
      <c r="M95" s="52">
        <v>0.6643248392474399</v>
      </c>
      <c r="N95" s="52">
        <v>0.65026153114598195</v>
      </c>
      <c r="O95" s="52">
        <v>0.5986425085544399</v>
      </c>
      <c r="P95" s="52">
        <v>0.58567198479692406</v>
      </c>
      <c r="Q95" s="52">
        <v>0.55454943132108492</v>
      </c>
      <c r="R95" s="52">
        <v>0.49485246805772587</v>
      </c>
      <c r="S95" s="52">
        <v>0.42765349833412658</v>
      </c>
      <c r="T95" s="52">
        <v>0.38211011497746039</v>
      </c>
      <c r="U95" s="22"/>
    </row>
    <row r="96" spans="1:21" x14ac:dyDescent="0.55000000000000004">
      <c r="A96" s="1" t="str">
        <f>'Population Definitions'!$A$12</f>
        <v>Miners</v>
      </c>
      <c r="B96" s="1" t="s">
        <v>64</v>
      </c>
      <c r="C96" s="2" t="str">
        <f t="shared" si="12"/>
        <v>N.A.</v>
      </c>
      <c r="D96" s="1" t="s">
        <v>16</v>
      </c>
      <c r="E96" s="44"/>
      <c r="F96" s="44"/>
      <c r="G96" s="22"/>
      <c r="H96" s="22"/>
      <c r="I96" s="22"/>
      <c r="J96" s="22"/>
      <c r="K96" s="22"/>
      <c r="L96" s="22"/>
      <c r="M96" s="22"/>
      <c r="N96" s="22"/>
      <c r="O96" s="22"/>
      <c r="P96" s="22"/>
      <c r="Q96" s="22"/>
      <c r="R96" s="22"/>
      <c r="S96" s="22"/>
      <c r="T96" s="22">
        <v>0.515607238645027</v>
      </c>
      <c r="U96" s="22"/>
    </row>
    <row r="97" spans="1:21" x14ac:dyDescent="0.55000000000000004">
      <c r="A97" s="1" t="str">
        <f>'Population Definitions'!$A$13</f>
        <v>PLHIV Miners</v>
      </c>
      <c r="B97" s="1" t="s">
        <v>64</v>
      </c>
      <c r="C97" s="2" t="str">
        <f t="shared" si="12"/>
        <v>N.A.</v>
      </c>
      <c r="D97" s="1" t="s">
        <v>16</v>
      </c>
      <c r="E97" s="44"/>
      <c r="F97" s="44"/>
      <c r="G97" s="22"/>
      <c r="H97" s="22"/>
      <c r="I97" s="22"/>
      <c r="J97" s="22"/>
      <c r="K97" s="22"/>
      <c r="L97" s="22"/>
      <c r="M97" s="22"/>
      <c r="N97" s="22"/>
      <c r="O97" s="22"/>
      <c r="P97" s="22"/>
      <c r="Q97" s="22"/>
      <c r="R97" s="22"/>
      <c r="S97" s="22"/>
      <c r="T97" s="22">
        <v>0.38286884875531318</v>
      </c>
      <c r="U97" s="22"/>
    </row>
    <row r="98" spans="1:21" x14ac:dyDescent="0.55000000000000004">
      <c r="E98" s="37"/>
      <c r="F98" s="37"/>
      <c r="G98" s="37"/>
      <c r="H98" s="37"/>
      <c r="I98" s="37"/>
      <c r="J98" s="37"/>
      <c r="K98" s="37"/>
      <c r="L98" s="37"/>
      <c r="M98" s="37"/>
      <c r="N98" s="37"/>
      <c r="O98" s="37"/>
      <c r="P98" s="37"/>
      <c r="Q98" s="37"/>
      <c r="R98" s="37"/>
      <c r="S98" s="37"/>
      <c r="T98" s="37"/>
      <c r="U98" s="37"/>
    </row>
    <row r="99" spans="1:21" x14ac:dyDescent="0.55000000000000004">
      <c r="A99" s="21" t="s">
        <v>70</v>
      </c>
      <c r="B99" s="1" t="s">
        <v>8</v>
      </c>
      <c r="C99" s="1" t="s">
        <v>9</v>
      </c>
      <c r="D99" s="1"/>
      <c r="E99" s="41">
        <v>2000</v>
      </c>
      <c r="F99" s="41">
        <v>2001</v>
      </c>
      <c r="G99" s="41">
        <v>2002</v>
      </c>
      <c r="H99" s="41">
        <v>2003</v>
      </c>
      <c r="I99" s="41">
        <v>2004</v>
      </c>
      <c r="J99" s="41">
        <v>2005</v>
      </c>
      <c r="K99" s="41">
        <v>2006</v>
      </c>
      <c r="L99" s="41">
        <v>2007</v>
      </c>
      <c r="M99" s="41">
        <v>2008</v>
      </c>
      <c r="N99" s="41">
        <v>2009</v>
      </c>
      <c r="O99" s="41">
        <v>2010</v>
      </c>
      <c r="P99" s="41">
        <v>2011</v>
      </c>
      <c r="Q99" s="41">
        <v>2012</v>
      </c>
      <c r="R99" s="41">
        <v>2013</v>
      </c>
      <c r="S99" s="41">
        <v>2014</v>
      </c>
      <c r="T99" s="41">
        <v>2015</v>
      </c>
      <c r="U99" s="41">
        <v>2016</v>
      </c>
    </row>
    <row r="100" spans="1:21" x14ac:dyDescent="0.55000000000000004">
      <c r="A100" s="1" t="str">
        <f>'Population Definitions'!$A$2</f>
        <v>Gen 0-4</v>
      </c>
      <c r="B100" s="1" t="s">
        <v>64</v>
      </c>
      <c r="C100" s="2" t="str">
        <f t="shared" ref="C100:C111" si="13">IF(SUMPRODUCT(--(E100:U100&lt;&gt;""))=0,0,"N.A.")</f>
        <v>N.A.</v>
      </c>
      <c r="D100" s="1" t="s">
        <v>16</v>
      </c>
      <c r="E100" s="44"/>
      <c r="F100" s="44"/>
      <c r="G100" s="22">
        <f>1-G86</f>
        <v>8.9999999999999969E-2</v>
      </c>
      <c r="H100" s="22">
        <f t="shared" ref="H100:T100" si="14">1-H86</f>
        <v>9.7560975609756073E-2</v>
      </c>
      <c r="I100" s="22">
        <f t="shared" si="14"/>
        <v>0.12631578947368427</v>
      </c>
      <c r="J100" s="22">
        <f t="shared" si="14"/>
        <v>0.19277108433734946</v>
      </c>
      <c r="K100" s="22">
        <f t="shared" si="14"/>
        <v>0.19379844961240311</v>
      </c>
      <c r="L100" s="22">
        <f t="shared" si="14"/>
        <v>0.46263226862151863</v>
      </c>
      <c r="M100" s="22">
        <f t="shared" si="14"/>
        <v>0.58059089146559595</v>
      </c>
      <c r="N100" s="22">
        <f t="shared" si="14"/>
        <v>0.68973505525229661</v>
      </c>
      <c r="O100" s="22">
        <f t="shared" si="14"/>
        <v>0.73193948190317426</v>
      </c>
      <c r="P100" s="22">
        <f t="shared" si="14"/>
        <v>0.70196459276636358</v>
      </c>
      <c r="Q100" s="22">
        <f t="shared" si="14"/>
        <v>0.7276252565777197</v>
      </c>
      <c r="R100" s="22">
        <f t="shared" si="14"/>
        <v>0.80659792468837699</v>
      </c>
      <c r="S100" s="22">
        <f t="shared" si="14"/>
        <v>0.72936180895822145</v>
      </c>
      <c r="T100" s="22">
        <f t="shared" si="14"/>
        <v>0.67721933471933471</v>
      </c>
      <c r="U100" s="22"/>
    </row>
    <row r="101" spans="1:21" x14ac:dyDescent="0.55000000000000004">
      <c r="A101" s="1" t="str">
        <f>'Population Definitions'!$A$3</f>
        <v>Gen 5-14</v>
      </c>
      <c r="B101" s="1" t="s">
        <v>64</v>
      </c>
      <c r="C101" s="2" t="str">
        <f t="shared" si="13"/>
        <v>N.A.</v>
      </c>
      <c r="D101" s="1" t="s">
        <v>16</v>
      </c>
      <c r="E101" s="44"/>
      <c r="F101" s="44"/>
      <c r="G101" s="22">
        <f t="shared" ref="G101:T109" si="15">1-G87</f>
        <v>0.11340206185567014</v>
      </c>
      <c r="H101" s="22">
        <f t="shared" si="15"/>
        <v>8.9285714285714302E-2</v>
      </c>
      <c r="I101" s="22">
        <f t="shared" si="15"/>
        <v>0.12888888888888894</v>
      </c>
      <c r="J101" s="22">
        <f t="shared" si="15"/>
        <v>0.17391304347826086</v>
      </c>
      <c r="K101" s="22">
        <f t="shared" si="15"/>
        <v>0.23837209302325579</v>
      </c>
      <c r="L101" s="22">
        <f t="shared" si="15"/>
        <v>0.26334044368600684</v>
      </c>
      <c r="M101" s="22">
        <f t="shared" si="15"/>
        <v>0.39469009775332553</v>
      </c>
      <c r="N101" s="22">
        <f t="shared" si="15"/>
        <v>0.4622350973560686</v>
      </c>
      <c r="O101" s="22">
        <f t="shared" si="15"/>
        <v>0.58282385556908678</v>
      </c>
      <c r="P101" s="22">
        <f t="shared" si="15"/>
        <v>0.58449085316496685</v>
      </c>
      <c r="Q101" s="22">
        <f t="shared" si="15"/>
        <v>0.61107966283896276</v>
      </c>
      <c r="R101" s="22">
        <f t="shared" si="15"/>
        <v>0.65107383673049202</v>
      </c>
      <c r="S101" s="22">
        <f t="shared" si="15"/>
        <v>0.69589853543177449</v>
      </c>
      <c r="T101" s="22">
        <f t="shared" si="15"/>
        <v>0.72855255481966985</v>
      </c>
      <c r="U101" s="22"/>
    </row>
    <row r="102" spans="1:21" x14ac:dyDescent="0.55000000000000004">
      <c r="A102" s="1" t="str">
        <f>'Population Definitions'!$A$4</f>
        <v>Gen 15-64</v>
      </c>
      <c r="B102" s="1" t="s">
        <v>64</v>
      </c>
      <c r="C102" s="2" t="str">
        <f t="shared" si="13"/>
        <v>N.A.</v>
      </c>
      <c r="D102" s="1" t="s">
        <v>16</v>
      </c>
      <c r="E102" s="44"/>
      <c r="F102" s="44"/>
      <c r="G102" s="22">
        <f t="shared" si="15"/>
        <v>6.6101968459396199E-2</v>
      </c>
      <c r="H102" s="22">
        <f t="shared" si="15"/>
        <v>7.3227275196272368E-2</v>
      </c>
      <c r="I102" s="22">
        <f t="shared" si="15"/>
        <v>8.2977116080132363E-2</v>
      </c>
      <c r="J102" s="22">
        <f t="shared" si="15"/>
        <v>9.4440909000910844E-2</v>
      </c>
      <c r="K102" s="22">
        <f t="shared" si="15"/>
        <v>5.4726824385454176E-2</v>
      </c>
      <c r="L102" s="22">
        <f t="shared" si="15"/>
        <v>0.11652465341444318</v>
      </c>
      <c r="M102" s="22"/>
      <c r="N102" s="22">
        <f t="shared" si="15"/>
        <v>0.2348459646603831</v>
      </c>
      <c r="O102" s="22">
        <f t="shared" si="15"/>
        <v>0.27250112257175307</v>
      </c>
      <c r="P102" s="22">
        <f t="shared" si="15"/>
        <v>0.29483869458892908</v>
      </c>
      <c r="Q102" s="22">
        <f t="shared" si="15"/>
        <v>0.30440198301136401</v>
      </c>
      <c r="R102" s="22">
        <f t="shared" si="15"/>
        <v>0.37292584272630402</v>
      </c>
      <c r="S102" s="22">
        <f t="shared" si="15"/>
        <v>0.46226266995750609</v>
      </c>
      <c r="T102" s="22">
        <f t="shared" si="15"/>
        <v>0.484392761354973</v>
      </c>
      <c r="U102" s="22"/>
    </row>
    <row r="103" spans="1:21" x14ac:dyDescent="0.55000000000000004">
      <c r="A103" s="1" t="str">
        <f>'Population Definitions'!$A$5</f>
        <v>Gen 65+</v>
      </c>
      <c r="B103" s="1" t="s">
        <v>64</v>
      </c>
      <c r="C103" s="2" t="str">
        <f t="shared" si="13"/>
        <v>N.A.</v>
      </c>
      <c r="D103" s="1" t="s">
        <v>16</v>
      </c>
      <c r="E103" s="44"/>
      <c r="F103" s="44"/>
      <c r="G103" s="22">
        <f t="shared" si="15"/>
        <v>0.11073327459574211</v>
      </c>
      <c r="H103" s="22">
        <f t="shared" si="15"/>
        <v>0.12261455220203976</v>
      </c>
      <c r="I103" s="22">
        <f t="shared" si="15"/>
        <v>0.19993967650870759</v>
      </c>
      <c r="J103" s="22">
        <f t="shared" si="15"/>
        <v>0.19590601327891088</v>
      </c>
      <c r="K103" s="22">
        <f t="shared" si="15"/>
        <v>0.20243132686028631</v>
      </c>
      <c r="L103" s="22">
        <f t="shared" si="15"/>
        <v>0.254160440122293</v>
      </c>
      <c r="M103" s="22">
        <f t="shared" si="15"/>
        <v>0.28150864116277341</v>
      </c>
      <c r="N103" s="22">
        <f t="shared" si="15"/>
        <v>0.38529139161735837</v>
      </c>
      <c r="O103" s="22">
        <f t="shared" si="15"/>
        <v>0.37191809069928661</v>
      </c>
      <c r="P103" s="22">
        <f t="shared" si="15"/>
        <v>0.44700234043864973</v>
      </c>
      <c r="Q103" s="22">
        <f t="shared" si="15"/>
        <v>0.44799181203617544</v>
      </c>
      <c r="R103" s="22">
        <f t="shared" si="15"/>
        <v>0.52053615820756494</v>
      </c>
      <c r="S103" s="22">
        <f t="shared" si="15"/>
        <v>0.63150024872503185</v>
      </c>
      <c r="T103" s="22">
        <f t="shared" si="15"/>
        <v>0.58048692339921704</v>
      </c>
      <c r="U103" s="22"/>
    </row>
    <row r="104" spans="1:21" x14ac:dyDescent="0.55000000000000004">
      <c r="A104" s="1" t="str">
        <f>'Population Definitions'!$A$6</f>
        <v>PLHIV 15-64</v>
      </c>
      <c r="B104" s="1" t="s">
        <v>64</v>
      </c>
      <c r="C104" s="2" t="str">
        <f t="shared" si="13"/>
        <v>N.A.</v>
      </c>
      <c r="D104" s="1" t="s">
        <v>16</v>
      </c>
      <c r="E104" s="44"/>
      <c r="F104" s="44"/>
      <c r="G104" s="22">
        <f t="shared" si="15"/>
        <v>8.6863033089884634E-2</v>
      </c>
      <c r="H104" s="22">
        <f t="shared" si="15"/>
        <v>9.606248400622508E-2</v>
      </c>
      <c r="I104" s="22">
        <f t="shared" si="15"/>
        <v>0.10850104036709773</v>
      </c>
      <c r="J104" s="22">
        <f t="shared" si="15"/>
        <v>0.12301423617924223</v>
      </c>
      <c r="K104" s="22">
        <f t="shared" si="15"/>
        <v>0.19239018214056225</v>
      </c>
      <c r="L104" s="22">
        <f t="shared" si="15"/>
        <v>0.18271512919788568</v>
      </c>
      <c r="M104" s="22">
        <f t="shared" si="15"/>
        <v>0.26018501581876619</v>
      </c>
      <c r="N104" s="22">
        <f t="shared" si="15"/>
        <v>0.30642800793495151</v>
      </c>
      <c r="O104" s="22">
        <f t="shared" si="15"/>
        <v>0.39589659601380489</v>
      </c>
      <c r="P104" s="22">
        <f t="shared" si="15"/>
        <v>0.41488415355412545</v>
      </c>
      <c r="Q104" s="22">
        <f t="shared" si="15"/>
        <v>0.43287099520625838</v>
      </c>
      <c r="R104" s="22">
        <f t="shared" si="15"/>
        <v>0.49791307438127175</v>
      </c>
      <c r="S104" s="22">
        <f t="shared" si="15"/>
        <v>0.57026858168843897</v>
      </c>
      <c r="T104" s="22">
        <f t="shared" si="15"/>
        <v>0.61713115124468687</v>
      </c>
      <c r="U104" s="22"/>
    </row>
    <row r="105" spans="1:21" x14ac:dyDescent="0.55000000000000004">
      <c r="A105" s="1" t="str">
        <f>'Population Definitions'!$A$7</f>
        <v>PLHIV 65+</v>
      </c>
      <c r="B105" s="1" t="s">
        <v>64</v>
      </c>
      <c r="C105" s="2" t="str">
        <f t="shared" si="13"/>
        <v>N.A.</v>
      </c>
      <c r="D105" s="1" t="s">
        <v>16</v>
      </c>
      <c r="E105" s="44"/>
      <c r="F105" s="44"/>
      <c r="G105" s="22">
        <f t="shared" si="15"/>
        <v>9.23429191065952E-2</v>
      </c>
      <c r="H105" s="22">
        <f t="shared" si="15"/>
        <v>0.10247837051680431</v>
      </c>
      <c r="I105" s="22">
        <f t="shared" si="15"/>
        <v>0.16955896306341178</v>
      </c>
      <c r="J105" s="22">
        <f t="shared" si="15"/>
        <v>0.16601103428336628</v>
      </c>
      <c r="K105" s="22">
        <f t="shared" si="15"/>
        <v>0.17175328578252724</v>
      </c>
      <c r="L105" s="22">
        <f t="shared" si="15"/>
        <v>0.33473866522849283</v>
      </c>
      <c r="M105" s="22">
        <f t="shared" si="15"/>
        <v>0.33190005872681849</v>
      </c>
      <c r="N105" s="22">
        <f t="shared" si="15"/>
        <v>0.50056265117613297</v>
      </c>
      <c r="O105" s="22">
        <f t="shared" si="15"/>
        <v>0.4221271296359016</v>
      </c>
      <c r="P105" s="22">
        <f t="shared" si="15"/>
        <v>0.53286986635389111</v>
      </c>
      <c r="Q105" s="22">
        <f t="shared" si="15"/>
        <v>0.58094019613720538</v>
      </c>
      <c r="R105" s="22">
        <f t="shared" si="15"/>
        <v>0.5898803172570779</v>
      </c>
      <c r="S105" s="22">
        <f t="shared" si="15"/>
        <v>0.70820915980979282</v>
      </c>
      <c r="T105" s="22">
        <f t="shared" si="15"/>
        <v>0.71240517046232521</v>
      </c>
      <c r="U105" s="22"/>
    </row>
    <row r="106" spans="1:21" x14ac:dyDescent="0.55000000000000004">
      <c r="A106" s="1" t="str">
        <f>'Population Definitions'!$A$8</f>
        <v>Prisoners</v>
      </c>
      <c r="B106" s="1" t="s">
        <v>64</v>
      </c>
      <c r="C106" s="2" t="str">
        <f t="shared" si="13"/>
        <v>N.A.</v>
      </c>
      <c r="D106" s="1" t="s">
        <v>16</v>
      </c>
      <c r="E106" s="44"/>
      <c r="F106" s="44"/>
      <c r="G106" s="22">
        <f t="shared" si="15"/>
        <v>0.40662336696574208</v>
      </c>
      <c r="H106" s="22">
        <f t="shared" si="15"/>
        <v>0.48521629432336555</v>
      </c>
      <c r="I106" s="22">
        <f t="shared" si="15"/>
        <v>0.25889579348476555</v>
      </c>
      <c r="J106" s="22">
        <f t="shared" si="15"/>
        <v>0.17869920531396966</v>
      </c>
      <c r="K106" s="22">
        <f t="shared" si="15"/>
        <v>0.12449380127800547</v>
      </c>
      <c r="L106" s="22">
        <f t="shared" si="15"/>
        <v>1</v>
      </c>
      <c r="M106" s="22">
        <f t="shared" si="15"/>
        <v>0.13997971060778069</v>
      </c>
      <c r="N106" s="22">
        <f t="shared" si="15"/>
        <v>0.11003165967846529</v>
      </c>
      <c r="O106" s="22">
        <f t="shared" si="15"/>
        <v>0.17374041320635625</v>
      </c>
      <c r="P106" s="22">
        <f t="shared" si="15"/>
        <v>0.24043444671429914</v>
      </c>
      <c r="Q106" s="22">
        <f t="shared" si="15"/>
        <v>0.24775910562262915</v>
      </c>
      <c r="R106" s="22">
        <f t="shared" si="15"/>
        <v>0.42555742107249594</v>
      </c>
      <c r="S106" s="22">
        <f t="shared" si="15"/>
        <v>0.56151202376247489</v>
      </c>
      <c r="T106" s="22">
        <f t="shared" si="15"/>
        <v>0.7616897826288469</v>
      </c>
      <c r="U106" s="22"/>
    </row>
    <row r="107" spans="1:21" x14ac:dyDescent="0.55000000000000004">
      <c r="A107" s="1" t="str">
        <f>'Population Definitions'!$A$9</f>
        <v>PLHIV Prisoners</v>
      </c>
      <c r="B107" s="1" t="s">
        <v>64</v>
      </c>
      <c r="C107" s="2" t="str">
        <f t="shared" si="13"/>
        <v>N.A.</v>
      </c>
      <c r="D107" s="1" t="s">
        <v>16</v>
      </c>
      <c r="E107" s="44"/>
      <c r="F107" s="44"/>
      <c r="G107" s="22">
        <f t="shared" si="15"/>
        <v>0.20104717249325854</v>
      </c>
      <c r="H107" s="22">
        <f t="shared" si="15"/>
        <v>0.25712366419014832</v>
      </c>
      <c r="I107" s="22">
        <f t="shared" si="15"/>
        <v>0.11369557739854808</v>
      </c>
      <c r="J107" s="22">
        <f t="shared" si="15"/>
        <v>7.3986524062980452E-2</v>
      </c>
      <c r="K107" s="22">
        <f t="shared" si="15"/>
        <v>4.9624774732637933E-2</v>
      </c>
      <c r="L107" s="22">
        <f t="shared" si="15"/>
        <v>2.5053031734081244E-2</v>
      </c>
      <c r="M107" s="22">
        <f t="shared" si="15"/>
        <v>0.20486217268681883</v>
      </c>
      <c r="N107" s="22">
        <f t="shared" si="15"/>
        <v>0.28501320299469823</v>
      </c>
      <c r="O107" s="22">
        <f t="shared" si="15"/>
        <v>0.34973181183248125</v>
      </c>
      <c r="P107" s="22">
        <f t="shared" si="15"/>
        <v>0.37291069380093</v>
      </c>
      <c r="Q107" s="22">
        <f t="shared" si="15"/>
        <v>0.34197385653329748</v>
      </c>
      <c r="R107" s="22">
        <f t="shared" si="15"/>
        <v>0.43538436193719554</v>
      </c>
      <c r="S107" s="22">
        <f t="shared" si="15"/>
        <v>0.54993622114358809</v>
      </c>
      <c r="T107" s="22">
        <f t="shared" si="15"/>
        <v>0.68841548052987123</v>
      </c>
      <c r="U107" s="22"/>
    </row>
    <row r="108" spans="1:21" x14ac:dyDescent="0.55000000000000004">
      <c r="A108" s="1" t="str">
        <f>'Population Definitions'!$A$10</f>
        <v>HCW</v>
      </c>
      <c r="B108" s="1" t="s">
        <v>64</v>
      </c>
      <c r="C108" s="2" t="str">
        <f t="shared" si="13"/>
        <v>N.A.</v>
      </c>
      <c r="D108" s="1" t="s">
        <v>16</v>
      </c>
      <c r="E108" s="44"/>
      <c r="F108" s="44"/>
      <c r="G108" s="22"/>
      <c r="H108" s="52"/>
      <c r="I108" s="52"/>
      <c r="J108" s="52"/>
      <c r="K108" s="52">
        <f t="shared" si="15"/>
        <v>0</v>
      </c>
      <c r="L108" s="52">
        <f t="shared" si="15"/>
        <v>0.16863905325443784</v>
      </c>
      <c r="M108" s="52">
        <f t="shared" si="15"/>
        <v>0.16192253849743354</v>
      </c>
      <c r="N108" s="52">
        <f t="shared" si="15"/>
        <v>0.20474967907573816</v>
      </c>
      <c r="O108" s="52">
        <f t="shared" si="15"/>
        <v>0.2268585131894485</v>
      </c>
      <c r="P108" s="52">
        <f t="shared" si="15"/>
        <v>0.24466834592779174</v>
      </c>
      <c r="Q108" s="52">
        <f t="shared" si="15"/>
        <v>0.26549505727286993</v>
      </c>
      <c r="R108" s="52">
        <f t="shared" si="15"/>
        <v>0.33001245330012452</v>
      </c>
      <c r="S108" s="52">
        <f t="shared" si="15"/>
        <v>0.41555681496174557</v>
      </c>
      <c r="T108" s="52">
        <f t="shared" si="15"/>
        <v>0.43710597418192731</v>
      </c>
      <c r="U108" s="22"/>
    </row>
    <row r="109" spans="1:21" x14ac:dyDescent="0.55000000000000004">
      <c r="A109" s="1" t="str">
        <f>'Population Definitions'!$A$11</f>
        <v>PLHIV HCW</v>
      </c>
      <c r="B109" s="1" t="s">
        <v>64</v>
      </c>
      <c r="C109" s="2" t="str">
        <f t="shared" si="13"/>
        <v>N.A.</v>
      </c>
      <c r="D109" s="1" t="s">
        <v>16</v>
      </c>
      <c r="E109" s="44"/>
      <c r="F109" s="44"/>
      <c r="G109" s="22"/>
      <c r="H109" s="52">
        <f t="shared" si="15"/>
        <v>0</v>
      </c>
      <c r="I109" s="52"/>
      <c r="J109" s="52">
        <f t="shared" si="15"/>
        <v>0</v>
      </c>
      <c r="K109" s="52">
        <f t="shared" si="15"/>
        <v>0.33333333333333337</v>
      </c>
      <c r="L109" s="52">
        <f t="shared" si="15"/>
        <v>0.25551839464882942</v>
      </c>
      <c r="M109" s="52">
        <f t="shared" si="15"/>
        <v>0.3356751607525601</v>
      </c>
      <c r="N109" s="52">
        <f t="shared" si="15"/>
        <v>0.34973846885401805</v>
      </c>
      <c r="O109" s="52">
        <f t="shared" si="15"/>
        <v>0.4013574914455601</v>
      </c>
      <c r="P109" s="52">
        <f t="shared" si="15"/>
        <v>0.41432801520307594</v>
      </c>
      <c r="Q109" s="52">
        <f t="shared" si="15"/>
        <v>0.44545056867891508</v>
      </c>
      <c r="R109" s="52">
        <f t="shared" si="15"/>
        <v>0.50514753194227413</v>
      </c>
      <c r="S109" s="52">
        <f t="shared" si="15"/>
        <v>0.57234650166587342</v>
      </c>
      <c r="T109" s="52">
        <f t="shared" si="15"/>
        <v>0.61788988502253961</v>
      </c>
      <c r="U109" s="22"/>
    </row>
    <row r="110" spans="1:21" x14ac:dyDescent="0.55000000000000004">
      <c r="A110" s="1" t="str">
        <f>'Population Definitions'!$A$12</f>
        <v>Miners</v>
      </c>
      <c r="B110" s="1" t="s">
        <v>64</v>
      </c>
      <c r="C110" s="2" t="str">
        <f t="shared" si="13"/>
        <v>N.A.</v>
      </c>
      <c r="D110" s="1" t="s">
        <v>16</v>
      </c>
      <c r="E110" s="44"/>
      <c r="F110" s="44"/>
      <c r="G110" s="22"/>
      <c r="H110" s="22"/>
      <c r="I110" s="22"/>
      <c r="J110" s="22"/>
      <c r="K110" s="22"/>
      <c r="L110" s="22"/>
      <c r="M110" s="22"/>
      <c r="N110" s="22"/>
      <c r="O110" s="22"/>
      <c r="P110" s="22"/>
      <c r="Q110" s="22"/>
      <c r="R110" s="22"/>
      <c r="S110" s="22"/>
      <c r="T110" s="48">
        <v>0.48399999999999999</v>
      </c>
      <c r="U110" s="22"/>
    </row>
    <row r="111" spans="1:21" x14ac:dyDescent="0.55000000000000004">
      <c r="A111" s="1" t="str">
        <f>'Population Definitions'!$A$13</f>
        <v>PLHIV Miners</v>
      </c>
      <c r="B111" s="1" t="s">
        <v>64</v>
      </c>
      <c r="C111" s="2" t="str">
        <f t="shared" si="13"/>
        <v>N.A.</v>
      </c>
      <c r="D111" s="1" t="s">
        <v>16</v>
      </c>
      <c r="E111" s="44"/>
      <c r="F111" s="44"/>
      <c r="G111" s="22"/>
      <c r="H111" s="22"/>
      <c r="I111" s="22"/>
      <c r="J111" s="22"/>
      <c r="K111" s="22"/>
      <c r="L111" s="22"/>
      <c r="M111" s="22"/>
      <c r="N111" s="22"/>
      <c r="O111" s="22"/>
      <c r="P111" s="22"/>
      <c r="Q111" s="22"/>
      <c r="R111" s="22"/>
      <c r="S111" s="22"/>
      <c r="T111" s="48">
        <v>0.61699999999999999</v>
      </c>
      <c r="U111" s="22"/>
    </row>
    <row r="112" spans="1:21" x14ac:dyDescent="0.55000000000000004">
      <c r="E112" s="37"/>
      <c r="F112" s="37"/>
      <c r="G112" s="37"/>
      <c r="H112" s="37"/>
      <c r="I112" s="37"/>
      <c r="J112" s="37"/>
      <c r="K112" s="37"/>
      <c r="L112" s="37"/>
      <c r="M112" s="37"/>
      <c r="N112" s="37"/>
      <c r="O112" s="37"/>
      <c r="P112" s="37"/>
      <c r="Q112" s="37"/>
      <c r="R112" s="37"/>
      <c r="S112" s="37"/>
      <c r="T112" s="37"/>
      <c r="U112" s="37"/>
    </row>
    <row r="113" spans="1:21" x14ac:dyDescent="0.55000000000000004">
      <c r="A113" s="21" t="s">
        <v>75</v>
      </c>
      <c r="B113" s="1" t="s">
        <v>8</v>
      </c>
      <c r="C113" s="1" t="s">
        <v>9</v>
      </c>
      <c r="D113" s="1"/>
      <c r="E113" s="41">
        <v>2000</v>
      </c>
      <c r="F113" s="41">
        <v>2001</v>
      </c>
      <c r="G113" s="41">
        <v>2002</v>
      </c>
      <c r="H113" s="41">
        <v>2003</v>
      </c>
      <c r="I113" s="41">
        <v>2004</v>
      </c>
      <c r="J113" s="41">
        <v>2005</v>
      </c>
      <c r="K113" s="41">
        <v>2006</v>
      </c>
      <c r="L113" s="41">
        <v>2007</v>
      </c>
      <c r="M113" s="41">
        <v>2008</v>
      </c>
      <c r="N113" s="41">
        <v>2009</v>
      </c>
      <c r="O113" s="41">
        <v>2010</v>
      </c>
      <c r="P113" s="41">
        <v>2011</v>
      </c>
      <c r="Q113" s="41">
        <v>2012</v>
      </c>
      <c r="R113" s="41">
        <v>2013</v>
      </c>
      <c r="S113" s="41">
        <v>2014</v>
      </c>
      <c r="T113" s="41">
        <v>2015</v>
      </c>
      <c r="U113" s="41">
        <v>2016</v>
      </c>
    </row>
    <row r="114" spans="1:21" x14ac:dyDescent="0.55000000000000004">
      <c r="A114" s="1" t="str">
        <f>'Population Definitions'!$A$2</f>
        <v>Gen 0-4</v>
      </c>
      <c r="B114" s="1" t="s">
        <v>64</v>
      </c>
      <c r="C114" s="2" t="str">
        <f t="shared" ref="C114:C125" si="16">IF(SUMPRODUCT(--(E114:U114&lt;&gt;""))=0,0,"N.A.")</f>
        <v>N.A.</v>
      </c>
      <c r="D114" s="1" t="s">
        <v>16</v>
      </c>
      <c r="E114" s="44"/>
      <c r="F114" s="44"/>
      <c r="G114" s="22"/>
      <c r="H114" s="22"/>
      <c r="I114" s="22"/>
      <c r="J114" s="22"/>
      <c r="K114" s="22"/>
      <c r="L114" s="22">
        <v>0.99947077238734572</v>
      </c>
      <c r="M114" s="22">
        <v>0.9987921444654867</v>
      </c>
      <c r="N114" s="22"/>
      <c r="O114" s="22">
        <v>0.99658105085574678</v>
      </c>
      <c r="P114" s="22">
        <v>0.9975878461299742</v>
      </c>
      <c r="Q114" s="22">
        <v>0.99606071635016802</v>
      </c>
      <c r="R114" s="22">
        <v>0.99648353209664964</v>
      </c>
      <c r="S114" s="22">
        <v>0.99704118352658933</v>
      </c>
      <c r="T114" s="22">
        <v>0.99686005506980335</v>
      </c>
      <c r="U114" s="22"/>
    </row>
    <row r="115" spans="1:21" x14ac:dyDescent="0.55000000000000004">
      <c r="A115" s="1" t="str">
        <f>'Population Definitions'!$A$3</f>
        <v>Gen 5-14</v>
      </c>
      <c r="B115" s="1" t="s">
        <v>64</v>
      </c>
      <c r="C115" s="2" t="str">
        <f t="shared" si="16"/>
        <v>N.A.</v>
      </c>
      <c r="D115" s="1" t="s">
        <v>16</v>
      </c>
      <c r="E115" s="44"/>
      <c r="F115" s="44"/>
      <c r="G115" s="22"/>
      <c r="H115" s="22"/>
      <c r="I115" s="22"/>
      <c r="J115" s="22"/>
      <c r="K115" s="22"/>
      <c r="L115" s="22">
        <v>0.99754899595059898</v>
      </c>
      <c r="M115" s="22">
        <v>0.99071409832180968</v>
      </c>
      <c r="N115" s="22">
        <v>0.99098868773517101</v>
      </c>
      <c r="O115" s="22">
        <v>0.99347558793696744</v>
      </c>
      <c r="P115" s="22">
        <v>0.99742850463648403</v>
      </c>
      <c r="Q115" s="22">
        <v>0.985547980960365</v>
      </c>
      <c r="R115" s="22">
        <v>0.9846583627596508</v>
      </c>
      <c r="S115" s="22">
        <v>0.97651159900528983</v>
      </c>
      <c r="T115" s="22">
        <v>0.96401820422869067</v>
      </c>
      <c r="U115" s="22"/>
    </row>
    <row r="116" spans="1:21" x14ac:dyDescent="0.55000000000000004">
      <c r="A116" s="1" t="str">
        <f>'Population Definitions'!$A$4</f>
        <v>Gen 15-64</v>
      </c>
      <c r="B116" s="1" t="s">
        <v>64</v>
      </c>
      <c r="C116" s="2" t="str">
        <f t="shared" si="16"/>
        <v>N.A.</v>
      </c>
      <c r="D116" s="1" t="s">
        <v>16</v>
      </c>
      <c r="E116" s="44"/>
      <c r="F116" s="44"/>
      <c r="G116" s="22"/>
      <c r="H116" s="22"/>
      <c r="I116" s="22"/>
      <c r="J116" s="22"/>
      <c r="K116" s="22"/>
      <c r="L116" s="22">
        <v>0.96126863564171106</v>
      </c>
      <c r="M116" s="22">
        <v>0.91082079156184814</v>
      </c>
      <c r="N116" s="22">
        <v>0.98930470707586993</v>
      </c>
      <c r="O116" s="22">
        <v>0.9983427166321126</v>
      </c>
      <c r="P116" s="22">
        <v>0.98758165742721316</v>
      </c>
      <c r="Q116" s="22">
        <v>0.98820914253509295</v>
      </c>
      <c r="R116" s="22">
        <v>0.98013842106523685</v>
      </c>
      <c r="S116" s="22">
        <v>0.9757197944225614</v>
      </c>
      <c r="T116" s="22">
        <v>0.9636867943047438</v>
      </c>
      <c r="U116" s="22"/>
    </row>
    <row r="117" spans="1:21" x14ac:dyDescent="0.55000000000000004">
      <c r="A117" s="1" t="str">
        <f>'Population Definitions'!$A$5</f>
        <v>Gen 65+</v>
      </c>
      <c r="B117" s="1" t="s">
        <v>64</v>
      </c>
      <c r="C117" s="2" t="str">
        <f t="shared" si="16"/>
        <v>N.A.</v>
      </c>
      <c r="D117" s="1" t="s">
        <v>16</v>
      </c>
      <c r="E117" s="44"/>
      <c r="F117" s="44"/>
      <c r="G117" s="22"/>
      <c r="H117" s="22"/>
      <c r="I117" s="22"/>
      <c r="J117" s="22"/>
      <c r="K117" s="22"/>
      <c r="L117" s="22"/>
      <c r="M117" s="22">
        <v>0.99569093532598985</v>
      </c>
      <c r="N117" s="22">
        <v>0.99074409354779513</v>
      </c>
      <c r="O117" s="22">
        <v>0.79848786913190151</v>
      </c>
      <c r="P117" s="22">
        <v>0.99793445178297191</v>
      </c>
      <c r="Q117" s="22">
        <v>0.99893015653424944</v>
      </c>
      <c r="R117" s="22">
        <v>0.97557054416748479</v>
      </c>
      <c r="S117" s="22">
        <v>0.97584326420986922</v>
      </c>
      <c r="T117" s="22">
        <v>0.9718425055041956</v>
      </c>
      <c r="U117" s="22"/>
    </row>
    <row r="118" spans="1:21" x14ac:dyDescent="0.55000000000000004">
      <c r="A118" s="1" t="str">
        <f>'Population Definitions'!$A$6</f>
        <v>PLHIV 15-64</v>
      </c>
      <c r="B118" s="1" t="s">
        <v>64</v>
      </c>
      <c r="C118" s="2" t="str">
        <f t="shared" si="16"/>
        <v>N.A.</v>
      </c>
      <c r="D118" s="1" t="s">
        <v>16</v>
      </c>
      <c r="E118" s="44"/>
      <c r="F118" s="44"/>
      <c r="G118" s="22"/>
      <c r="H118" s="22"/>
      <c r="I118" s="22"/>
      <c r="J118" s="22"/>
      <c r="K118" s="22"/>
      <c r="L118" s="22"/>
      <c r="M118" s="22">
        <v>0.99782406347036379</v>
      </c>
      <c r="N118" s="22">
        <v>0.98969401272113711</v>
      </c>
      <c r="O118" s="22">
        <v>0.9990427178938891</v>
      </c>
      <c r="P118" s="22">
        <v>0.98898954595292399</v>
      </c>
      <c r="Q118" s="22">
        <v>0.98663371350033047</v>
      </c>
      <c r="R118" s="22">
        <v>0.97031526908539956</v>
      </c>
      <c r="S118" s="22">
        <v>0.95442974168903294</v>
      </c>
      <c r="T118" s="22">
        <v>0.93306289353512106</v>
      </c>
      <c r="U118" s="22"/>
    </row>
    <row r="119" spans="1:21" x14ac:dyDescent="0.55000000000000004">
      <c r="A119" s="1" t="str">
        <f>'Population Definitions'!$A$7</f>
        <v>PLHIV 65+</v>
      </c>
      <c r="B119" s="1" t="s">
        <v>64</v>
      </c>
      <c r="C119" s="2" t="str">
        <f t="shared" si="16"/>
        <v>N.A.</v>
      </c>
      <c r="D119" s="1" t="s">
        <v>16</v>
      </c>
      <c r="E119" s="44"/>
      <c r="F119" s="44"/>
      <c r="G119" s="22"/>
      <c r="H119" s="22"/>
      <c r="I119" s="22"/>
      <c r="J119" s="22"/>
      <c r="K119" s="22"/>
      <c r="L119" s="22"/>
      <c r="M119" s="22">
        <v>0.99664293962509776</v>
      </c>
      <c r="N119" s="22"/>
      <c r="O119" s="22"/>
      <c r="P119" s="22">
        <v>0.9916557476018264</v>
      </c>
      <c r="Q119" s="22">
        <v>0.9917907624737109</v>
      </c>
      <c r="R119" s="22">
        <v>0.97875278869648363</v>
      </c>
      <c r="S119" s="22"/>
      <c r="T119" s="22">
        <v>0.97036668283150596</v>
      </c>
      <c r="U119" s="22"/>
    </row>
    <row r="120" spans="1:21" x14ac:dyDescent="0.55000000000000004">
      <c r="A120" s="1" t="str">
        <f>'Population Definitions'!$A$8</f>
        <v>Prisoners</v>
      </c>
      <c r="B120" s="1" t="s">
        <v>64</v>
      </c>
      <c r="C120" s="2" t="str">
        <f t="shared" si="16"/>
        <v>N.A.</v>
      </c>
      <c r="D120" s="1" t="s">
        <v>16</v>
      </c>
      <c r="E120" s="44"/>
      <c r="F120" s="44"/>
      <c r="G120" s="22"/>
      <c r="H120" s="22"/>
      <c r="I120" s="22"/>
      <c r="J120" s="22"/>
      <c r="K120" s="22"/>
      <c r="L120" s="22">
        <v>1</v>
      </c>
      <c r="M120" s="22">
        <v>1</v>
      </c>
      <c r="N120" s="22">
        <v>1</v>
      </c>
      <c r="O120" s="22">
        <v>1</v>
      </c>
      <c r="P120" s="22">
        <v>1</v>
      </c>
      <c r="Q120" s="22">
        <v>1</v>
      </c>
      <c r="R120" s="22">
        <v>1</v>
      </c>
      <c r="S120" s="22">
        <v>1</v>
      </c>
      <c r="T120" s="22">
        <v>1</v>
      </c>
      <c r="U120" s="22"/>
    </row>
    <row r="121" spans="1:21" x14ac:dyDescent="0.55000000000000004">
      <c r="A121" s="1" t="str">
        <f>'Population Definitions'!$A$9</f>
        <v>PLHIV Prisoners</v>
      </c>
      <c r="B121" s="1" t="s">
        <v>64</v>
      </c>
      <c r="C121" s="2" t="str">
        <f t="shared" si="16"/>
        <v>N.A.</v>
      </c>
      <c r="D121" s="1" t="s">
        <v>16</v>
      </c>
      <c r="E121" s="44"/>
      <c r="F121" s="44"/>
      <c r="G121" s="22"/>
      <c r="H121" s="22"/>
      <c r="I121" s="22"/>
      <c r="J121" s="22"/>
      <c r="K121" s="22"/>
      <c r="L121" s="22">
        <v>1</v>
      </c>
      <c r="M121" s="22">
        <v>1</v>
      </c>
      <c r="N121" s="22">
        <v>1</v>
      </c>
      <c r="O121" s="22">
        <v>1</v>
      </c>
      <c r="P121" s="22">
        <v>1</v>
      </c>
      <c r="Q121" s="22">
        <v>1</v>
      </c>
      <c r="R121" s="22">
        <v>1</v>
      </c>
      <c r="S121" s="22">
        <v>1</v>
      </c>
      <c r="T121" s="22">
        <v>1</v>
      </c>
      <c r="U121" s="22"/>
    </row>
    <row r="122" spans="1:21" x14ac:dyDescent="0.55000000000000004">
      <c r="A122" s="1" t="str">
        <f>'Population Definitions'!$A$10</f>
        <v>HCW</v>
      </c>
      <c r="B122" s="1" t="s">
        <v>64</v>
      </c>
      <c r="C122" s="2" t="str">
        <f t="shared" si="16"/>
        <v>N.A.</v>
      </c>
      <c r="D122" s="1" t="s">
        <v>16</v>
      </c>
      <c r="E122" s="44">
        <v>1</v>
      </c>
      <c r="F122" s="44"/>
      <c r="G122" s="22"/>
      <c r="H122" s="22"/>
      <c r="I122" s="22"/>
      <c r="J122" s="22"/>
      <c r="K122" s="22"/>
      <c r="L122" s="22"/>
      <c r="M122" s="22"/>
      <c r="N122" s="22"/>
      <c r="O122" s="22"/>
      <c r="P122" s="22"/>
      <c r="Q122" s="22"/>
      <c r="R122" s="22"/>
      <c r="S122" s="22"/>
      <c r="T122" s="22"/>
      <c r="U122" s="22"/>
    </row>
    <row r="123" spans="1:21" x14ac:dyDescent="0.55000000000000004">
      <c r="A123" s="1" t="str">
        <f>'Population Definitions'!$A$11</f>
        <v>PLHIV HCW</v>
      </c>
      <c r="B123" s="1" t="s">
        <v>64</v>
      </c>
      <c r="C123" s="2" t="str">
        <f t="shared" si="16"/>
        <v>N.A.</v>
      </c>
      <c r="D123" s="1" t="s">
        <v>16</v>
      </c>
      <c r="E123" s="44">
        <v>1</v>
      </c>
      <c r="F123" s="44"/>
      <c r="G123" s="22"/>
      <c r="H123" s="22"/>
      <c r="I123" s="22"/>
      <c r="J123" s="22"/>
      <c r="K123" s="22"/>
      <c r="L123" s="22"/>
      <c r="M123" s="22"/>
      <c r="N123" s="22"/>
      <c r="O123" s="22"/>
      <c r="P123" s="22"/>
      <c r="Q123" s="22"/>
      <c r="R123" s="22"/>
      <c r="S123" s="22"/>
      <c r="T123" s="22"/>
      <c r="U123" s="22"/>
    </row>
    <row r="124" spans="1:21" x14ac:dyDescent="0.55000000000000004">
      <c r="A124" s="1" t="str">
        <f>'Population Definitions'!$A$12</f>
        <v>Miners</v>
      </c>
      <c r="B124" s="1" t="s">
        <v>64</v>
      </c>
      <c r="C124" s="2" t="str">
        <f t="shared" si="16"/>
        <v>N.A.</v>
      </c>
      <c r="D124" s="1" t="s">
        <v>16</v>
      </c>
      <c r="E124" s="44"/>
      <c r="F124" s="44"/>
      <c r="G124" s="22"/>
      <c r="H124" s="22"/>
      <c r="I124" s="22"/>
      <c r="J124" s="22"/>
      <c r="K124" s="22"/>
      <c r="L124" s="22"/>
      <c r="M124" s="22"/>
      <c r="N124" s="22"/>
      <c r="O124" s="22"/>
      <c r="P124" s="22"/>
      <c r="Q124" s="22"/>
      <c r="R124" s="22"/>
      <c r="S124" s="22"/>
      <c r="T124" s="22">
        <f>T12/(T12+T26+T40)</f>
        <v>0.96883310662908184</v>
      </c>
      <c r="U124" s="22"/>
    </row>
    <row r="125" spans="1:21" x14ac:dyDescent="0.55000000000000004">
      <c r="A125" s="1" t="str">
        <f>'Population Definitions'!$A$13</f>
        <v>PLHIV Miners</v>
      </c>
      <c r="B125" s="1" t="s">
        <v>64</v>
      </c>
      <c r="C125" s="2" t="str">
        <f t="shared" si="16"/>
        <v>N.A.</v>
      </c>
      <c r="D125" s="1" t="s">
        <v>16</v>
      </c>
      <c r="E125" s="44"/>
      <c r="F125" s="44"/>
      <c r="G125" s="22"/>
      <c r="H125" s="22"/>
      <c r="I125" s="22"/>
      <c r="J125" s="22"/>
      <c r="K125" s="22"/>
      <c r="L125" s="22"/>
      <c r="M125" s="22"/>
      <c r="N125" s="22"/>
      <c r="O125" s="22"/>
      <c r="P125" s="22"/>
      <c r="Q125" s="22"/>
      <c r="R125" s="22"/>
      <c r="S125" s="22"/>
      <c r="T125" s="22">
        <f>T13/(T13+T27+T41)</f>
        <v>0.97666954459615196</v>
      </c>
      <c r="U125" s="22"/>
    </row>
    <row r="126" spans="1:21" x14ac:dyDescent="0.55000000000000004">
      <c r="E126" s="37"/>
      <c r="F126" s="37"/>
      <c r="G126" s="37"/>
      <c r="H126" s="37"/>
      <c r="I126" s="37"/>
      <c r="J126" s="37"/>
      <c r="K126" s="37"/>
      <c r="L126" s="37"/>
      <c r="M126" s="37"/>
      <c r="N126" s="37"/>
      <c r="O126" s="37"/>
      <c r="P126" s="37"/>
      <c r="Q126" s="37"/>
      <c r="R126" s="37"/>
      <c r="S126" s="37"/>
      <c r="T126" s="37"/>
      <c r="U126" s="37"/>
    </row>
    <row r="127" spans="1:21" x14ac:dyDescent="0.55000000000000004">
      <c r="A127" s="21" t="s">
        <v>80</v>
      </c>
      <c r="B127" s="1" t="s">
        <v>8</v>
      </c>
      <c r="C127" s="1" t="s">
        <v>9</v>
      </c>
      <c r="D127" s="1"/>
      <c r="E127" s="41">
        <v>2000</v>
      </c>
      <c r="F127" s="41">
        <v>2001</v>
      </c>
      <c r="G127" s="41">
        <v>2002</v>
      </c>
      <c r="H127" s="41">
        <v>2003</v>
      </c>
      <c r="I127" s="41">
        <v>2004</v>
      </c>
      <c r="J127" s="41">
        <v>2005</v>
      </c>
      <c r="K127" s="41">
        <v>2006</v>
      </c>
      <c r="L127" s="41">
        <v>2007</v>
      </c>
      <c r="M127" s="41">
        <v>2008</v>
      </c>
      <c r="N127" s="41">
        <v>2009</v>
      </c>
      <c r="O127" s="41">
        <v>2010</v>
      </c>
      <c r="P127" s="41">
        <v>2011</v>
      </c>
      <c r="Q127" s="41">
        <v>2012</v>
      </c>
      <c r="R127" s="41">
        <v>2013</v>
      </c>
      <c r="S127" s="41">
        <v>2014</v>
      </c>
      <c r="T127" s="41">
        <v>2015</v>
      </c>
      <c r="U127" s="41">
        <v>2016</v>
      </c>
    </row>
    <row r="128" spans="1:21" x14ac:dyDescent="0.55000000000000004">
      <c r="A128" s="1" t="str">
        <f>'Population Definitions'!$A$2</f>
        <v>Gen 0-4</v>
      </c>
      <c r="B128" s="1" t="s">
        <v>64</v>
      </c>
      <c r="C128" s="2" t="str">
        <f t="shared" ref="C128:C139" si="17">IF(SUMPRODUCT(--(E128:U128&lt;&gt;""))=0,0,"N.A.")</f>
        <v>N.A.</v>
      </c>
      <c r="D128" s="1" t="s">
        <v>16</v>
      </c>
      <c r="E128" s="44"/>
      <c r="F128" s="44"/>
      <c r="G128" s="22"/>
      <c r="H128" s="22"/>
      <c r="I128" s="22"/>
      <c r="J128" s="22"/>
      <c r="K128" s="22"/>
      <c r="L128" s="22">
        <v>5.2922761265423936E-4</v>
      </c>
      <c r="M128" s="22">
        <v>6.0392776725667679E-4</v>
      </c>
      <c r="N128" s="22"/>
      <c r="O128" s="22">
        <v>3.4189491442531811E-3</v>
      </c>
      <c r="P128" s="22">
        <v>2.4121538700258142E-3</v>
      </c>
      <c r="Q128" s="22">
        <v>3.9392836498319383E-3</v>
      </c>
      <c r="R128" s="22">
        <v>3.5164679033504124E-3</v>
      </c>
      <c r="S128" s="22">
        <v>2.9588164734106353E-3</v>
      </c>
      <c r="T128" s="22">
        <v>3.1399449301966085E-3</v>
      </c>
      <c r="U128" s="22"/>
    </row>
    <row r="129" spans="1:21" x14ac:dyDescent="0.55000000000000004">
      <c r="A129" s="1" t="str">
        <f>'Population Definitions'!$A$3</f>
        <v>Gen 5-14</v>
      </c>
      <c r="B129" s="1" t="s">
        <v>64</v>
      </c>
      <c r="C129" s="2" t="str">
        <f t="shared" si="17"/>
        <v>N.A.</v>
      </c>
      <c r="D129" s="1" t="s">
        <v>16</v>
      </c>
      <c r="E129" s="44"/>
      <c r="F129" s="44"/>
      <c r="G129" s="22"/>
      <c r="H129" s="22"/>
      <c r="I129" s="22"/>
      <c r="J129" s="22"/>
      <c r="K129" s="22"/>
      <c r="L129" s="22">
        <v>2.4510040494010194E-3</v>
      </c>
      <c r="M129" s="22">
        <v>9.2859016781902965E-3</v>
      </c>
      <c r="N129" s="22">
        <v>9.011312264829114E-3</v>
      </c>
      <c r="O129" s="22">
        <v>6.5244120630325465E-3</v>
      </c>
      <c r="P129" s="22">
        <v>2.5714953635159353E-3</v>
      </c>
      <c r="Q129" s="22">
        <v>1.445201903963505E-2</v>
      </c>
      <c r="R129" s="22">
        <v>1.5341637240349242E-2</v>
      </c>
      <c r="S129" s="22">
        <v>2.3488400994710223E-2</v>
      </c>
      <c r="T129" s="22">
        <v>3.5981795771309374E-2</v>
      </c>
      <c r="U129" s="22"/>
    </row>
    <row r="130" spans="1:21" x14ac:dyDescent="0.55000000000000004">
      <c r="A130" s="1" t="str">
        <f>'Population Definitions'!$A$4</f>
        <v>Gen 15-64</v>
      </c>
      <c r="B130" s="1" t="s">
        <v>64</v>
      </c>
      <c r="C130" s="2" t="str">
        <f t="shared" si="17"/>
        <v>N.A.</v>
      </c>
      <c r="D130" s="1" t="s">
        <v>16</v>
      </c>
      <c r="E130" s="44"/>
      <c r="F130" s="44"/>
      <c r="G130" s="22"/>
      <c r="H130" s="22"/>
      <c r="I130" s="22"/>
      <c r="J130" s="22"/>
      <c r="K130" s="22"/>
      <c r="L130" s="22">
        <v>3.8233030129930339E-2</v>
      </c>
      <c r="M130" s="22">
        <v>8.6671758993048936E-2</v>
      </c>
      <c r="N130" s="22">
        <v>1.0695292924130136E-2</v>
      </c>
      <c r="O130" s="22"/>
      <c r="P130" s="22">
        <v>1.1798776496836952E-2</v>
      </c>
      <c r="Q130" s="22">
        <v>1.1304565492728184E-2</v>
      </c>
      <c r="R130" s="22">
        <v>1.8324743703583245E-2</v>
      </c>
      <c r="S130" s="22">
        <v>2.3668413192626601E-2</v>
      </c>
      <c r="T130" s="22">
        <v>3.5383741281257208E-2</v>
      </c>
      <c r="U130" s="22"/>
    </row>
    <row r="131" spans="1:21" x14ac:dyDescent="0.55000000000000004">
      <c r="A131" s="1" t="str">
        <f>'Population Definitions'!$A$5</f>
        <v>Gen 65+</v>
      </c>
      <c r="B131" s="1" t="s">
        <v>64</v>
      </c>
      <c r="C131" s="2" t="str">
        <f t="shared" si="17"/>
        <v>N.A.</v>
      </c>
      <c r="D131" s="1" t="s">
        <v>16</v>
      </c>
      <c r="E131" s="44"/>
      <c r="F131" s="44"/>
      <c r="G131" s="22"/>
      <c r="H131" s="22"/>
      <c r="I131" s="22"/>
      <c r="J131" s="22"/>
      <c r="K131" s="22"/>
      <c r="L131" s="47"/>
      <c r="M131" s="22">
        <v>4.3090646740101147E-3</v>
      </c>
      <c r="N131" s="22">
        <v>9.2559064522048651E-3</v>
      </c>
      <c r="O131" s="22">
        <v>0.20151213086809847</v>
      </c>
      <c r="P131" s="22">
        <v>2.0655482170280595E-3</v>
      </c>
      <c r="Q131" s="22">
        <v>1.0698434657505419E-3</v>
      </c>
      <c r="R131" s="22">
        <v>2.4429455832515139E-2</v>
      </c>
      <c r="S131" s="22">
        <v>2.4156735790130814E-2</v>
      </c>
      <c r="T131" s="22">
        <v>2.8157494495804423E-2</v>
      </c>
      <c r="U131" s="22"/>
    </row>
    <row r="132" spans="1:21" x14ac:dyDescent="0.55000000000000004">
      <c r="A132" s="1" t="str">
        <f>'Population Definitions'!$A$6</f>
        <v>PLHIV 15-64</v>
      </c>
      <c r="B132" s="1" t="s">
        <v>64</v>
      </c>
      <c r="C132" s="2" t="str">
        <f t="shared" si="17"/>
        <v>N.A.</v>
      </c>
      <c r="D132" s="1" t="s">
        <v>16</v>
      </c>
      <c r="E132" s="44"/>
      <c r="F132" s="44"/>
      <c r="G132" s="22"/>
      <c r="H132" s="22"/>
      <c r="I132" s="22"/>
      <c r="J132" s="22"/>
      <c r="K132" s="22"/>
      <c r="L132" s="47">
        <v>5.7339932213939805E-5</v>
      </c>
      <c r="M132" s="22">
        <v>1.7056033512808076E-3</v>
      </c>
      <c r="N132" s="22">
        <v>9.3721080583095782E-3</v>
      </c>
      <c r="O132" s="22">
        <v>2.0618383823927083E-4</v>
      </c>
      <c r="P132" s="22">
        <v>1.0294816974218177E-2</v>
      </c>
      <c r="Q132" s="22">
        <v>1.271141527938744E-2</v>
      </c>
      <c r="R132" s="22">
        <v>2.936073962412112E-2</v>
      </c>
      <c r="S132" s="22">
        <v>4.4676274627293462E-2</v>
      </c>
      <c r="T132" s="22">
        <v>6.4016430652093032E-2</v>
      </c>
      <c r="U132" s="22"/>
    </row>
    <row r="133" spans="1:21" x14ac:dyDescent="0.55000000000000004">
      <c r="A133" s="1" t="str">
        <f>'Population Definitions'!$A$7</f>
        <v>PLHIV 65+</v>
      </c>
      <c r="B133" s="1" t="s">
        <v>64</v>
      </c>
      <c r="C133" s="2" t="str">
        <f t="shared" si="17"/>
        <v>N.A.</v>
      </c>
      <c r="D133" s="1" t="s">
        <v>16</v>
      </c>
      <c r="E133" s="44"/>
      <c r="F133" s="44"/>
      <c r="G133" s="22"/>
      <c r="H133" s="22"/>
      <c r="I133" s="22"/>
      <c r="J133" s="22"/>
      <c r="K133" s="22"/>
      <c r="L133" s="22"/>
      <c r="M133" s="22">
        <v>3.3570603749021781E-3</v>
      </c>
      <c r="N133" s="22"/>
      <c r="O133" s="22">
        <v>0.57722328932167566</v>
      </c>
      <c r="P133" s="22">
        <v>8.3442523981736173E-3</v>
      </c>
      <c r="Q133" s="22">
        <v>8.2092375262891055E-3</v>
      </c>
      <c r="R133" s="22">
        <v>2.1247211303516415E-2</v>
      </c>
      <c r="S133" s="22"/>
      <c r="T133" s="22">
        <v>2.9633317168494083E-2</v>
      </c>
      <c r="U133" s="22"/>
    </row>
    <row r="134" spans="1:21" x14ac:dyDescent="0.55000000000000004">
      <c r="A134" s="1" t="str">
        <f>'Population Definitions'!$A$8</f>
        <v>Prisoners</v>
      </c>
      <c r="B134" s="1" t="s">
        <v>64</v>
      </c>
      <c r="C134" s="2" t="str">
        <f t="shared" si="17"/>
        <v>N.A.</v>
      </c>
      <c r="D134" s="1" t="s">
        <v>16</v>
      </c>
      <c r="E134" s="44"/>
      <c r="F134" s="44"/>
      <c r="G134" s="22"/>
      <c r="H134" s="22"/>
      <c r="I134" s="22"/>
      <c r="J134" s="22"/>
      <c r="K134" s="22">
        <v>0</v>
      </c>
      <c r="L134" s="22"/>
      <c r="M134" s="22"/>
      <c r="N134" s="22"/>
      <c r="O134" s="22"/>
      <c r="P134" s="22"/>
      <c r="Q134" s="22"/>
      <c r="R134" s="22"/>
      <c r="S134" s="22"/>
      <c r="T134" s="22"/>
      <c r="U134" s="22"/>
    </row>
    <row r="135" spans="1:21" x14ac:dyDescent="0.55000000000000004">
      <c r="A135" s="1" t="str">
        <f>'Population Definitions'!$A$9</f>
        <v>PLHIV Prisoners</v>
      </c>
      <c r="B135" s="1" t="s">
        <v>64</v>
      </c>
      <c r="C135" s="2" t="str">
        <f t="shared" si="17"/>
        <v>N.A.</v>
      </c>
      <c r="D135" s="1" t="s">
        <v>16</v>
      </c>
      <c r="E135" s="44"/>
      <c r="F135" s="44"/>
      <c r="G135" s="22"/>
      <c r="H135" s="22"/>
      <c r="I135" s="22"/>
      <c r="J135" s="22"/>
      <c r="K135" s="22">
        <v>0</v>
      </c>
      <c r="L135" s="22"/>
      <c r="M135" s="22"/>
      <c r="N135" s="22"/>
      <c r="O135" s="22"/>
      <c r="P135" s="22"/>
      <c r="Q135" s="22"/>
      <c r="R135" s="22"/>
      <c r="S135" s="22"/>
      <c r="T135" s="22"/>
      <c r="U135" s="22"/>
    </row>
    <row r="136" spans="1:21" x14ac:dyDescent="0.55000000000000004">
      <c r="A136" s="1" t="str">
        <f>'Population Definitions'!$A$10</f>
        <v>HCW</v>
      </c>
      <c r="B136" s="1" t="s">
        <v>64</v>
      </c>
      <c r="C136" s="2">
        <f t="shared" si="17"/>
        <v>0</v>
      </c>
      <c r="D136" s="1" t="s">
        <v>16</v>
      </c>
      <c r="E136" s="44"/>
      <c r="F136" s="44"/>
      <c r="G136" s="22"/>
      <c r="H136" s="22"/>
      <c r="I136" s="22"/>
      <c r="J136" s="22"/>
      <c r="K136" s="22"/>
      <c r="L136" s="22"/>
      <c r="M136" s="22"/>
      <c r="N136" s="22"/>
      <c r="O136" s="22"/>
      <c r="P136" s="22"/>
      <c r="Q136" s="22"/>
      <c r="R136" s="22"/>
      <c r="S136" s="22"/>
      <c r="T136" s="22"/>
      <c r="U136" s="22"/>
    </row>
    <row r="137" spans="1:21" x14ac:dyDescent="0.55000000000000004">
      <c r="A137" s="1" t="str">
        <f>'Population Definitions'!$A$11</f>
        <v>PLHIV HCW</v>
      </c>
      <c r="B137" s="1" t="s">
        <v>64</v>
      </c>
      <c r="C137" s="2">
        <f t="shared" si="17"/>
        <v>0</v>
      </c>
      <c r="D137" s="1" t="s">
        <v>16</v>
      </c>
      <c r="E137" s="44"/>
      <c r="F137" s="44"/>
      <c r="G137" s="22"/>
      <c r="H137" s="22"/>
      <c r="I137" s="22"/>
      <c r="J137" s="22"/>
      <c r="K137" s="22"/>
      <c r="L137" s="22"/>
      <c r="M137" s="22"/>
      <c r="N137" s="22"/>
      <c r="O137" s="22"/>
      <c r="P137" s="22"/>
      <c r="Q137" s="22"/>
      <c r="R137" s="22"/>
      <c r="S137" s="22"/>
      <c r="T137" s="22"/>
      <c r="U137" s="22"/>
    </row>
    <row r="138" spans="1:21" x14ac:dyDescent="0.55000000000000004">
      <c r="A138" s="1" t="str">
        <f>'Population Definitions'!$A$12</f>
        <v>Miners</v>
      </c>
      <c r="B138" s="1" t="s">
        <v>64</v>
      </c>
      <c r="C138" s="2" t="str">
        <f t="shared" si="17"/>
        <v>N.A.</v>
      </c>
      <c r="D138" s="1" t="s">
        <v>16</v>
      </c>
      <c r="E138" s="44"/>
      <c r="F138" s="44"/>
      <c r="G138" s="22"/>
      <c r="H138" s="22"/>
      <c r="I138" s="22"/>
      <c r="J138" s="22"/>
      <c r="K138" s="22"/>
      <c r="L138" s="22"/>
      <c r="M138" s="22"/>
      <c r="N138" s="22"/>
      <c r="O138" s="22"/>
      <c r="P138" s="22"/>
      <c r="Q138" s="22"/>
      <c r="R138" s="22"/>
      <c r="S138" s="22"/>
      <c r="T138" s="22">
        <f>T26/(T12+T26+T40)</f>
        <v>2.8622657177373792E-2</v>
      </c>
      <c r="U138" s="22"/>
    </row>
    <row r="139" spans="1:21" x14ac:dyDescent="0.55000000000000004">
      <c r="A139" s="1" t="str">
        <f>'Population Definitions'!$A$13</f>
        <v>PLHIV Miners</v>
      </c>
      <c r="B139" s="1" t="s">
        <v>64</v>
      </c>
      <c r="C139" s="2" t="str">
        <f t="shared" si="17"/>
        <v>N.A.</v>
      </c>
      <c r="D139" s="1" t="s">
        <v>16</v>
      </c>
      <c r="E139" s="44"/>
      <c r="F139" s="44"/>
      <c r="G139" s="22"/>
      <c r="H139" s="22"/>
      <c r="I139" s="22"/>
      <c r="J139" s="22"/>
      <c r="K139" s="22"/>
      <c r="L139" s="22"/>
      <c r="M139" s="22"/>
      <c r="N139" s="22"/>
      <c r="O139" s="22"/>
      <c r="P139" s="22"/>
      <c r="Q139" s="22"/>
      <c r="R139" s="22"/>
      <c r="S139" s="22"/>
      <c r="T139" s="22">
        <f>T27/(T13+T27+T41)</f>
        <v>2.1425928432105449E-2</v>
      </c>
      <c r="U139" s="22"/>
    </row>
    <row r="140" spans="1:21" x14ac:dyDescent="0.55000000000000004">
      <c r="E140" s="37"/>
      <c r="F140" s="37"/>
      <c r="G140" s="37"/>
      <c r="H140" s="37"/>
      <c r="I140" s="37"/>
      <c r="J140" s="37"/>
      <c r="K140" s="37"/>
      <c r="L140" s="37"/>
      <c r="M140" s="37"/>
      <c r="N140" s="37"/>
      <c r="O140" s="37"/>
      <c r="P140" s="37"/>
      <c r="Q140" s="37"/>
      <c r="R140" s="37"/>
      <c r="S140" s="37"/>
      <c r="T140" s="37"/>
      <c r="U140" s="37"/>
    </row>
    <row r="141" spans="1:21" x14ac:dyDescent="0.55000000000000004">
      <c r="A141" s="21" t="s">
        <v>84</v>
      </c>
      <c r="B141" s="1" t="s">
        <v>8</v>
      </c>
      <c r="C141" s="1" t="s">
        <v>9</v>
      </c>
      <c r="D141" s="1"/>
      <c r="E141" s="41">
        <v>2000</v>
      </c>
      <c r="F141" s="41">
        <v>2001</v>
      </c>
      <c r="G141" s="41">
        <v>2002</v>
      </c>
      <c r="H141" s="41">
        <v>2003</v>
      </c>
      <c r="I141" s="41">
        <v>2004</v>
      </c>
      <c r="J141" s="41">
        <v>2005</v>
      </c>
      <c r="K141" s="41">
        <v>2006</v>
      </c>
      <c r="L141" s="41">
        <v>2007</v>
      </c>
      <c r="M141" s="41">
        <v>2008</v>
      </c>
      <c r="N141" s="41">
        <v>2009</v>
      </c>
      <c r="O141" s="41">
        <v>2010</v>
      </c>
      <c r="P141" s="41">
        <v>2011</v>
      </c>
      <c r="Q141" s="41">
        <v>2012</v>
      </c>
      <c r="R141" s="41">
        <v>2013</v>
      </c>
      <c r="S141" s="41">
        <v>2014</v>
      </c>
      <c r="T141" s="41">
        <v>2015</v>
      </c>
      <c r="U141" s="41">
        <v>2016</v>
      </c>
    </row>
    <row r="142" spans="1:21" x14ac:dyDescent="0.55000000000000004">
      <c r="A142" s="1" t="str">
        <f>'Population Definitions'!$A$2</f>
        <v>Gen 0-4</v>
      </c>
      <c r="B142" s="1" t="s">
        <v>64</v>
      </c>
      <c r="C142" s="2" t="str">
        <f t="shared" ref="C142:C153" si="18">IF(SUMPRODUCT(--(E142:U142&lt;&gt;""))=0,0,"N.A.")</f>
        <v>N.A.</v>
      </c>
      <c r="D142" s="1" t="s">
        <v>16</v>
      </c>
      <c r="E142" s="44"/>
      <c r="F142" s="44"/>
      <c r="G142" s="22"/>
      <c r="H142" s="22"/>
      <c r="I142" s="22"/>
      <c r="J142" s="22"/>
      <c r="K142" s="22"/>
      <c r="L142" s="22"/>
      <c r="M142" s="22">
        <v>6.0392776725667679E-4</v>
      </c>
      <c r="N142" s="22"/>
      <c r="O142" s="22"/>
      <c r="P142" s="22"/>
      <c r="Q142" s="22"/>
      <c r="R142" s="22"/>
      <c r="S142" s="22"/>
      <c r="T142" s="22"/>
      <c r="U142" s="22"/>
    </row>
    <row r="143" spans="1:21" x14ac:dyDescent="0.55000000000000004">
      <c r="A143" s="1" t="str">
        <f>'Population Definitions'!$A$3</f>
        <v>Gen 5-14</v>
      </c>
      <c r="B143" s="1" t="s">
        <v>64</v>
      </c>
      <c r="C143" s="2" t="str">
        <f t="shared" si="18"/>
        <v>N.A.</v>
      </c>
      <c r="D143" s="1" t="s">
        <v>16</v>
      </c>
      <c r="E143" s="44"/>
      <c r="F143" s="44"/>
      <c r="G143" s="22"/>
      <c r="H143" s="22"/>
      <c r="I143" s="22"/>
      <c r="J143" s="22"/>
      <c r="K143" s="22">
        <v>0</v>
      </c>
      <c r="L143" s="22"/>
      <c r="M143" s="22"/>
      <c r="N143" s="22"/>
      <c r="O143" s="22"/>
      <c r="P143" s="22"/>
      <c r="Q143" s="22"/>
      <c r="R143" s="22"/>
      <c r="S143" s="22"/>
      <c r="T143" s="22"/>
      <c r="U143" s="22"/>
    </row>
    <row r="144" spans="1:21" x14ac:dyDescent="0.55000000000000004">
      <c r="A144" s="1" t="str">
        <f>'Population Definitions'!$A$4</f>
        <v>Gen 15-64</v>
      </c>
      <c r="B144" s="1" t="s">
        <v>64</v>
      </c>
      <c r="C144" s="2" t="str">
        <f t="shared" si="18"/>
        <v>N.A.</v>
      </c>
      <c r="D144" s="1" t="s">
        <v>16</v>
      </c>
      <c r="E144" s="44"/>
      <c r="F144" s="44"/>
      <c r="G144" s="22"/>
      <c r="H144" s="22"/>
      <c r="I144" s="22"/>
      <c r="J144" s="22"/>
      <c r="K144" s="22"/>
      <c r="L144" s="47">
        <v>4.9833422835870078E-4</v>
      </c>
      <c r="M144" s="22">
        <v>2.507449445102769E-3</v>
      </c>
      <c r="N144" s="22">
        <v>0</v>
      </c>
      <c r="O144" s="22">
        <v>1.6572833678873467E-3</v>
      </c>
      <c r="P144" s="22">
        <v>6.1956607594982672E-4</v>
      </c>
      <c r="Q144" s="22">
        <v>4.8629197217890896E-4</v>
      </c>
      <c r="R144" s="22">
        <v>1.5368352311799637E-3</v>
      </c>
      <c r="S144" s="22">
        <v>6.1179238481197113E-4</v>
      </c>
      <c r="T144" s="22">
        <v>9.2946441399893633E-4</v>
      </c>
      <c r="U144" s="22"/>
    </row>
    <row r="145" spans="1:21" x14ac:dyDescent="0.55000000000000004">
      <c r="A145" s="1" t="str">
        <f>'Population Definitions'!$A$5</f>
        <v>Gen 65+</v>
      </c>
      <c r="B145" s="1" t="s">
        <v>64</v>
      </c>
      <c r="C145" s="2" t="str">
        <f t="shared" si="18"/>
        <v>N.A.</v>
      </c>
      <c r="D145" s="1" t="s">
        <v>16</v>
      </c>
      <c r="E145" s="44"/>
      <c r="F145" s="44"/>
      <c r="G145" s="22"/>
      <c r="H145" s="22"/>
      <c r="I145" s="22"/>
      <c r="J145" s="22"/>
      <c r="K145" s="22">
        <v>0</v>
      </c>
      <c r="L145" s="22"/>
      <c r="M145" s="22"/>
      <c r="N145" s="22"/>
      <c r="O145" s="22"/>
      <c r="P145" s="22"/>
      <c r="Q145" s="22"/>
      <c r="R145" s="22"/>
      <c r="S145" s="22"/>
      <c r="T145" s="22"/>
      <c r="U145" s="22"/>
    </row>
    <row r="146" spans="1:21" x14ac:dyDescent="0.55000000000000004">
      <c r="A146" s="1" t="str">
        <f>'Population Definitions'!$A$6</f>
        <v>PLHIV 15-64</v>
      </c>
      <c r="B146" s="1" t="s">
        <v>64</v>
      </c>
      <c r="C146" s="2" t="str">
        <f t="shared" si="18"/>
        <v>N.A.</v>
      </c>
      <c r="D146" s="1" t="s">
        <v>16</v>
      </c>
      <c r="E146" s="44"/>
      <c r="F146" s="44"/>
      <c r="G146" s="22"/>
      <c r="H146" s="22"/>
      <c r="I146" s="22"/>
      <c r="J146" s="22"/>
      <c r="K146" s="22"/>
      <c r="L146" s="47">
        <v>3.4673320173710174E-4</v>
      </c>
      <c r="M146" s="22">
        <v>4.7033317835537916E-4</v>
      </c>
      <c r="N146" s="22">
        <v>9.3387922055332645E-4</v>
      </c>
      <c r="O146" s="22">
        <v>7.5109826787162957E-4</v>
      </c>
      <c r="P146" s="22">
        <v>7.1563707285781004E-4</v>
      </c>
      <c r="Q146" s="22">
        <v>6.5487122028202386E-4</v>
      </c>
      <c r="R146" s="22">
        <v>3.239912904793915E-4</v>
      </c>
      <c r="S146" s="22">
        <v>8.939836836736098E-4</v>
      </c>
      <c r="T146" s="22">
        <v>2.9206758127859811E-3</v>
      </c>
      <c r="U146" s="22"/>
    </row>
    <row r="147" spans="1:21" x14ac:dyDescent="0.55000000000000004">
      <c r="A147" s="1" t="str">
        <f>'Population Definitions'!$A$7</f>
        <v>PLHIV 65+</v>
      </c>
      <c r="B147" s="1" t="s">
        <v>64</v>
      </c>
      <c r="C147" s="2" t="str">
        <f t="shared" si="18"/>
        <v>N.A.</v>
      </c>
      <c r="D147" s="1" t="s">
        <v>16</v>
      </c>
      <c r="E147" s="44"/>
      <c r="F147" s="44"/>
      <c r="G147" s="22"/>
      <c r="H147" s="22"/>
      <c r="I147" s="22"/>
      <c r="J147" s="22"/>
      <c r="K147" s="22">
        <v>0</v>
      </c>
      <c r="L147" s="22"/>
      <c r="M147" s="22"/>
      <c r="N147" s="22"/>
      <c r="O147" s="22"/>
      <c r="P147" s="22"/>
      <c r="Q147" s="22"/>
      <c r="R147" s="22"/>
      <c r="S147" s="22"/>
      <c r="T147" s="22"/>
      <c r="U147" s="22"/>
    </row>
    <row r="148" spans="1:21" x14ac:dyDescent="0.55000000000000004">
      <c r="A148" s="1" t="str">
        <f>'Population Definitions'!$A$8</f>
        <v>Prisoners</v>
      </c>
      <c r="B148" s="1" t="s">
        <v>64</v>
      </c>
      <c r="C148" s="2" t="str">
        <f t="shared" si="18"/>
        <v>N.A.</v>
      </c>
      <c r="D148" s="1" t="s">
        <v>16</v>
      </c>
      <c r="E148" s="44"/>
      <c r="F148" s="44"/>
      <c r="G148" s="22"/>
      <c r="H148" s="22"/>
      <c r="I148" s="22"/>
      <c r="J148" s="22"/>
      <c r="K148" s="22">
        <v>0</v>
      </c>
      <c r="L148" s="22"/>
      <c r="M148" s="22"/>
      <c r="N148" s="22"/>
      <c r="O148" s="22"/>
      <c r="P148" s="22"/>
      <c r="Q148" s="22"/>
      <c r="R148" s="22"/>
      <c r="S148" s="22"/>
      <c r="T148" s="22"/>
      <c r="U148" s="22"/>
    </row>
    <row r="149" spans="1:21" x14ac:dyDescent="0.55000000000000004">
      <c r="A149" s="1" t="str">
        <f>'Population Definitions'!$A$9</f>
        <v>PLHIV Prisoners</v>
      </c>
      <c r="B149" s="1" t="s">
        <v>64</v>
      </c>
      <c r="C149" s="2" t="str">
        <f t="shared" si="18"/>
        <v>N.A.</v>
      </c>
      <c r="D149" s="1" t="s">
        <v>16</v>
      </c>
      <c r="E149" s="44"/>
      <c r="F149" s="44"/>
      <c r="G149" s="22"/>
      <c r="H149" s="22"/>
      <c r="I149" s="22"/>
      <c r="J149" s="22"/>
      <c r="K149" s="22">
        <v>0</v>
      </c>
      <c r="L149" s="22"/>
      <c r="M149" s="22"/>
      <c r="N149" s="22"/>
      <c r="O149" s="22"/>
      <c r="P149" s="22"/>
      <c r="Q149" s="22"/>
      <c r="R149" s="22"/>
      <c r="S149" s="22"/>
      <c r="T149" s="22"/>
      <c r="U149" s="22"/>
    </row>
    <row r="150" spans="1:21" x14ac:dyDescent="0.55000000000000004">
      <c r="A150" s="1" t="str">
        <f>'Population Definitions'!$A$10</f>
        <v>HCW</v>
      </c>
      <c r="B150" s="1" t="s">
        <v>64</v>
      </c>
      <c r="C150" s="2">
        <f t="shared" si="18"/>
        <v>0</v>
      </c>
      <c r="D150" s="1" t="s">
        <v>16</v>
      </c>
      <c r="E150" s="44"/>
      <c r="F150" s="44"/>
      <c r="G150" s="22"/>
      <c r="H150" s="22"/>
      <c r="I150" s="22"/>
      <c r="J150" s="22"/>
      <c r="K150" s="22"/>
      <c r="L150" s="22"/>
      <c r="M150" s="22"/>
      <c r="N150" s="22"/>
      <c r="O150" s="22"/>
      <c r="P150" s="22"/>
      <c r="Q150" s="22"/>
      <c r="R150" s="22"/>
      <c r="S150" s="22"/>
      <c r="T150" s="22"/>
      <c r="U150" s="22"/>
    </row>
    <row r="151" spans="1:21" x14ac:dyDescent="0.55000000000000004">
      <c r="A151" s="1" t="str">
        <f>'Population Definitions'!$A$11</f>
        <v>PLHIV HCW</v>
      </c>
      <c r="B151" s="1" t="s">
        <v>64</v>
      </c>
      <c r="C151" s="2">
        <f t="shared" si="18"/>
        <v>0</v>
      </c>
      <c r="D151" s="1" t="s">
        <v>16</v>
      </c>
      <c r="E151" s="44"/>
      <c r="F151" s="44"/>
      <c r="G151" s="22"/>
      <c r="H151" s="22"/>
      <c r="I151" s="22"/>
      <c r="J151" s="22"/>
      <c r="K151" s="22"/>
      <c r="L151" s="22"/>
      <c r="M151" s="22"/>
      <c r="N151" s="22"/>
      <c r="O151" s="22"/>
      <c r="P151" s="22"/>
      <c r="Q151" s="22"/>
      <c r="R151" s="22"/>
      <c r="S151" s="22"/>
      <c r="T151" s="22"/>
      <c r="U151" s="22"/>
    </row>
    <row r="152" spans="1:21" x14ac:dyDescent="0.55000000000000004">
      <c r="A152" s="1" t="str">
        <f>'Population Definitions'!$A$12</f>
        <v>Miners</v>
      </c>
      <c r="B152" s="1" t="s">
        <v>64</v>
      </c>
      <c r="C152" s="2" t="str">
        <f t="shared" si="18"/>
        <v>N.A.</v>
      </c>
      <c r="D152" s="1" t="s">
        <v>16</v>
      </c>
      <c r="E152" s="44"/>
      <c r="F152" s="44"/>
      <c r="G152" s="22"/>
      <c r="H152" s="22"/>
      <c r="I152" s="22"/>
      <c r="J152" s="22"/>
      <c r="K152" s="22"/>
      <c r="L152" s="22"/>
      <c r="M152" s="22"/>
      <c r="N152" s="22"/>
      <c r="O152" s="22"/>
      <c r="P152" s="22"/>
      <c r="Q152" s="22"/>
      <c r="R152" s="22"/>
      <c r="S152" s="22"/>
      <c r="T152" s="22">
        <f>T40/(T12+T26+T40)</f>
        <v>2.5442361935443373E-3</v>
      </c>
      <c r="U152" s="22"/>
    </row>
    <row r="153" spans="1:21" x14ac:dyDescent="0.55000000000000004">
      <c r="A153" s="1" t="str">
        <f>'Population Definitions'!$A$13</f>
        <v>PLHIV Miners</v>
      </c>
      <c r="B153" s="1" t="s">
        <v>64</v>
      </c>
      <c r="C153" s="2" t="str">
        <f t="shared" si="18"/>
        <v>N.A.</v>
      </c>
      <c r="D153" s="1" t="s">
        <v>16</v>
      </c>
      <c r="E153" s="44"/>
      <c r="F153" s="44"/>
      <c r="G153" s="22"/>
      <c r="H153" s="22"/>
      <c r="I153" s="22"/>
      <c r="J153" s="22"/>
      <c r="K153" s="22"/>
      <c r="L153" s="22"/>
      <c r="M153" s="22"/>
      <c r="N153" s="22"/>
      <c r="O153" s="22"/>
      <c r="P153" s="22"/>
      <c r="Q153" s="22"/>
      <c r="R153" s="22"/>
      <c r="S153" s="22"/>
      <c r="T153" s="22">
        <f>T41/(T13+T27+T41)</f>
        <v>1.9045269717427066E-3</v>
      </c>
      <c r="U153" s="22"/>
    </row>
    <row r="154" spans="1:21" x14ac:dyDescent="0.55000000000000004">
      <c r="E154" s="37"/>
      <c r="F154" s="37"/>
      <c r="G154" s="37"/>
      <c r="H154" s="37"/>
      <c r="I154" s="37"/>
      <c r="J154" s="37"/>
      <c r="K154" s="37"/>
      <c r="L154" s="37"/>
      <c r="M154" s="37"/>
      <c r="N154" s="37"/>
      <c r="O154" s="37"/>
      <c r="P154" s="37"/>
      <c r="Q154" s="37"/>
      <c r="R154" s="37"/>
      <c r="S154" s="37"/>
      <c r="T154" s="37"/>
      <c r="U154" s="37"/>
    </row>
    <row r="155" spans="1:21" x14ac:dyDescent="0.55000000000000004">
      <c r="A155" s="21" t="s">
        <v>87</v>
      </c>
      <c r="B155" s="1" t="s">
        <v>8</v>
      </c>
      <c r="C155" s="1" t="s">
        <v>9</v>
      </c>
      <c r="D155" s="1"/>
      <c r="E155" s="41">
        <v>2000</v>
      </c>
      <c r="F155" s="41">
        <v>2001</v>
      </c>
      <c r="G155" s="41">
        <v>2002</v>
      </c>
      <c r="H155" s="41">
        <v>2003</v>
      </c>
      <c r="I155" s="41">
        <v>2004</v>
      </c>
      <c r="J155" s="41">
        <v>2005</v>
      </c>
      <c r="K155" s="41">
        <v>2006</v>
      </c>
      <c r="L155" s="41">
        <v>2007</v>
      </c>
      <c r="M155" s="41">
        <v>2008</v>
      </c>
      <c r="N155" s="41">
        <v>2009</v>
      </c>
      <c r="O155" s="41">
        <v>2010</v>
      </c>
      <c r="P155" s="41">
        <v>2011</v>
      </c>
      <c r="Q155" s="41">
        <v>2012</v>
      </c>
      <c r="R155" s="41">
        <v>2013</v>
      </c>
      <c r="S155" s="41">
        <v>2014</v>
      </c>
      <c r="T155" s="41">
        <v>2015</v>
      </c>
      <c r="U155" s="41">
        <v>2016</v>
      </c>
    </row>
    <row r="156" spans="1:21" x14ac:dyDescent="0.55000000000000004">
      <c r="A156" s="1" t="str">
        <f>'Population Definitions'!$A$2</f>
        <v>Gen 0-4</v>
      </c>
      <c r="B156" s="1" t="s">
        <v>64</v>
      </c>
      <c r="C156" s="2" t="str">
        <f t="shared" ref="C156:C167" si="19">IF(SUMPRODUCT(--(E156:U156&lt;&gt;""))=0,0,"N.A.")</f>
        <v>N.A.</v>
      </c>
      <c r="D156" s="1" t="s">
        <v>16</v>
      </c>
      <c r="E156" s="44"/>
      <c r="F156" s="44"/>
      <c r="G156" s="23"/>
      <c r="H156" s="23"/>
      <c r="I156" s="23"/>
      <c r="J156" s="23"/>
      <c r="K156" s="23"/>
      <c r="L156" s="22">
        <v>0.99508223077577806</v>
      </c>
      <c r="M156" s="22">
        <v>0.99738239634612691</v>
      </c>
      <c r="N156" s="22"/>
      <c r="O156" s="22">
        <v>0.99833048988044359</v>
      </c>
      <c r="P156" s="22">
        <v>0.99658621309217221</v>
      </c>
      <c r="Q156" s="22">
        <v>0.99926269644731891</v>
      </c>
      <c r="R156" s="22">
        <v>0.99789209663991685</v>
      </c>
      <c r="S156" s="22">
        <v>0.9989020966985751</v>
      </c>
      <c r="T156" s="22">
        <v>0.99551025733516507</v>
      </c>
      <c r="U156" s="22"/>
    </row>
    <row r="157" spans="1:21" x14ac:dyDescent="0.55000000000000004">
      <c r="A157" s="1" t="str">
        <f>'Population Definitions'!$A$3</f>
        <v>Gen 5-14</v>
      </c>
      <c r="B157" s="1" t="s">
        <v>64</v>
      </c>
      <c r="C157" s="2" t="str">
        <f t="shared" si="19"/>
        <v>N.A.</v>
      </c>
      <c r="D157" s="1" t="s">
        <v>16</v>
      </c>
      <c r="E157" s="44"/>
      <c r="F157" s="44"/>
      <c r="G157" s="23"/>
      <c r="H157" s="23"/>
      <c r="I157" s="23"/>
      <c r="J157" s="23"/>
      <c r="K157" s="23"/>
      <c r="L157" s="22">
        <v>0.97732128746109659</v>
      </c>
      <c r="M157" s="22">
        <v>0.99611604492019556</v>
      </c>
      <c r="N157" s="22">
        <v>0.99251159128685162</v>
      </c>
      <c r="O157" s="22">
        <v>0.99626394281136377</v>
      </c>
      <c r="P157" s="22">
        <v>0.99268779082650127</v>
      </c>
      <c r="Q157" s="22">
        <v>0.99724061306928136</v>
      </c>
      <c r="R157" s="22">
        <v>0.99588902339600271</v>
      </c>
      <c r="S157" s="22">
        <v>0.98744119874621927</v>
      </c>
      <c r="T157" s="22">
        <v>0.98957290722183622</v>
      </c>
      <c r="U157" s="22"/>
    </row>
    <row r="158" spans="1:21" x14ac:dyDescent="0.55000000000000004">
      <c r="A158" s="1" t="str">
        <f>'Population Definitions'!$A$4</f>
        <v>Gen 15-64</v>
      </c>
      <c r="B158" s="1" t="s">
        <v>64</v>
      </c>
      <c r="C158" s="2" t="str">
        <f t="shared" si="19"/>
        <v>N.A.</v>
      </c>
      <c r="D158" s="1" t="s">
        <v>16</v>
      </c>
      <c r="E158" s="44"/>
      <c r="F158" s="44"/>
      <c r="G158" s="23"/>
      <c r="H158" s="23"/>
      <c r="I158" s="23"/>
      <c r="J158" s="23"/>
      <c r="K158" s="23"/>
      <c r="L158" s="22">
        <v>0.94210030442039283</v>
      </c>
      <c r="M158" s="22">
        <v>0.99247192227860381</v>
      </c>
      <c r="N158" s="22">
        <v>0.91657817931275676</v>
      </c>
      <c r="O158" s="22">
        <v>0.9952667488994843</v>
      </c>
      <c r="P158" s="22">
        <v>0.98677653353977746</v>
      </c>
      <c r="Q158" s="22">
        <v>0.98692880324734911</v>
      </c>
      <c r="R158" s="22">
        <v>0.9864616846168196</v>
      </c>
      <c r="S158" s="22">
        <v>0.98189222587549796</v>
      </c>
      <c r="T158" s="22">
        <v>0.974909342873439</v>
      </c>
      <c r="U158" s="22"/>
    </row>
    <row r="159" spans="1:21" x14ac:dyDescent="0.55000000000000004">
      <c r="A159" s="1" t="str">
        <f>'Population Definitions'!$A$5</f>
        <v>Gen 65+</v>
      </c>
      <c r="B159" s="1" t="s">
        <v>64</v>
      </c>
      <c r="C159" s="2" t="str">
        <f t="shared" si="19"/>
        <v>N.A.</v>
      </c>
      <c r="D159" s="1" t="s">
        <v>16</v>
      </c>
      <c r="E159" s="44"/>
      <c r="F159" s="44"/>
      <c r="G159" s="23"/>
      <c r="H159" s="23"/>
      <c r="I159" s="23"/>
      <c r="J159" s="23"/>
      <c r="K159" s="23"/>
      <c r="L159" s="22"/>
      <c r="M159" s="22">
        <v>0.97429754403504387</v>
      </c>
      <c r="N159" s="22">
        <v>0.99586090387304627</v>
      </c>
      <c r="O159" s="22">
        <v>0.88329026359380713</v>
      </c>
      <c r="P159" s="22">
        <v>0.99313708463942052</v>
      </c>
      <c r="Q159" s="22">
        <v>0.99813084858298307</v>
      </c>
      <c r="R159" s="22">
        <v>0.9820903425813684</v>
      </c>
      <c r="S159" s="22">
        <v>0.99194503099269171</v>
      </c>
      <c r="T159" s="22">
        <v>0.98616255261742924</v>
      </c>
      <c r="U159" s="22"/>
    </row>
    <row r="160" spans="1:21" x14ac:dyDescent="0.55000000000000004">
      <c r="A160" s="1" t="str">
        <f>'Population Definitions'!$A$6</f>
        <v>PLHIV 15-64</v>
      </c>
      <c r="B160" s="1" t="s">
        <v>64</v>
      </c>
      <c r="C160" s="2" t="str">
        <f t="shared" si="19"/>
        <v>N.A.</v>
      </c>
      <c r="D160" s="1" t="s">
        <v>16</v>
      </c>
      <c r="E160" s="44"/>
      <c r="F160" s="44"/>
      <c r="G160" s="23"/>
      <c r="H160" s="23"/>
      <c r="I160" s="23"/>
      <c r="J160" s="23"/>
      <c r="K160" s="23"/>
      <c r="L160" s="22">
        <v>0.98140785759070248</v>
      </c>
      <c r="M160" s="22">
        <v>0.98827793532284569</v>
      </c>
      <c r="N160" s="22">
        <v>0.99938998402686385</v>
      </c>
      <c r="O160" s="22">
        <v>0.99896979260715302</v>
      </c>
      <c r="P160" s="22">
        <v>0.98747996683261841</v>
      </c>
      <c r="Q160" s="22">
        <v>0.99160877098659128</v>
      </c>
      <c r="R160" s="22">
        <v>0.98135258084056876</v>
      </c>
      <c r="S160" s="22">
        <v>0.97689352112854067</v>
      </c>
      <c r="T160" s="22">
        <v>0.96806809001841299</v>
      </c>
      <c r="U160" s="22"/>
    </row>
    <row r="161" spans="1:21" x14ac:dyDescent="0.55000000000000004">
      <c r="A161" s="1" t="str">
        <f>'Population Definitions'!$A$7</f>
        <v>PLHIV 65+</v>
      </c>
      <c r="B161" s="1" t="s">
        <v>64</v>
      </c>
      <c r="C161" s="2" t="str">
        <f t="shared" si="19"/>
        <v>N.A.</v>
      </c>
      <c r="D161" s="1" t="s">
        <v>16</v>
      </c>
      <c r="E161" s="44"/>
      <c r="F161" s="44"/>
      <c r="G161" s="23"/>
      <c r="H161" s="23"/>
      <c r="I161" s="23"/>
      <c r="J161" s="23"/>
      <c r="K161" s="23"/>
      <c r="L161" s="22"/>
      <c r="M161" s="22"/>
      <c r="N161" s="22">
        <v>0.98836672599015929</v>
      </c>
      <c r="O161" s="22">
        <v>0.51710816825631123</v>
      </c>
      <c r="P161" s="22"/>
      <c r="Q161" s="22">
        <v>0.99407828638730089</v>
      </c>
      <c r="R161" s="22"/>
      <c r="S161" s="22">
        <v>0.98411853893829937</v>
      </c>
      <c r="T161" s="22">
        <v>0.98684087641644147</v>
      </c>
      <c r="U161" s="22"/>
    </row>
    <row r="162" spans="1:21" x14ac:dyDescent="0.55000000000000004">
      <c r="A162" s="1" t="str">
        <f>'Population Definitions'!$A$8</f>
        <v>Prisoners</v>
      </c>
      <c r="B162" s="1" t="s">
        <v>64</v>
      </c>
      <c r="C162" s="2" t="str">
        <f t="shared" si="19"/>
        <v>N.A.</v>
      </c>
      <c r="D162" s="1" t="s">
        <v>16</v>
      </c>
      <c r="E162" s="44"/>
      <c r="F162" s="44"/>
      <c r="G162" s="23"/>
      <c r="H162" s="23"/>
      <c r="I162" s="23"/>
      <c r="J162" s="23"/>
      <c r="K162" s="23"/>
      <c r="L162" s="22">
        <v>1</v>
      </c>
      <c r="M162" s="22">
        <v>1</v>
      </c>
      <c r="N162" s="22">
        <v>1</v>
      </c>
      <c r="O162" s="22">
        <v>1</v>
      </c>
      <c r="P162" s="22">
        <v>1</v>
      </c>
      <c r="Q162" s="22">
        <v>1</v>
      </c>
      <c r="R162" s="22">
        <v>1</v>
      </c>
      <c r="S162" s="22">
        <v>1</v>
      </c>
      <c r="T162" s="22">
        <v>1</v>
      </c>
      <c r="U162" s="22"/>
    </row>
    <row r="163" spans="1:21" x14ac:dyDescent="0.55000000000000004">
      <c r="A163" s="1" t="str">
        <f>'Population Definitions'!$A$9</f>
        <v>PLHIV Prisoners</v>
      </c>
      <c r="B163" s="1" t="s">
        <v>64</v>
      </c>
      <c r="C163" s="2" t="str">
        <f t="shared" si="19"/>
        <v>N.A.</v>
      </c>
      <c r="D163" s="1" t="s">
        <v>16</v>
      </c>
      <c r="E163" s="44"/>
      <c r="F163" s="44"/>
      <c r="G163" s="23"/>
      <c r="H163" s="23"/>
      <c r="I163" s="23"/>
      <c r="J163" s="23"/>
      <c r="K163" s="23"/>
      <c r="L163" s="22">
        <v>1</v>
      </c>
      <c r="M163" s="22">
        <v>1</v>
      </c>
      <c r="N163" s="22">
        <v>1</v>
      </c>
      <c r="O163" s="22">
        <v>1</v>
      </c>
      <c r="P163" s="22">
        <v>1</v>
      </c>
      <c r="Q163" s="22">
        <v>1</v>
      </c>
      <c r="R163" s="22">
        <v>1</v>
      </c>
      <c r="S163" s="22">
        <v>1</v>
      </c>
      <c r="T163" s="22">
        <v>1</v>
      </c>
      <c r="U163" s="22"/>
    </row>
    <row r="164" spans="1:21" x14ac:dyDescent="0.55000000000000004">
      <c r="A164" s="1" t="str">
        <f>'Population Definitions'!$A$10</f>
        <v>HCW</v>
      </c>
      <c r="B164" s="1" t="s">
        <v>64</v>
      </c>
      <c r="C164" s="2" t="str">
        <f t="shared" si="19"/>
        <v>N.A.</v>
      </c>
      <c r="D164" s="1" t="s">
        <v>16</v>
      </c>
      <c r="E164" s="44">
        <v>1</v>
      </c>
      <c r="F164" s="44"/>
      <c r="G164" s="22"/>
      <c r="H164" s="22"/>
      <c r="I164" s="22"/>
      <c r="J164" s="22"/>
      <c r="K164" s="22"/>
      <c r="L164" s="22"/>
      <c r="M164" s="22"/>
      <c r="N164" s="22"/>
      <c r="O164" s="22"/>
      <c r="P164" s="22"/>
      <c r="Q164" s="22"/>
      <c r="R164" s="22"/>
      <c r="S164" s="22"/>
      <c r="T164" s="22"/>
      <c r="U164" s="22"/>
    </row>
    <row r="165" spans="1:21" x14ac:dyDescent="0.55000000000000004">
      <c r="A165" s="1" t="str">
        <f>'Population Definitions'!$A$11</f>
        <v>PLHIV HCW</v>
      </c>
      <c r="B165" s="1" t="s">
        <v>64</v>
      </c>
      <c r="C165" s="2" t="str">
        <f t="shared" si="19"/>
        <v>N.A.</v>
      </c>
      <c r="D165" s="1" t="s">
        <v>16</v>
      </c>
      <c r="E165" s="44">
        <v>1</v>
      </c>
      <c r="F165" s="44"/>
      <c r="G165" s="22"/>
      <c r="H165" s="22"/>
      <c r="I165" s="22"/>
      <c r="J165" s="22"/>
      <c r="K165" s="22"/>
      <c r="L165" s="22"/>
      <c r="M165" s="22"/>
      <c r="N165" s="22"/>
      <c r="O165" s="22"/>
      <c r="P165" s="22"/>
      <c r="Q165" s="22"/>
      <c r="R165" s="22"/>
      <c r="S165" s="22"/>
      <c r="T165" s="22"/>
      <c r="U165" s="22"/>
    </row>
    <row r="166" spans="1:21" x14ac:dyDescent="0.55000000000000004">
      <c r="A166" s="1" t="str">
        <f>'Population Definitions'!$A$12</f>
        <v>Miners</v>
      </c>
      <c r="B166" s="1" t="s">
        <v>64</v>
      </c>
      <c r="C166" s="2" t="str">
        <f t="shared" si="19"/>
        <v>N.A.</v>
      </c>
      <c r="D166" s="1" t="s">
        <v>16</v>
      </c>
      <c r="E166" s="44"/>
      <c r="F166" s="44"/>
      <c r="G166" s="22"/>
      <c r="H166" s="22"/>
      <c r="I166" s="22"/>
      <c r="J166" s="22"/>
      <c r="K166" s="22"/>
      <c r="L166" s="22"/>
      <c r="M166" s="22"/>
      <c r="N166" s="22"/>
      <c r="O166" s="22"/>
      <c r="P166" s="22"/>
      <c r="Q166" s="22"/>
      <c r="R166" s="22"/>
      <c r="S166" s="22"/>
      <c r="T166" s="22">
        <f>T54/(T54+T68+T82)</f>
        <v>0.96883310662908195</v>
      </c>
      <c r="U166" s="22"/>
    </row>
    <row r="167" spans="1:21" x14ac:dyDescent="0.55000000000000004">
      <c r="A167" s="1" t="str">
        <f>'Population Definitions'!$A$13</f>
        <v>PLHIV Miners</v>
      </c>
      <c r="B167" s="1" t="s">
        <v>64</v>
      </c>
      <c r="C167" s="2" t="str">
        <f t="shared" si="19"/>
        <v>N.A.</v>
      </c>
      <c r="D167" s="1" t="s">
        <v>16</v>
      </c>
      <c r="E167" s="44"/>
      <c r="F167" s="44"/>
      <c r="G167" s="22"/>
      <c r="H167" s="22"/>
      <c r="I167" s="22"/>
      <c r="J167" s="22"/>
      <c r="K167" s="22"/>
      <c r="L167" s="22"/>
      <c r="M167" s="22"/>
      <c r="N167" s="22"/>
      <c r="O167" s="22"/>
      <c r="P167" s="22"/>
      <c r="Q167" s="22"/>
      <c r="R167" s="22"/>
      <c r="S167" s="22"/>
      <c r="T167" s="22">
        <f>T55/(T55+T69+T83)</f>
        <v>0.97666954459615196</v>
      </c>
      <c r="U167" s="22"/>
    </row>
    <row r="168" spans="1:21" x14ac:dyDescent="0.55000000000000004">
      <c r="E168" s="37"/>
      <c r="F168" s="37"/>
      <c r="G168" s="37"/>
      <c r="H168" s="37"/>
      <c r="I168" s="37"/>
      <c r="J168" s="37"/>
      <c r="K168" s="37"/>
      <c r="L168" s="37"/>
      <c r="M168" s="37"/>
      <c r="N168" s="37"/>
      <c r="O168" s="37"/>
      <c r="P168" s="37"/>
      <c r="Q168" s="37"/>
      <c r="R168" s="37"/>
      <c r="S168" s="37"/>
      <c r="T168" s="37"/>
      <c r="U168" s="37"/>
    </row>
    <row r="169" spans="1:21" x14ac:dyDescent="0.55000000000000004">
      <c r="A169" s="21" t="s">
        <v>90</v>
      </c>
      <c r="B169" s="1" t="s">
        <v>8</v>
      </c>
      <c r="C169" s="1" t="s">
        <v>9</v>
      </c>
      <c r="D169" s="1"/>
      <c r="E169" s="41">
        <v>2000</v>
      </c>
      <c r="F169" s="41">
        <v>2001</v>
      </c>
      <c r="G169" s="41">
        <v>2002</v>
      </c>
      <c r="H169" s="41">
        <v>2003</v>
      </c>
      <c r="I169" s="41">
        <v>2004</v>
      </c>
      <c r="J169" s="41">
        <v>2005</v>
      </c>
      <c r="K169" s="41">
        <v>2006</v>
      </c>
      <c r="L169" s="41">
        <v>2007</v>
      </c>
      <c r="M169" s="41">
        <v>2008</v>
      </c>
      <c r="N169" s="41">
        <v>2009</v>
      </c>
      <c r="O169" s="41">
        <v>2010</v>
      </c>
      <c r="P169" s="41">
        <v>2011</v>
      </c>
      <c r="Q169" s="41">
        <v>2012</v>
      </c>
      <c r="R169" s="41">
        <v>2013</v>
      </c>
      <c r="S169" s="41">
        <v>2014</v>
      </c>
      <c r="T169" s="41">
        <v>2015</v>
      </c>
      <c r="U169" s="41">
        <v>2016</v>
      </c>
    </row>
    <row r="170" spans="1:21" x14ac:dyDescent="0.55000000000000004">
      <c r="A170" s="1" t="str">
        <f>'Population Definitions'!$A$2</f>
        <v>Gen 0-4</v>
      </c>
      <c r="B170" s="1" t="s">
        <v>64</v>
      </c>
      <c r="C170" s="2" t="str">
        <f t="shared" ref="C170:C181" si="20">IF(SUMPRODUCT(--(E170:U170&lt;&gt;""))=0,0,"N.A.")</f>
        <v>N.A.</v>
      </c>
      <c r="D170" s="1" t="s">
        <v>16</v>
      </c>
      <c r="E170" s="44"/>
      <c r="F170" s="44"/>
      <c r="G170" s="22"/>
      <c r="H170" s="22"/>
      <c r="I170" s="22"/>
      <c r="J170" s="22"/>
      <c r="K170" s="22"/>
      <c r="L170" s="22">
        <v>4.9177692242219047E-3</v>
      </c>
      <c r="M170" s="22">
        <v>2.6176036538730842E-3</v>
      </c>
      <c r="N170" s="22">
        <v>3.7318714691991919E-4</v>
      </c>
      <c r="O170" s="22">
        <v>1.6695101195564786E-3</v>
      </c>
      <c r="P170" s="22">
        <v>3.4137869078277538E-3</v>
      </c>
      <c r="Q170" s="22">
        <v>3.6865177634057012E-4</v>
      </c>
      <c r="R170" s="22">
        <v>2.1079033600831239E-3</v>
      </c>
      <c r="S170" s="22">
        <v>1.0979033014249006E-3</v>
      </c>
      <c r="T170" s="22">
        <v>4.4897426648349533E-3</v>
      </c>
      <c r="U170" s="22"/>
    </row>
    <row r="171" spans="1:21" x14ac:dyDescent="0.55000000000000004">
      <c r="A171" s="1" t="str">
        <f>'Population Definitions'!$A$3</f>
        <v>Gen 5-14</v>
      </c>
      <c r="B171" s="1" t="s">
        <v>64</v>
      </c>
      <c r="C171" s="2" t="str">
        <f t="shared" si="20"/>
        <v>N.A.</v>
      </c>
      <c r="D171" s="1" t="s">
        <v>16</v>
      </c>
      <c r="E171" s="44"/>
      <c r="F171" s="44"/>
      <c r="G171" s="22"/>
      <c r="H171" s="22"/>
      <c r="I171" s="22"/>
      <c r="J171" s="22"/>
      <c r="K171" s="22"/>
      <c r="L171" s="22">
        <v>2.0569064860865859E-2</v>
      </c>
      <c r="M171" s="22">
        <v>3.8839550798044071E-3</v>
      </c>
      <c r="N171" s="22">
        <v>7.4884087131484572E-3</v>
      </c>
      <c r="O171" s="22">
        <v>3.7360571886362231E-3</v>
      </c>
      <c r="P171" s="22">
        <v>7.3122091734987814E-3</v>
      </c>
      <c r="Q171" s="22">
        <v>2.7593869307186263E-3</v>
      </c>
      <c r="R171" s="22">
        <v>4.110976603997331E-3</v>
      </c>
      <c r="S171" s="22">
        <v>1.2558801253780803E-2</v>
      </c>
      <c r="T171" s="22">
        <v>1.0427092778163748E-2</v>
      </c>
      <c r="U171" s="22"/>
    </row>
    <row r="172" spans="1:21" x14ac:dyDescent="0.55000000000000004">
      <c r="A172" s="1" t="str">
        <f>'Population Definitions'!$A$4</f>
        <v>Gen 15-64</v>
      </c>
      <c r="B172" s="1" t="s">
        <v>64</v>
      </c>
      <c r="C172" s="2" t="str">
        <f t="shared" si="20"/>
        <v>N.A.</v>
      </c>
      <c r="D172" s="1" t="s">
        <v>16</v>
      </c>
      <c r="E172" s="44"/>
      <c r="F172" s="44"/>
      <c r="G172" s="22"/>
      <c r="H172" s="22"/>
      <c r="I172" s="22"/>
      <c r="J172" s="22"/>
      <c r="K172" s="22"/>
      <c r="L172" s="22">
        <v>5.2950333335216197E-2</v>
      </c>
      <c r="M172" s="22">
        <v>6.7325801125529055E-3</v>
      </c>
      <c r="N172" s="22">
        <v>8.1448713956253166E-2</v>
      </c>
      <c r="O172" s="22"/>
      <c r="P172" s="22">
        <v>1.197720051920058E-2</v>
      </c>
      <c r="Q172" s="22">
        <v>1.1645978576902994E-2</v>
      </c>
      <c r="R172" s="22">
        <v>1.2781278109280859E-2</v>
      </c>
      <c r="S172" s="22">
        <v>1.7478650241238399E-2</v>
      </c>
      <c r="T172" s="22">
        <v>2.4538291749103221E-2</v>
      </c>
      <c r="U172" s="22"/>
    </row>
    <row r="173" spans="1:21" x14ac:dyDescent="0.55000000000000004">
      <c r="A173" s="1" t="str">
        <f>'Population Definitions'!$A$5</f>
        <v>Gen 65+</v>
      </c>
      <c r="B173" s="1" t="s">
        <v>64</v>
      </c>
      <c r="C173" s="2" t="str">
        <f t="shared" si="20"/>
        <v>N.A.</v>
      </c>
      <c r="D173" s="1" t="s">
        <v>16</v>
      </c>
      <c r="E173" s="44"/>
      <c r="F173" s="44"/>
      <c r="G173" s="22"/>
      <c r="H173" s="22"/>
      <c r="I173" s="22"/>
      <c r="J173" s="22"/>
      <c r="K173" s="22"/>
      <c r="L173" s="22"/>
      <c r="M173" s="22">
        <v>2.5702455964956128E-2</v>
      </c>
      <c r="N173" s="22">
        <v>4.1390961269537375E-3</v>
      </c>
      <c r="O173" s="22">
        <v>0.11332816318290066</v>
      </c>
      <c r="P173" s="22">
        <v>3.4314576802897171E-3</v>
      </c>
      <c r="Q173" s="22">
        <v>1.8691514170169371E-3</v>
      </c>
      <c r="R173" s="22">
        <v>1.7909657418631576E-2</v>
      </c>
      <c r="S173" s="22">
        <v>8.0549690073083019E-3</v>
      </c>
      <c r="T173" s="22">
        <v>1.3837447382570809E-2</v>
      </c>
      <c r="U173" s="22"/>
    </row>
    <row r="174" spans="1:21" x14ac:dyDescent="0.55000000000000004">
      <c r="A174" s="1" t="str">
        <f>'Population Definitions'!$A$6</f>
        <v>PLHIV 15-64</v>
      </c>
      <c r="B174" s="1" t="s">
        <v>64</v>
      </c>
      <c r="C174" s="2" t="str">
        <f t="shared" si="20"/>
        <v>N.A.</v>
      </c>
      <c r="D174" s="1" t="s">
        <v>16</v>
      </c>
      <c r="E174" s="44"/>
      <c r="F174" s="44"/>
      <c r="G174" s="22"/>
      <c r="H174" s="22"/>
      <c r="I174" s="22"/>
      <c r="J174" s="22"/>
      <c r="K174" s="22"/>
      <c r="L174" s="22">
        <v>1.7023791067824229E-2</v>
      </c>
      <c r="M174" s="22">
        <v>1.1340661450063842E-2</v>
      </c>
      <c r="N174" s="22"/>
      <c r="O174" s="23">
        <v>2.5217315492708685E-4</v>
      </c>
      <c r="P174" s="22">
        <v>1.1862264358152672E-2</v>
      </c>
      <c r="Q174" s="22">
        <v>7.9225285695808424E-3</v>
      </c>
      <c r="R174" s="22">
        <v>1.8280955614933883E-2</v>
      </c>
      <c r="S174" s="22">
        <v>2.2990114770393436E-2</v>
      </c>
      <c r="T174" s="22">
        <v>3.1123971516729347E-2</v>
      </c>
      <c r="U174" s="22"/>
    </row>
    <row r="175" spans="1:21" x14ac:dyDescent="0.55000000000000004">
      <c r="A175" s="1" t="str">
        <f>'Population Definitions'!$A$7</f>
        <v>PLHIV 65+</v>
      </c>
      <c r="B175" s="1" t="s">
        <v>64</v>
      </c>
      <c r="C175" s="2" t="str">
        <f t="shared" si="20"/>
        <v>N.A.</v>
      </c>
      <c r="D175" s="1" t="s">
        <v>16</v>
      </c>
      <c r="E175" s="44"/>
      <c r="F175" s="44"/>
      <c r="G175" s="22"/>
      <c r="H175" s="22"/>
      <c r="I175" s="22"/>
      <c r="J175" s="22"/>
      <c r="K175" s="22"/>
      <c r="L175" s="22"/>
      <c r="M175" s="22"/>
      <c r="N175" s="22">
        <v>1.1633274009840783E-2</v>
      </c>
      <c r="O175" s="22"/>
      <c r="P175" s="22"/>
      <c r="Q175" s="22">
        <v>5.9217136126991539E-3</v>
      </c>
      <c r="R175" s="22"/>
      <c r="S175" s="22">
        <v>1.5881461061700686E-2</v>
      </c>
      <c r="T175" s="22">
        <v>1.3159123583558505E-2</v>
      </c>
      <c r="U175" s="22"/>
    </row>
    <row r="176" spans="1:21" x14ac:dyDescent="0.55000000000000004">
      <c r="A176" s="1" t="str">
        <f>'Population Definitions'!$A$8</f>
        <v>Prisoners</v>
      </c>
      <c r="B176" s="1" t="s">
        <v>64</v>
      </c>
      <c r="C176" s="2" t="str">
        <f t="shared" si="20"/>
        <v>N.A.</v>
      </c>
      <c r="D176" s="1" t="s">
        <v>16</v>
      </c>
      <c r="E176" s="44"/>
      <c r="F176" s="44"/>
      <c r="G176" s="22"/>
      <c r="H176" s="22"/>
      <c r="I176" s="22"/>
      <c r="J176" s="22"/>
      <c r="K176" s="22">
        <v>0</v>
      </c>
      <c r="L176" s="22"/>
      <c r="M176" s="22"/>
      <c r="N176" s="22"/>
      <c r="O176" s="22"/>
      <c r="P176" s="22"/>
      <c r="Q176" s="22"/>
      <c r="R176" s="22"/>
      <c r="S176" s="22"/>
      <c r="T176" s="22"/>
      <c r="U176" s="22"/>
    </row>
    <row r="177" spans="1:21" x14ac:dyDescent="0.55000000000000004">
      <c r="A177" s="1" t="str">
        <f>'Population Definitions'!$A$9</f>
        <v>PLHIV Prisoners</v>
      </c>
      <c r="B177" s="1" t="s">
        <v>64</v>
      </c>
      <c r="C177" s="2" t="str">
        <f t="shared" si="20"/>
        <v>N.A.</v>
      </c>
      <c r="D177" s="1" t="s">
        <v>16</v>
      </c>
      <c r="E177" s="44"/>
      <c r="F177" s="44"/>
      <c r="G177" s="22"/>
      <c r="H177" s="22"/>
      <c r="I177" s="22"/>
      <c r="J177" s="22"/>
      <c r="K177" s="22">
        <v>0</v>
      </c>
      <c r="L177" s="22"/>
      <c r="M177" s="22"/>
      <c r="N177" s="22"/>
      <c r="O177" s="22"/>
      <c r="P177" s="22"/>
      <c r="Q177" s="22"/>
      <c r="R177" s="22"/>
      <c r="S177" s="22"/>
      <c r="T177" s="22"/>
      <c r="U177" s="22"/>
    </row>
    <row r="178" spans="1:21" x14ac:dyDescent="0.55000000000000004">
      <c r="A178" s="1" t="str">
        <f>'Population Definitions'!$A$10</f>
        <v>HCW</v>
      </c>
      <c r="B178" s="1" t="s">
        <v>64</v>
      </c>
      <c r="C178" s="2">
        <f t="shared" si="20"/>
        <v>0</v>
      </c>
      <c r="D178" s="1" t="s">
        <v>16</v>
      </c>
      <c r="E178" s="44"/>
      <c r="F178" s="44"/>
      <c r="G178" s="22"/>
      <c r="H178" s="22"/>
      <c r="I178" s="22"/>
      <c r="J178" s="22"/>
      <c r="K178" s="22"/>
      <c r="L178" s="22"/>
      <c r="M178" s="22"/>
      <c r="N178" s="22"/>
      <c r="O178" s="22"/>
      <c r="P178" s="22"/>
      <c r="Q178" s="22"/>
      <c r="R178" s="22"/>
      <c r="S178" s="22"/>
      <c r="T178" s="22"/>
      <c r="U178" s="22"/>
    </row>
    <row r="179" spans="1:21" x14ac:dyDescent="0.55000000000000004">
      <c r="A179" s="1" t="str">
        <f>'Population Definitions'!$A$11</f>
        <v>PLHIV HCW</v>
      </c>
      <c r="B179" s="1" t="s">
        <v>64</v>
      </c>
      <c r="C179" s="2">
        <f t="shared" si="20"/>
        <v>0</v>
      </c>
      <c r="D179" s="1" t="s">
        <v>16</v>
      </c>
      <c r="E179" s="44"/>
      <c r="F179" s="44"/>
      <c r="G179" s="22"/>
      <c r="H179" s="22"/>
      <c r="I179" s="22"/>
      <c r="J179" s="22"/>
      <c r="K179" s="22"/>
      <c r="L179" s="22"/>
      <c r="M179" s="22"/>
      <c r="N179" s="22"/>
      <c r="O179" s="22"/>
      <c r="P179" s="22"/>
      <c r="Q179" s="22"/>
      <c r="R179" s="22"/>
      <c r="S179" s="22"/>
      <c r="T179" s="22"/>
      <c r="U179" s="22"/>
    </row>
    <row r="180" spans="1:21" x14ac:dyDescent="0.55000000000000004">
      <c r="A180" s="1" t="str">
        <f>'Population Definitions'!$A$12</f>
        <v>Miners</v>
      </c>
      <c r="B180" s="1" t="s">
        <v>64</v>
      </c>
      <c r="C180" s="2" t="str">
        <f t="shared" si="20"/>
        <v>N.A.</v>
      </c>
      <c r="D180" s="1" t="s">
        <v>16</v>
      </c>
      <c r="E180" s="44"/>
      <c r="F180" s="44"/>
      <c r="G180" s="22"/>
      <c r="H180" s="22"/>
      <c r="I180" s="22"/>
      <c r="J180" s="22"/>
      <c r="K180" s="22"/>
      <c r="L180" s="22"/>
      <c r="M180" s="22"/>
      <c r="N180" s="22"/>
      <c r="O180" s="22"/>
      <c r="P180" s="22"/>
      <c r="Q180" s="22"/>
      <c r="R180" s="22"/>
      <c r="S180" s="22"/>
      <c r="T180" s="22">
        <f>T68/(T54+T68+T82)</f>
        <v>2.8622657177373789E-2</v>
      </c>
      <c r="U180" s="22"/>
    </row>
    <row r="181" spans="1:21" x14ac:dyDescent="0.55000000000000004">
      <c r="A181" s="1" t="str">
        <f>'Population Definitions'!$A$13</f>
        <v>PLHIV Miners</v>
      </c>
      <c r="B181" s="1" t="s">
        <v>64</v>
      </c>
      <c r="C181" s="2" t="str">
        <f t="shared" si="20"/>
        <v>N.A.</v>
      </c>
      <c r="D181" s="1" t="s">
        <v>16</v>
      </c>
      <c r="E181" s="44"/>
      <c r="F181" s="44"/>
      <c r="G181" s="22"/>
      <c r="H181" s="22"/>
      <c r="I181" s="22"/>
      <c r="J181" s="22"/>
      <c r="K181" s="22"/>
      <c r="L181" s="22"/>
      <c r="M181" s="22"/>
      <c r="N181" s="22"/>
      <c r="O181" s="22"/>
      <c r="P181" s="22"/>
      <c r="Q181" s="22"/>
      <c r="R181" s="22"/>
      <c r="S181" s="22"/>
      <c r="T181" s="22">
        <f>T69/(T55+T69+T83)</f>
        <v>2.1425928432105446E-2</v>
      </c>
      <c r="U181" s="22"/>
    </row>
    <row r="182" spans="1:21" x14ac:dyDescent="0.55000000000000004">
      <c r="E182" s="37"/>
      <c r="F182" s="37"/>
      <c r="G182" s="37"/>
      <c r="H182" s="37"/>
      <c r="I182" s="37"/>
      <c r="J182" s="37"/>
      <c r="K182" s="37"/>
      <c r="L182" s="37"/>
      <c r="M182" s="37"/>
      <c r="N182" s="37"/>
      <c r="O182" s="37"/>
      <c r="P182" s="37"/>
      <c r="Q182" s="37"/>
      <c r="R182" s="37"/>
      <c r="S182" s="37"/>
      <c r="T182" s="37"/>
      <c r="U182" s="37"/>
    </row>
    <row r="183" spans="1:21" x14ac:dyDescent="0.55000000000000004">
      <c r="A183" s="21" t="s">
        <v>93</v>
      </c>
      <c r="B183" s="1" t="s">
        <v>8</v>
      </c>
      <c r="C183" s="1" t="s">
        <v>9</v>
      </c>
      <c r="D183" s="1"/>
      <c r="E183" s="41">
        <v>2000</v>
      </c>
      <c r="F183" s="41">
        <v>2001</v>
      </c>
      <c r="G183" s="41">
        <v>2002</v>
      </c>
      <c r="H183" s="41">
        <v>2003</v>
      </c>
      <c r="I183" s="41">
        <v>2004</v>
      </c>
      <c r="J183" s="41">
        <v>2005</v>
      </c>
      <c r="K183" s="41">
        <v>2006</v>
      </c>
      <c r="L183" s="41">
        <v>2007</v>
      </c>
      <c r="M183" s="41">
        <v>2008</v>
      </c>
      <c r="N183" s="41">
        <v>2009</v>
      </c>
      <c r="O183" s="41">
        <v>2010</v>
      </c>
      <c r="P183" s="41">
        <v>2011</v>
      </c>
      <c r="Q183" s="41">
        <v>2012</v>
      </c>
      <c r="R183" s="41">
        <v>2013</v>
      </c>
      <c r="S183" s="41">
        <v>2014</v>
      </c>
      <c r="T183" s="41">
        <v>2015</v>
      </c>
      <c r="U183" s="41">
        <v>2016</v>
      </c>
    </row>
    <row r="184" spans="1:21" x14ac:dyDescent="0.55000000000000004">
      <c r="A184" s="1" t="str">
        <f>'Population Definitions'!$A$2</f>
        <v>Gen 0-4</v>
      </c>
      <c r="B184" s="1" t="s">
        <v>64</v>
      </c>
      <c r="C184" s="2" t="str">
        <f t="shared" ref="C184:C195" si="21">IF(SUMPRODUCT(--(E184:U184&lt;&gt;""))=0,0,"N.A.")</f>
        <v>N.A.</v>
      </c>
      <c r="D184" s="1" t="s">
        <v>16</v>
      </c>
      <c r="E184" s="44"/>
      <c r="F184" s="44"/>
      <c r="G184" s="22"/>
      <c r="H184" s="22"/>
      <c r="I184" s="22"/>
      <c r="J184" s="22"/>
      <c r="K184" s="22">
        <v>0</v>
      </c>
      <c r="L184" s="22"/>
      <c r="M184" s="22"/>
      <c r="N184" s="22"/>
      <c r="O184" s="22"/>
      <c r="P184" s="22"/>
      <c r="Q184" s="22">
        <v>3.6865177634057012E-4</v>
      </c>
      <c r="R184" s="22"/>
      <c r="S184" s="22"/>
      <c r="T184" s="22"/>
      <c r="U184" s="22"/>
    </row>
    <row r="185" spans="1:21" x14ac:dyDescent="0.55000000000000004">
      <c r="A185" s="1" t="str">
        <f>'Population Definitions'!$A$3</f>
        <v>Gen 5-14</v>
      </c>
      <c r="B185" s="1" t="s">
        <v>64</v>
      </c>
      <c r="C185" s="2" t="str">
        <f t="shared" si="21"/>
        <v>N.A.</v>
      </c>
      <c r="D185" s="1" t="s">
        <v>16</v>
      </c>
      <c r="E185" s="44"/>
      <c r="F185" s="44"/>
      <c r="G185" s="22"/>
      <c r="H185" s="22"/>
      <c r="I185" s="22"/>
      <c r="J185" s="22"/>
      <c r="K185" s="22"/>
      <c r="L185" s="22">
        <v>2.1096476780375238E-3</v>
      </c>
      <c r="M185" s="22"/>
      <c r="N185" s="22"/>
      <c r="O185" s="22"/>
      <c r="P185" s="22"/>
      <c r="Q185" s="22"/>
      <c r="R185" s="22"/>
      <c r="S185" s="22"/>
      <c r="T185" s="22"/>
      <c r="U185" s="22"/>
    </row>
    <row r="186" spans="1:21" x14ac:dyDescent="0.55000000000000004">
      <c r="A186" s="1" t="str">
        <f>'Population Definitions'!$A$4</f>
        <v>Gen 15-64</v>
      </c>
      <c r="B186" s="1" t="s">
        <v>64</v>
      </c>
      <c r="C186" s="2" t="str">
        <f t="shared" si="21"/>
        <v>N.A.</v>
      </c>
      <c r="D186" s="1" t="s">
        <v>16</v>
      </c>
      <c r="E186" s="44"/>
      <c r="F186" s="44"/>
      <c r="G186" s="22"/>
      <c r="H186" s="22"/>
      <c r="I186" s="22"/>
      <c r="J186" s="22"/>
      <c r="K186" s="22"/>
      <c r="L186" s="22">
        <v>4.9493622443909282E-3</v>
      </c>
      <c r="M186" s="22">
        <v>7.9549760884337995E-4</v>
      </c>
      <c r="N186" s="22">
        <v>1.9731067309900598E-3</v>
      </c>
      <c r="O186" s="22">
        <v>4.7332511005157016E-3</v>
      </c>
      <c r="P186" s="22">
        <v>1.24626594102191E-3</v>
      </c>
      <c r="Q186" s="22">
        <v>1.4252181757478341E-3</v>
      </c>
      <c r="R186" s="22">
        <v>7.5703727389945911E-4</v>
      </c>
      <c r="S186" s="22">
        <v>6.2912388326368603E-4</v>
      </c>
      <c r="T186" s="22">
        <v>5.5236537745792383E-4</v>
      </c>
      <c r="U186" s="22"/>
    </row>
    <row r="187" spans="1:21" x14ac:dyDescent="0.55000000000000004">
      <c r="A187" s="1" t="str">
        <f>'Population Definitions'!$A$5</f>
        <v>Gen 65+</v>
      </c>
      <c r="B187" s="1" t="s">
        <v>64</v>
      </c>
      <c r="C187" s="2" t="str">
        <f t="shared" si="21"/>
        <v>N.A.</v>
      </c>
      <c r="D187" s="1" t="s">
        <v>16</v>
      </c>
      <c r="E187" s="44"/>
      <c r="F187" s="44"/>
      <c r="G187" s="22"/>
      <c r="H187" s="22"/>
      <c r="I187" s="22"/>
      <c r="J187" s="22"/>
      <c r="K187" s="22"/>
      <c r="L187" s="22"/>
      <c r="M187" s="22"/>
      <c r="N187" s="22"/>
      <c r="O187" s="22">
        <v>3.3815732232921076E-3</v>
      </c>
      <c r="P187" s="22">
        <v>3.4314576802897171E-3</v>
      </c>
      <c r="Q187" s="22"/>
      <c r="R187" s="22"/>
      <c r="S187" s="22"/>
      <c r="T187" s="22"/>
      <c r="U187" s="22"/>
    </row>
    <row r="188" spans="1:21" x14ac:dyDescent="0.55000000000000004">
      <c r="A188" s="1" t="str">
        <f>'Population Definitions'!$A$6</f>
        <v>PLHIV 15-64</v>
      </c>
      <c r="B188" s="1" t="s">
        <v>64</v>
      </c>
      <c r="C188" s="2" t="str">
        <f t="shared" si="21"/>
        <v>N.A.</v>
      </c>
      <c r="D188" s="1" t="s">
        <v>16</v>
      </c>
      <c r="E188" s="44"/>
      <c r="F188" s="44"/>
      <c r="G188" s="22"/>
      <c r="H188" s="22"/>
      <c r="I188" s="22"/>
      <c r="J188" s="22"/>
      <c r="K188" s="22"/>
      <c r="L188" s="22">
        <v>1.5683513414732528E-3</v>
      </c>
      <c r="M188" s="22">
        <v>3.8140322709057822E-4</v>
      </c>
      <c r="N188" s="22">
        <v>6.1001597313619239E-4</v>
      </c>
      <c r="O188" s="22">
        <v>7.780342379198811E-4</v>
      </c>
      <c r="P188" s="22">
        <v>6.5776880922886012E-4</v>
      </c>
      <c r="Q188" s="22">
        <v>4.6870044382786314E-4</v>
      </c>
      <c r="R188" s="22">
        <v>3.6646354449732703E-4</v>
      </c>
      <c r="S188" s="22">
        <v>1.1636410106594085E-4</v>
      </c>
      <c r="T188" s="22">
        <v>8.0793846485765531E-4</v>
      </c>
      <c r="U188" s="22"/>
    </row>
    <row r="189" spans="1:21" x14ac:dyDescent="0.55000000000000004">
      <c r="A189" s="1" t="str">
        <f>'Population Definitions'!$A$7</f>
        <v>PLHIV 65+</v>
      </c>
      <c r="B189" s="1" t="s">
        <v>64</v>
      </c>
      <c r="C189" s="2" t="str">
        <f t="shared" si="21"/>
        <v>N.A.</v>
      </c>
      <c r="D189" s="1" t="s">
        <v>16</v>
      </c>
      <c r="E189" s="44"/>
      <c r="F189" s="44"/>
      <c r="G189" s="22"/>
      <c r="H189" s="22"/>
      <c r="I189" s="22"/>
      <c r="J189" s="22"/>
      <c r="K189" s="22">
        <v>0</v>
      </c>
      <c r="L189" s="22"/>
      <c r="M189" s="22"/>
      <c r="N189" s="22"/>
      <c r="O189" s="22"/>
      <c r="P189" s="22"/>
      <c r="Q189" s="22"/>
      <c r="R189" s="22"/>
      <c r="S189" s="22"/>
      <c r="T189" s="22"/>
      <c r="U189" s="22"/>
    </row>
    <row r="190" spans="1:21" x14ac:dyDescent="0.55000000000000004">
      <c r="A190" s="1" t="str">
        <f>'Population Definitions'!$A$8</f>
        <v>Prisoners</v>
      </c>
      <c r="B190" s="1" t="s">
        <v>64</v>
      </c>
      <c r="C190" s="2" t="str">
        <f t="shared" si="21"/>
        <v>N.A.</v>
      </c>
      <c r="D190" s="1" t="s">
        <v>16</v>
      </c>
      <c r="E190" s="44"/>
      <c r="F190" s="44"/>
      <c r="G190" s="22"/>
      <c r="H190" s="22"/>
      <c r="I190" s="22"/>
      <c r="J190" s="22"/>
      <c r="K190" s="22">
        <v>0</v>
      </c>
      <c r="L190" s="22"/>
      <c r="M190" s="22"/>
      <c r="N190" s="22"/>
      <c r="O190" s="22"/>
      <c r="P190" s="22"/>
      <c r="Q190" s="22"/>
      <c r="R190" s="22"/>
      <c r="S190" s="22"/>
      <c r="T190" s="22"/>
      <c r="U190" s="22"/>
    </row>
    <row r="191" spans="1:21" x14ac:dyDescent="0.55000000000000004">
      <c r="A191" s="1" t="str">
        <f>'Population Definitions'!$A$9</f>
        <v>PLHIV Prisoners</v>
      </c>
      <c r="B191" s="1" t="s">
        <v>64</v>
      </c>
      <c r="C191" s="2">
        <f t="shared" si="21"/>
        <v>0</v>
      </c>
      <c r="D191" s="1" t="s">
        <v>16</v>
      </c>
      <c r="E191" s="44"/>
      <c r="F191" s="44"/>
      <c r="G191" s="22"/>
      <c r="H191" s="22"/>
      <c r="I191" s="22"/>
      <c r="J191" s="22"/>
      <c r="K191" s="22"/>
      <c r="L191" s="22"/>
      <c r="M191" s="22"/>
      <c r="N191" s="22"/>
      <c r="O191" s="22"/>
      <c r="P191" s="22"/>
      <c r="Q191" s="22"/>
      <c r="R191" s="22"/>
      <c r="S191" s="22"/>
      <c r="T191" s="22"/>
      <c r="U191" s="22"/>
    </row>
    <row r="192" spans="1:21" x14ac:dyDescent="0.55000000000000004">
      <c r="A192" s="1" t="str">
        <f>'Population Definitions'!$A$10</f>
        <v>HCW</v>
      </c>
      <c r="B192" s="1" t="s">
        <v>64</v>
      </c>
      <c r="C192" s="2">
        <f t="shared" si="21"/>
        <v>0</v>
      </c>
      <c r="D192" s="1" t="s">
        <v>16</v>
      </c>
      <c r="E192" s="44"/>
      <c r="F192" s="44"/>
      <c r="G192" s="22"/>
      <c r="H192" s="22"/>
      <c r="I192" s="22"/>
      <c r="J192" s="22"/>
      <c r="K192" s="22"/>
      <c r="L192" s="22"/>
      <c r="M192" s="22"/>
      <c r="N192" s="22"/>
      <c r="O192" s="22"/>
      <c r="P192" s="22"/>
      <c r="Q192" s="22"/>
      <c r="R192" s="22"/>
      <c r="S192" s="22"/>
      <c r="T192" s="22"/>
      <c r="U192" s="22"/>
    </row>
    <row r="193" spans="1:21" x14ac:dyDescent="0.55000000000000004">
      <c r="A193" s="1" t="str">
        <f>'Population Definitions'!$A$11</f>
        <v>PLHIV HCW</v>
      </c>
      <c r="B193" s="1" t="s">
        <v>64</v>
      </c>
      <c r="C193" s="2">
        <f t="shared" si="21"/>
        <v>0</v>
      </c>
      <c r="D193" s="1" t="s">
        <v>16</v>
      </c>
      <c r="E193" s="44"/>
      <c r="F193" s="44"/>
      <c r="G193" s="22"/>
      <c r="H193" s="22"/>
      <c r="I193" s="22"/>
      <c r="J193" s="22"/>
      <c r="K193" s="22"/>
      <c r="L193" s="22"/>
      <c r="M193" s="22"/>
      <c r="N193" s="22"/>
      <c r="O193" s="22"/>
      <c r="P193" s="22"/>
      <c r="Q193" s="22"/>
      <c r="R193" s="22"/>
      <c r="S193" s="22"/>
      <c r="T193" s="22"/>
      <c r="U193" s="22"/>
    </row>
    <row r="194" spans="1:21" x14ac:dyDescent="0.55000000000000004">
      <c r="A194" s="1" t="str">
        <f>'Population Definitions'!$A$12</f>
        <v>Miners</v>
      </c>
      <c r="B194" s="1" t="s">
        <v>64</v>
      </c>
      <c r="C194" s="2" t="str">
        <f t="shared" si="21"/>
        <v>N.A.</v>
      </c>
      <c r="D194" s="1" t="s">
        <v>16</v>
      </c>
      <c r="E194" s="44"/>
      <c r="F194" s="44"/>
      <c r="G194" s="22"/>
      <c r="H194" s="22"/>
      <c r="I194" s="22"/>
      <c r="J194" s="22"/>
      <c r="K194" s="22"/>
      <c r="L194" s="22"/>
      <c r="M194" s="22"/>
      <c r="N194" s="22"/>
      <c r="O194" s="22"/>
      <c r="P194" s="22"/>
      <c r="Q194" s="22"/>
      <c r="R194" s="22"/>
      <c r="S194" s="22"/>
      <c r="T194" s="22">
        <f>T82/(T54+T68+T82)</f>
        <v>2.5442361935443373E-3</v>
      </c>
      <c r="U194" s="22"/>
    </row>
    <row r="195" spans="1:21" x14ac:dyDescent="0.55000000000000004">
      <c r="A195" s="1" t="str">
        <f>'Population Definitions'!$A$13</f>
        <v>PLHIV Miners</v>
      </c>
      <c r="B195" s="1" t="s">
        <v>64</v>
      </c>
      <c r="C195" s="2" t="str">
        <f t="shared" si="21"/>
        <v>N.A.</v>
      </c>
      <c r="D195" s="1" t="s">
        <v>16</v>
      </c>
      <c r="E195" s="44"/>
      <c r="F195" s="44"/>
      <c r="G195" s="22"/>
      <c r="H195" s="22"/>
      <c r="I195" s="22"/>
      <c r="J195" s="22"/>
      <c r="K195" s="22"/>
      <c r="L195" s="22"/>
      <c r="M195" s="22"/>
      <c r="N195" s="22"/>
      <c r="O195" s="22"/>
      <c r="P195" s="22"/>
      <c r="Q195" s="22"/>
      <c r="R195" s="22"/>
      <c r="S195" s="22"/>
      <c r="T195" s="22">
        <f>T83/(T55+T69+T83)</f>
        <v>1.9045269717427064E-3</v>
      </c>
      <c r="U195" s="22"/>
    </row>
  </sheetData>
  <dataValidations count="97">
    <dataValidation type="list" showInputMessage="1" showErrorMessage="1" sqref="B2:B13 B16:B27 B30:B41 B44:B55 B58:B69 B72:B83">
      <formula1>"Fraction,Number"</formula1>
    </dataValidation>
    <dataValidation type="list" showInputMessage="1" showErrorMessage="1" sqref="B86">
      <formula1>"Proportion"</formula1>
    </dataValidation>
    <dataValidation type="list" showInputMessage="1" showErrorMessage="1" sqref="B87">
      <formula1>"Proportion"</formula1>
    </dataValidation>
    <dataValidation type="list" showInputMessage="1" showErrorMessage="1" sqref="B88">
      <formula1>"Proportion"</formula1>
    </dataValidation>
    <dataValidation type="list" showInputMessage="1" showErrorMessage="1" sqref="B89">
      <formula1>"Proportion"</formula1>
    </dataValidation>
    <dataValidation type="list" showInputMessage="1" showErrorMessage="1" sqref="B90">
      <formula1>"Proportion"</formula1>
    </dataValidation>
    <dataValidation type="list" showInputMessage="1" showErrorMessage="1" sqref="B91">
      <formula1>"Proportion"</formula1>
    </dataValidation>
    <dataValidation type="list" showInputMessage="1" showErrorMessage="1" sqref="B92">
      <formula1>"Proportion"</formula1>
    </dataValidation>
    <dataValidation type="list" showInputMessage="1" showErrorMessage="1" sqref="B93">
      <formula1>"Proportion"</formula1>
    </dataValidation>
    <dataValidation type="list" showInputMessage="1" showErrorMessage="1" sqref="B94">
      <formula1>"Proportion"</formula1>
    </dataValidation>
    <dataValidation type="list" showInputMessage="1" showErrorMessage="1" sqref="B95">
      <formula1>"Proportion"</formula1>
    </dataValidation>
    <dataValidation type="list" showInputMessage="1" showErrorMessage="1" sqref="B96">
      <formula1>"Proportion"</formula1>
    </dataValidation>
    <dataValidation type="list" showInputMessage="1" showErrorMessage="1" sqref="B97">
      <formula1>"Proportion"</formula1>
    </dataValidation>
    <dataValidation type="list" showInputMessage="1" showErrorMessage="1" sqref="B100">
      <formula1>"Proportion"</formula1>
    </dataValidation>
    <dataValidation type="list" showInputMessage="1" showErrorMessage="1" sqref="B101">
      <formula1>"Proportion"</formula1>
    </dataValidation>
    <dataValidation type="list" showInputMessage="1" showErrorMessage="1" sqref="B102">
      <formula1>"Proportion"</formula1>
    </dataValidation>
    <dataValidation type="list" showInputMessage="1" showErrorMessage="1" sqref="B103">
      <formula1>"Proportion"</formula1>
    </dataValidation>
    <dataValidation type="list" showInputMessage="1" showErrorMessage="1" sqref="B104">
      <formula1>"Proportion"</formula1>
    </dataValidation>
    <dataValidation type="list" showInputMessage="1" showErrorMessage="1" sqref="B105">
      <formula1>"Proportion"</formula1>
    </dataValidation>
    <dataValidation type="list" showInputMessage="1" showErrorMessage="1" sqref="B106">
      <formula1>"Proportion"</formula1>
    </dataValidation>
    <dataValidation type="list" showInputMessage="1" showErrorMessage="1" sqref="B107">
      <formula1>"Proportion"</formula1>
    </dataValidation>
    <dataValidation type="list" showInputMessage="1" showErrorMessage="1" sqref="B108">
      <formula1>"Proportion"</formula1>
    </dataValidation>
    <dataValidation type="list" showInputMessage="1" showErrorMessage="1" sqref="B109">
      <formula1>"Proportion"</formula1>
    </dataValidation>
    <dataValidation type="list" showInputMessage="1" showErrorMessage="1" sqref="B110">
      <formula1>"Proportion"</formula1>
    </dataValidation>
    <dataValidation type="list" showInputMessage="1" showErrorMessage="1" sqref="B111">
      <formula1>"Proportion"</formula1>
    </dataValidation>
    <dataValidation type="list" showInputMessage="1" showErrorMessage="1" sqref="B114">
      <formula1>"Proportion"</formula1>
    </dataValidation>
    <dataValidation type="list" showInputMessage="1" showErrorMessage="1" sqref="B115">
      <formula1>"Proportion"</formula1>
    </dataValidation>
    <dataValidation type="list" showInputMessage="1" showErrorMessage="1" sqref="B116">
      <formula1>"Proportion"</formula1>
    </dataValidation>
    <dataValidation type="list" showInputMessage="1" showErrorMessage="1" sqref="B117">
      <formula1>"Proportion"</formula1>
    </dataValidation>
    <dataValidation type="list" showInputMessage="1" showErrorMessage="1" sqref="B118">
      <formula1>"Proportion"</formula1>
    </dataValidation>
    <dataValidation type="list" showInputMessage="1" showErrorMessage="1" sqref="B119">
      <formula1>"Proportion"</formula1>
    </dataValidation>
    <dataValidation type="list" showInputMessage="1" showErrorMessage="1" sqref="B120">
      <formula1>"Proportion"</formula1>
    </dataValidation>
    <dataValidation type="list" showInputMessage="1" showErrorMessage="1" sqref="B121">
      <formula1>"Proportion"</formula1>
    </dataValidation>
    <dataValidation type="list" showInputMessage="1" showErrorMessage="1" sqref="B122">
      <formula1>"Proportion"</formula1>
    </dataValidation>
    <dataValidation type="list" showInputMessage="1" showErrorMessage="1" sqref="B123">
      <formula1>"Proportion"</formula1>
    </dataValidation>
    <dataValidation type="list" showInputMessage="1" showErrorMessage="1" sqref="B124">
      <formula1>"Proportion"</formula1>
    </dataValidation>
    <dataValidation type="list" showInputMessage="1" showErrorMessage="1" sqref="B125">
      <formula1>"Proportion"</formula1>
    </dataValidation>
    <dataValidation type="list" showInputMessage="1" showErrorMessage="1" sqref="B128">
      <formula1>"Proportion"</formula1>
    </dataValidation>
    <dataValidation type="list" showInputMessage="1" showErrorMessage="1" sqref="B129">
      <formula1>"Proportion"</formula1>
    </dataValidation>
    <dataValidation type="list" showInputMessage="1" showErrorMessage="1" sqref="B130">
      <formula1>"Proportion"</formula1>
    </dataValidation>
    <dataValidation type="list" showInputMessage="1" showErrorMessage="1" sqref="B131">
      <formula1>"Proportion"</formula1>
    </dataValidation>
    <dataValidation type="list" showInputMessage="1" showErrorMessage="1" sqref="B132">
      <formula1>"Proportion"</formula1>
    </dataValidation>
    <dataValidation type="list" showInputMessage="1" showErrorMessage="1" sqref="B133">
      <formula1>"Proportion"</formula1>
    </dataValidation>
    <dataValidation type="list" showInputMessage="1" showErrorMessage="1" sqref="B134">
      <formula1>"Proportion"</formula1>
    </dataValidation>
    <dataValidation type="list" showInputMessage="1" showErrorMessage="1" sqref="B135">
      <formula1>"Proportion"</formula1>
    </dataValidation>
    <dataValidation type="list" showInputMessage="1" showErrorMessage="1" sqref="B136">
      <formula1>"Proportion"</formula1>
    </dataValidation>
    <dataValidation type="list" showInputMessage="1" showErrorMessage="1" sqref="B137">
      <formula1>"Proportion"</formula1>
    </dataValidation>
    <dataValidation type="list" showInputMessage="1" showErrorMessage="1" sqref="B138">
      <formula1>"Proportion"</formula1>
    </dataValidation>
    <dataValidation type="list" showInputMessage="1" showErrorMessage="1" sqref="B139">
      <formula1>"Proportion"</formula1>
    </dataValidation>
    <dataValidation type="list" showInputMessage="1" showErrorMessage="1" sqref="B142">
      <formula1>"Proportion"</formula1>
    </dataValidation>
    <dataValidation type="list" showInputMessage="1" showErrorMessage="1" sqref="B143">
      <formula1>"Proportion"</formula1>
    </dataValidation>
    <dataValidation type="list" showInputMessage="1" showErrorMessage="1" sqref="B144">
      <formula1>"Proportion"</formula1>
    </dataValidation>
    <dataValidation type="list" showInputMessage="1" showErrorMessage="1" sqref="B145">
      <formula1>"Proportion"</formula1>
    </dataValidation>
    <dataValidation type="list" showInputMessage="1" showErrorMessage="1" sqref="B146">
      <formula1>"Proportion"</formula1>
    </dataValidation>
    <dataValidation type="list" showInputMessage="1" showErrorMessage="1" sqref="B147">
      <formula1>"Proportion"</formula1>
    </dataValidation>
    <dataValidation type="list" showInputMessage="1" showErrorMessage="1" sqref="B148">
      <formula1>"Proportion"</formula1>
    </dataValidation>
    <dataValidation type="list" showInputMessage="1" showErrorMessage="1" sqref="B149">
      <formula1>"Proportion"</formula1>
    </dataValidation>
    <dataValidation type="list" showInputMessage="1" showErrorMessage="1" sqref="B150">
      <formula1>"Proportion"</formula1>
    </dataValidation>
    <dataValidation type="list" showInputMessage="1" showErrorMessage="1" sqref="B151">
      <formula1>"Proportion"</formula1>
    </dataValidation>
    <dataValidation type="list" showInputMessage="1" showErrorMessage="1" sqref="B152">
      <formula1>"Proportion"</formula1>
    </dataValidation>
    <dataValidation type="list" showInputMessage="1" showErrorMessage="1" sqref="B153">
      <formula1>"Proportion"</formula1>
    </dataValidation>
    <dataValidation type="list" showInputMessage="1" showErrorMessage="1" sqref="B156">
      <formula1>"Proportion"</formula1>
    </dataValidation>
    <dataValidation type="list" showInputMessage="1" showErrorMessage="1" sqref="B157">
      <formula1>"Proportion"</formula1>
    </dataValidation>
    <dataValidation type="list" showInputMessage="1" showErrorMessage="1" sqref="B158">
      <formula1>"Proportion"</formula1>
    </dataValidation>
    <dataValidation type="list" showInputMessage="1" showErrorMessage="1" sqref="B159">
      <formula1>"Proportion"</formula1>
    </dataValidation>
    <dataValidation type="list" showInputMessage="1" showErrorMessage="1" sqref="B160">
      <formula1>"Proportion"</formula1>
    </dataValidation>
    <dataValidation type="list" showInputMessage="1" showErrorMessage="1" sqref="B161">
      <formula1>"Proportion"</formula1>
    </dataValidation>
    <dataValidation type="list" showInputMessage="1" showErrorMessage="1" sqref="B162">
      <formula1>"Proportion"</formula1>
    </dataValidation>
    <dataValidation type="list" showInputMessage="1" showErrorMessage="1" sqref="B163">
      <formula1>"Proportion"</formula1>
    </dataValidation>
    <dataValidation type="list" showInputMessage="1" showErrorMessage="1" sqref="B164">
      <formula1>"Proportion"</formula1>
    </dataValidation>
    <dataValidation type="list" showInputMessage="1" showErrorMessage="1" sqref="B165">
      <formula1>"Proportion"</formula1>
    </dataValidation>
    <dataValidation type="list" showInputMessage="1" showErrorMessage="1" sqref="B166">
      <formula1>"Proportion"</formula1>
    </dataValidation>
    <dataValidation type="list" showInputMessage="1" showErrorMessage="1" sqref="B167">
      <formula1>"Proportion"</formula1>
    </dataValidation>
    <dataValidation type="list" showInputMessage="1" showErrorMessage="1" sqref="B170">
      <formula1>"Proportion"</formula1>
    </dataValidation>
    <dataValidation type="list" showInputMessage="1" showErrorMessage="1" sqref="B171">
      <formula1>"Proportion"</formula1>
    </dataValidation>
    <dataValidation type="list" showInputMessage="1" showErrorMessage="1" sqref="B172">
      <formula1>"Proportion"</formula1>
    </dataValidation>
    <dataValidation type="list" showInputMessage="1" showErrorMessage="1" sqref="B173">
      <formula1>"Proportion"</formula1>
    </dataValidation>
    <dataValidation type="list" showInputMessage="1" showErrorMessage="1" sqref="B174">
      <formula1>"Proportion"</formula1>
    </dataValidation>
    <dataValidation type="list" showInputMessage="1" showErrorMessage="1" sqref="B175">
      <formula1>"Proportion"</formula1>
    </dataValidation>
    <dataValidation type="list" showInputMessage="1" showErrorMessage="1" sqref="B176">
      <formula1>"Proportion"</formula1>
    </dataValidation>
    <dataValidation type="list" showInputMessage="1" showErrorMessage="1" sqref="B177">
      <formula1>"Proportion"</formula1>
    </dataValidation>
    <dataValidation type="list" showInputMessage="1" showErrorMessage="1" sqref="B178">
      <formula1>"Proportion"</formula1>
    </dataValidation>
    <dataValidation type="list" showInputMessage="1" showErrorMessage="1" sqref="B179">
      <formula1>"Proportion"</formula1>
    </dataValidation>
    <dataValidation type="list" showInputMessage="1" showErrorMessage="1" sqref="B180">
      <formula1>"Proportion"</formula1>
    </dataValidation>
    <dataValidation type="list" showInputMessage="1" showErrorMessage="1" sqref="B181">
      <formula1>"Proportion"</formula1>
    </dataValidation>
    <dataValidation type="list" showInputMessage="1" showErrorMessage="1" sqref="B184">
      <formula1>"Proportion"</formula1>
    </dataValidation>
    <dataValidation type="list" showInputMessage="1" showErrorMessage="1" sqref="B185">
      <formula1>"Proportion"</formula1>
    </dataValidation>
    <dataValidation type="list" showInputMessage="1" showErrorMessage="1" sqref="B186">
      <formula1>"Proportion"</formula1>
    </dataValidation>
    <dataValidation type="list" showInputMessage="1" showErrorMessage="1" sqref="B187">
      <formula1>"Proportion"</formula1>
    </dataValidation>
    <dataValidation type="list" showInputMessage="1" showErrorMessage="1" sqref="B188">
      <formula1>"Proportion"</formula1>
    </dataValidation>
    <dataValidation type="list" showInputMessage="1" showErrorMessage="1" sqref="B189">
      <formula1>"Proportion"</formula1>
    </dataValidation>
    <dataValidation type="list" showInputMessage="1" showErrorMessage="1" sqref="B190">
      <formula1>"Proportion"</formula1>
    </dataValidation>
    <dataValidation type="list" showInputMessage="1" showErrorMessage="1" sqref="B191">
      <formula1>"Proportion"</formula1>
    </dataValidation>
    <dataValidation type="list" showInputMessage="1" showErrorMessage="1" sqref="B192">
      <formula1>"Proportion"</formula1>
    </dataValidation>
    <dataValidation type="list" showInputMessage="1" showErrorMessage="1" sqref="B193">
      <formula1>"Proportion"</formula1>
    </dataValidation>
    <dataValidation type="list" showInputMessage="1" showErrorMessage="1" sqref="B194">
      <formula1>"Proportion"</formula1>
    </dataValidation>
    <dataValidation type="list" showInputMessage="1" showErrorMessage="1" sqref="B195">
      <formula1>"Proportion"</formula1>
    </dataValidation>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7"/>
  <sheetViews>
    <sheetView topLeftCell="A21" workbookViewId="0">
      <selection activeCell="A37" sqref="A37"/>
    </sheetView>
  </sheetViews>
  <sheetFormatPr defaultColWidth="8.83984375" defaultRowHeight="14.4" x14ac:dyDescent="0.55000000000000004"/>
  <cols>
    <col min="1" max="1" width="60.68359375" customWidth="1"/>
    <col min="2" max="3" width="10.68359375" customWidth="1"/>
  </cols>
  <sheetData>
    <row r="1" spans="1:21" x14ac:dyDescent="0.55000000000000004">
      <c r="A1" s="21" t="s">
        <v>22</v>
      </c>
      <c r="B1" s="1" t="s">
        <v>8</v>
      </c>
      <c r="C1" s="1" t="s">
        <v>9</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row>
    <row r="2" spans="1:21" x14ac:dyDescent="0.55000000000000004">
      <c r="A2" s="1" t="str">
        <f>'Population Definitions'!$A$2</f>
        <v>Gen 0-4</v>
      </c>
      <c r="B2" s="1" t="s">
        <v>10</v>
      </c>
      <c r="C2" s="4">
        <f t="shared" ref="C2:C13" si="0">IF(SUMPRODUCT(--(E2:U2&lt;&gt;""))=0,0.5,"N.A.")</f>
        <v>0.5</v>
      </c>
      <c r="D2" s="1" t="s">
        <v>16</v>
      </c>
      <c r="E2" s="20"/>
      <c r="F2" s="20"/>
      <c r="G2" s="20"/>
      <c r="H2" s="20"/>
      <c r="I2" s="20"/>
      <c r="J2" s="20"/>
      <c r="K2" s="20"/>
      <c r="L2" s="20"/>
      <c r="M2" s="20"/>
      <c r="N2" s="20"/>
      <c r="O2" s="20"/>
      <c r="P2" s="20"/>
      <c r="Q2" s="20"/>
      <c r="R2" s="20"/>
      <c r="S2" s="20"/>
      <c r="T2" s="20"/>
      <c r="U2" s="20"/>
    </row>
    <row r="3" spans="1:21" x14ac:dyDescent="0.55000000000000004">
      <c r="A3" s="1" t="str">
        <f>'Population Definitions'!$A$3</f>
        <v>Gen 5-14</v>
      </c>
      <c r="B3" s="1" t="s">
        <v>10</v>
      </c>
      <c r="C3" s="4">
        <f t="shared" si="0"/>
        <v>0.5</v>
      </c>
      <c r="D3" s="1" t="s">
        <v>16</v>
      </c>
      <c r="E3" s="20"/>
      <c r="F3" s="20"/>
      <c r="G3" s="20"/>
      <c r="H3" s="20"/>
      <c r="I3" s="20"/>
      <c r="J3" s="20"/>
      <c r="K3" s="20"/>
      <c r="L3" s="20"/>
      <c r="M3" s="20"/>
      <c r="N3" s="20"/>
      <c r="O3" s="20"/>
      <c r="P3" s="20"/>
      <c r="Q3" s="20"/>
      <c r="R3" s="20"/>
      <c r="S3" s="20"/>
      <c r="T3" s="20"/>
      <c r="U3" s="20"/>
    </row>
    <row r="4" spans="1:21" x14ac:dyDescent="0.55000000000000004">
      <c r="A4" s="1" t="str">
        <f>'Population Definitions'!$A$4</f>
        <v>Gen 15-64</v>
      </c>
      <c r="B4" s="1" t="s">
        <v>10</v>
      </c>
      <c r="C4" s="4">
        <f t="shared" si="0"/>
        <v>0.5</v>
      </c>
      <c r="D4" s="1" t="s">
        <v>16</v>
      </c>
      <c r="E4" s="20"/>
      <c r="F4" s="20"/>
      <c r="G4" s="20"/>
      <c r="H4" s="20"/>
      <c r="I4" s="20"/>
      <c r="J4" s="20"/>
      <c r="K4" s="20"/>
      <c r="L4" s="20"/>
      <c r="M4" s="20"/>
      <c r="N4" s="20"/>
      <c r="O4" s="20"/>
      <c r="P4" s="20"/>
      <c r="Q4" s="20"/>
      <c r="R4" s="20"/>
      <c r="S4" s="20"/>
      <c r="T4" s="20"/>
      <c r="U4" s="20"/>
    </row>
    <row r="5" spans="1:21" x14ac:dyDescent="0.55000000000000004">
      <c r="A5" s="1" t="str">
        <f>'Population Definitions'!$A$5</f>
        <v>Gen 65+</v>
      </c>
      <c r="B5" s="1" t="s">
        <v>10</v>
      </c>
      <c r="C5" s="4">
        <f t="shared" si="0"/>
        <v>0.5</v>
      </c>
      <c r="D5" s="1" t="s">
        <v>16</v>
      </c>
      <c r="E5" s="20"/>
      <c r="F5" s="20"/>
      <c r="G5" s="20"/>
      <c r="H5" s="20"/>
      <c r="I5" s="20"/>
      <c r="J5" s="20"/>
      <c r="K5" s="20"/>
      <c r="L5" s="20"/>
      <c r="M5" s="20"/>
      <c r="N5" s="20"/>
      <c r="O5" s="20"/>
      <c r="P5" s="20"/>
      <c r="Q5" s="20"/>
      <c r="R5" s="20"/>
      <c r="S5" s="20"/>
      <c r="T5" s="20"/>
      <c r="U5" s="20"/>
    </row>
    <row r="6" spans="1:21" x14ac:dyDescent="0.55000000000000004">
      <c r="A6" s="1" t="str">
        <f>'Population Definitions'!$A$6</f>
        <v>PLHIV 15-64</v>
      </c>
      <c r="B6" s="1" t="s">
        <v>10</v>
      </c>
      <c r="C6" s="4">
        <f t="shared" si="0"/>
        <v>0.5</v>
      </c>
      <c r="D6" s="1" t="s">
        <v>16</v>
      </c>
      <c r="E6" s="20"/>
      <c r="F6" s="20"/>
      <c r="G6" s="20"/>
      <c r="H6" s="20"/>
      <c r="I6" s="20"/>
      <c r="J6" s="20"/>
      <c r="K6" s="20"/>
      <c r="L6" s="20"/>
      <c r="M6" s="20"/>
      <c r="N6" s="20"/>
      <c r="O6" s="20"/>
      <c r="P6" s="20"/>
      <c r="Q6" s="20"/>
      <c r="R6" s="20"/>
      <c r="S6" s="20"/>
      <c r="T6" s="20"/>
      <c r="U6" s="20"/>
    </row>
    <row r="7" spans="1:21" x14ac:dyDescent="0.55000000000000004">
      <c r="A7" s="1" t="str">
        <f>'Population Definitions'!$A$7</f>
        <v>PLHIV 65+</v>
      </c>
      <c r="B7" s="1" t="s">
        <v>10</v>
      </c>
      <c r="C7" s="4">
        <f t="shared" si="0"/>
        <v>0.5</v>
      </c>
      <c r="D7" s="1" t="s">
        <v>16</v>
      </c>
      <c r="E7" s="20"/>
      <c r="F7" s="20"/>
      <c r="G7" s="20"/>
      <c r="H7" s="20"/>
      <c r="I7" s="20"/>
      <c r="J7" s="20"/>
      <c r="K7" s="20"/>
      <c r="L7" s="20"/>
      <c r="M7" s="20"/>
      <c r="N7" s="20"/>
      <c r="O7" s="20"/>
      <c r="P7" s="20"/>
      <c r="Q7" s="20"/>
      <c r="R7" s="20"/>
      <c r="S7" s="20"/>
      <c r="T7" s="20"/>
      <c r="U7" s="20"/>
    </row>
    <row r="8" spans="1:21" x14ac:dyDescent="0.55000000000000004">
      <c r="A8" s="1" t="str">
        <f>'Population Definitions'!$A$8</f>
        <v>Prisoners</v>
      </c>
      <c r="B8" s="1" t="s">
        <v>10</v>
      </c>
      <c r="C8" s="4">
        <f t="shared" si="0"/>
        <v>0.5</v>
      </c>
      <c r="D8" s="1" t="s">
        <v>16</v>
      </c>
      <c r="E8" s="20"/>
      <c r="F8" s="20"/>
      <c r="G8" s="20"/>
      <c r="H8" s="20"/>
      <c r="I8" s="20"/>
      <c r="J8" s="20"/>
      <c r="K8" s="20"/>
      <c r="L8" s="20"/>
      <c r="M8" s="20"/>
      <c r="N8" s="20"/>
      <c r="O8" s="20"/>
      <c r="P8" s="20"/>
      <c r="Q8" s="20"/>
      <c r="R8" s="20"/>
      <c r="S8" s="20"/>
      <c r="T8" s="20"/>
      <c r="U8" s="20"/>
    </row>
    <row r="9" spans="1:21" x14ac:dyDescent="0.55000000000000004">
      <c r="A9" s="1" t="str">
        <f>'Population Definitions'!$A$9</f>
        <v>PLHIV Prisoners</v>
      </c>
      <c r="B9" s="1" t="s">
        <v>10</v>
      </c>
      <c r="C9" s="4">
        <f t="shared" si="0"/>
        <v>0.5</v>
      </c>
      <c r="D9" s="1" t="s">
        <v>16</v>
      </c>
      <c r="E9" s="20"/>
      <c r="F9" s="20"/>
      <c r="G9" s="20"/>
      <c r="H9" s="20"/>
      <c r="I9" s="20"/>
      <c r="J9" s="20"/>
      <c r="K9" s="20"/>
      <c r="L9" s="20"/>
      <c r="M9" s="20"/>
      <c r="N9" s="20"/>
      <c r="O9" s="20"/>
      <c r="P9" s="20"/>
      <c r="Q9" s="20"/>
      <c r="R9" s="20"/>
      <c r="S9" s="20"/>
      <c r="T9" s="20"/>
      <c r="U9" s="20"/>
    </row>
    <row r="10" spans="1:21" x14ac:dyDescent="0.55000000000000004">
      <c r="A10" s="1" t="str">
        <f>'Population Definitions'!$A$10</f>
        <v>HCW</v>
      </c>
      <c r="B10" s="1" t="s">
        <v>10</v>
      </c>
      <c r="C10" s="4">
        <f t="shared" si="0"/>
        <v>0.5</v>
      </c>
      <c r="D10" s="1" t="s">
        <v>16</v>
      </c>
      <c r="E10" s="20"/>
      <c r="F10" s="20"/>
      <c r="G10" s="20"/>
      <c r="H10" s="20"/>
      <c r="I10" s="20"/>
      <c r="J10" s="20"/>
      <c r="K10" s="20"/>
      <c r="L10" s="20"/>
      <c r="M10" s="20"/>
      <c r="N10" s="20"/>
      <c r="O10" s="20"/>
      <c r="P10" s="20"/>
      <c r="Q10" s="20"/>
      <c r="R10" s="20"/>
      <c r="S10" s="20"/>
      <c r="T10" s="20"/>
      <c r="U10" s="20"/>
    </row>
    <row r="11" spans="1:21" x14ac:dyDescent="0.55000000000000004">
      <c r="A11" s="1" t="str">
        <f>'Population Definitions'!$A$11</f>
        <v>PLHIV HCW</v>
      </c>
      <c r="B11" s="1" t="s">
        <v>10</v>
      </c>
      <c r="C11" s="4">
        <f t="shared" si="0"/>
        <v>0.5</v>
      </c>
      <c r="D11" s="1" t="s">
        <v>16</v>
      </c>
      <c r="E11" s="20"/>
      <c r="F11" s="20"/>
      <c r="G11" s="20"/>
      <c r="H11" s="20"/>
      <c r="I11" s="20"/>
      <c r="J11" s="20"/>
      <c r="K11" s="20"/>
      <c r="L11" s="20"/>
      <c r="M11" s="20"/>
      <c r="N11" s="20"/>
      <c r="O11" s="20"/>
      <c r="P11" s="20"/>
      <c r="Q11" s="20"/>
      <c r="R11" s="20"/>
      <c r="S11" s="20"/>
      <c r="T11" s="20"/>
      <c r="U11" s="20"/>
    </row>
    <row r="12" spans="1:21" x14ac:dyDescent="0.55000000000000004">
      <c r="A12" s="1" t="str">
        <f>'Population Definitions'!$A$12</f>
        <v>Miners</v>
      </c>
      <c r="B12" s="1" t="s">
        <v>10</v>
      </c>
      <c r="C12" s="4">
        <f t="shared" si="0"/>
        <v>0.5</v>
      </c>
      <c r="D12" s="1" t="s">
        <v>16</v>
      </c>
      <c r="E12" s="20"/>
      <c r="F12" s="20"/>
      <c r="G12" s="20"/>
      <c r="H12" s="20"/>
      <c r="I12" s="20"/>
      <c r="J12" s="20"/>
      <c r="K12" s="20"/>
      <c r="L12" s="20"/>
      <c r="M12" s="20"/>
      <c r="N12" s="20"/>
      <c r="O12" s="20"/>
      <c r="P12" s="20"/>
      <c r="Q12" s="20"/>
      <c r="R12" s="20"/>
      <c r="S12" s="20"/>
      <c r="T12" s="20"/>
      <c r="U12" s="20"/>
    </row>
    <row r="13" spans="1:21" x14ac:dyDescent="0.55000000000000004">
      <c r="A13" s="1" t="str">
        <f>'Population Definitions'!$A$13</f>
        <v>PLHIV Miners</v>
      </c>
      <c r="B13" s="1" t="s">
        <v>10</v>
      </c>
      <c r="C13" s="4">
        <f t="shared" si="0"/>
        <v>0.5</v>
      </c>
      <c r="D13" s="1" t="s">
        <v>16</v>
      </c>
      <c r="E13" s="20"/>
      <c r="F13" s="20"/>
      <c r="G13" s="20"/>
      <c r="H13" s="20"/>
      <c r="I13" s="20"/>
      <c r="J13" s="20"/>
      <c r="K13" s="20"/>
      <c r="L13" s="20"/>
      <c r="M13" s="20"/>
      <c r="N13" s="20"/>
      <c r="O13" s="20"/>
      <c r="P13" s="20"/>
      <c r="Q13" s="20"/>
      <c r="R13" s="20"/>
      <c r="S13" s="20"/>
      <c r="T13" s="20"/>
      <c r="U13" s="20"/>
    </row>
    <row r="15" spans="1:21" x14ac:dyDescent="0.55000000000000004">
      <c r="A15" s="21" t="s">
        <v>29</v>
      </c>
      <c r="B15" s="1" t="s">
        <v>8</v>
      </c>
      <c r="C15" s="1" t="s">
        <v>9</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row>
    <row r="16" spans="1:21" x14ac:dyDescent="0.55000000000000004">
      <c r="A16" s="1" t="str">
        <f>'Population Definitions'!$A$2</f>
        <v>Gen 0-4</v>
      </c>
      <c r="B16" s="1" t="s">
        <v>10</v>
      </c>
      <c r="C16" s="4">
        <f t="shared" ref="C16:C27" si="1">IF(SUMPRODUCT(--(E16:U16&lt;&gt;""))=0,0.5,"N.A.")</f>
        <v>0.5</v>
      </c>
      <c r="D16" s="1" t="s">
        <v>16</v>
      </c>
      <c r="E16" s="20"/>
      <c r="F16" s="20"/>
      <c r="G16" s="20"/>
      <c r="H16" s="20"/>
      <c r="I16" s="20"/>
      <c r="J16" s="20"/>
      <c r="K16" s="20"/>
      <c r="L16" s="20"/>
      <c r="M16" s="20"/>
      <c r="N16" s="20"/>
      <c r="O16" s="20"/>
      <c r="P16" s="20"/>
      <c r="Q16" s="20"/>
      <c r="R16" s="20"/>
      <c r="S16" s="20"/>
      <c r="T16" s="20"/>
      <c r="U16" s="20"/>
    </row>
    <row r="17" spans="1:21" x14ac:dyDescent="0.55000000000000004">
      <c r="A17" s="1" t="str">
        <f>'Population Definitions'!$A$3</f>
        <v>Gen 5-14</v>
      </c>
      <c r="B17" s="1" t="s">
        <v>10</v>
      </c>
      <c r="C17" s="4">
        <f t="shared" si="1"/>
        <v>0.5</v>
      </c>
      <c r="D17" s="1" t="s">
        <v>16</v>
      </c>
      <c r="E17" s="20"/>
      <c r="F17" s="20"/>
      <c r="G17" s="20"/>
      <c r="H17" s="20"/>
      <c r="I17" s="20"/>
      <c r="J17" s="20"/>
      <c r="K17" s="20"/>
      <c r="L17" s="20"/>
      <c r="M17" s="20"/>
      <c r="N17" s="20"/>
      <c r="O17" s="20"/>
      <c r="P17" s="20"/>
      <c r="Q17" s="20"/>
      <c r="R17" s="20"/>
      <c r="S17" s="20"/>
      <c r="T17" s="20"/>
      <c r="U17" s="20"/>
    </row>
    <row r="18" spans="1:21" x14ac:dyDescent="0.55000000000000004">
      <c r="A18" s="1" t="str">
        <f>'Population Definitions'!$A$4</f>
        <v>Gen 15-64</v>
      </c>
      <c r="B18" s="1" t="s">
        <v>10</v>
      </c>
      <c r="C18" s="4">
        <f t="shared" si="1"/>
        <v>0.5</v>
      </c>
      <c r="D18" s="1" t="s">
        <v>16</v>
      </c>
      <c r="E18" s="20"/>
      <c r="F18" s="20"/>
      <c r="G18" s="20"/>
      <c r="H18" s="20"/>
      <c r="I18" s="20"/>
      <c r="J18" s="20"/>
      <c r="K18" s="20"/>
      <c r="L18" s="20"/>
      <c r="M18" s="20"/>
      <c r="N18" s="20"/>
      <c r="O18" s="20"/>
      <c r="P18" s="20"/>
      <c r="Q18" s="20"/>
      <c r="R18" s="20"/>
      <c r="S18" s="20"/>
      <c r="T18" s="20"/>
      <c r="U18" s="20"/>
    </row>
    <row r="19" spans="1:21" x14ac:dyDescent="0.55000000000000004">
      <c r="A19" s="1" t="str">
        <f>'Population Definitions'!$A$5</f>
        <v>Gen 65+</v>
      </c>
      <c r="B19" s="1" t="s">
        <v>10</v>
      </c>
      <c r="C19" s="4">
        <f t="shared" si="1"/>
        <v>0.5</v>
      </c>
      <c r="D19" s="1" t="s">
        <v>16</v>
      </c>
      <c r="E19" s="20"/>
      <c r="F19" s="20"/>
      <c r="G19" s="20"/>
      <c r="H19" s="20"/>
      <c r="I19" s="20"/>
      <c r="J19" s="20"/>
      <c r="K19" s="20"/>
      <c r="L19" s="20"/>
      <c r="M19" s="20"/>
      <c r="N19" s="20"/>
      <c r="O19" s="20"/>
      <c r="P19" s="20"/>
      <c r="Q19" s="20"/>
      <c r="R19" s="20"/>
      <c r="S19" s="20"/>
      <c r="T19" s="20"/>
      <c r="U19" s="20"/>
    </row>
    <row r="20" spans="1:21" x14ac:dyDescent="0.55000000000000004">
      <c r="A20" s="1" t="str">
        <f>'Population Definitions'!$A$6</f>
        <v>PLHIV 15-64</v>
      </c>
      <c r="B20" s="1" t="s">
        <v>10</v>
      </c>
      <c r="C20" s="4">
        <f t="shared" si="1"/>
        <v>0.5</v>
      </c>
      <c r="D20" s="1" t="s">
        <v>16</v>
      </c>
      <c r="E20" s="20"/>
      <c r="F20" s="20"/>
      <c r="G20" s="20"/>
      <c r="H20" s="20"/>
      <c r="I20" s="20"/>
      <c r="J20" s="20"/>
      <c r="K20" s="20"/>
      <c r="L20" s="20"/>
      <c r="M20" s="20"/>
      <c r="N20" s="20"/>
      <c r="O20" s="20"/>
      <c r="P20" s="20"/>
      <c r="Q20" s="20"/>
      <c r="R20" s="20"/>
      <c r="S20" s="20"/>
      <c r="T20" s="20"/>
      <c r="U20" s="20"/>
    </row>
    <row r="21" spans="1:21" x14ac:dyDescent="0.55000000000000004">
      <c r="A21" s="1" t="str">
        <f>'Population Definitions'!$A$7</f>
        <v>PLHIV 65+</v>
      </c>
      <c r="B21" s="1" t="s">
        <v>10</v>
      </c>
      <c r="C21" s="4">
        <f t="shared" si="1"/>
        <v>0.5</v>
      </c>
      <c r="D21" s="1" t="s">
        <v>16</v>
      </c>
      <c r="E21" s="20"/>
      <c r="F21" s="20"/>
      <c r="G21" s="20"/>
      <c r="H21" s="20"/>
      <c r="I21" s="20"/>
      <c r="J21" s="20"/>
      <c r="K21" s="20"/>
      <c r="L21" s="20"/>
      <c r="M21" s="20"/>
      <c r="N21" s="20"/>
      <c r="O21" s="20"/>
      <c r="P21" s="20"/>
      <c r="Q21" s="20"/>
      <c r="R21" s="20"/>
      <c r="S21" s="20"/>
      <c r="T21" s="20"/>
      <c r="U21" s="20"/>
    </row>
    <row r="22" spans="1:21" x14ac:dyDescent="0.55000000000000004">
      <c r="A22" s="1" t="str">
        <f>'Population Definitions'!$A$8</f>
        <v>Prisoners</v>
      </c>
      <c r="B22" s="1" t="s">
        <v>10</v>
      </c>
      <c r="C22" s="4">
        <f t="shared" si="1"/>
        <v>0.5</v>
      </c>
      <c r="D22" s="1" t="s">
        <v>16</v>
      </c>
      <c r="E22" s="20"/>
      <c r="F22" s="20"/>
      <c r="G22" s="20"/>
      <c r="H22" s="20"/>
      <c r="I22" s="20"/>
      <c r="J22" s="20"/>
      <c r="K22" s="20"/>
      <c r="L22" s="20"/>
      <c r="M22" s="20"/>
      <c r="N22" s="20"/>
      <c r="O22" s="20"/>
      <c r="P22" s="20"/>
      <c r="Q22" s="20"/>
      <c r="R22" s="20"/>
      <c r="S22" s="20"/>
      <c r="T22" s="20"/>
      <c r="U22" s="20"/>
    </row>
    <row r="23" spans="1:21" x14ac:dyDescent="0.55000000000000004">
      <c r="A23" s="1" t="str">
        <f>'Population Definitions'!$A$9</f>
        <v>PLHIV Prisoners</v>
      </c>
      <c r="B23" s="1" t="s">
        <v>10</v>
      </c>
      <c r="C23" s="4">
        <f t="shared" si="1"/>
        <v>0.5</v>
      </c>
      <c r="D23" s="1" t="s">
        <v>16</v>
      </c>
      <c r="E23" s="20"/>
      <c r="F23" s="20"/>
      <c r="G23" s="20"/>
      <c r="H23" s="20"/>
      <c r="I23" s="20"/>
      <c r="J23" s="20"/>
      <c r="K23" s="20"/>
      <c r="L23" s="20"/>
      <c r="M23" s="20"/>
      <c r="N23" s="20"/>
      <c r="O23" s="20"/>
      <c r="P23" s="20"/>
      <c r="Q23" s="20"/>
      <c r="R23" s="20"/>
      <c r="S23" s="20"/>
      <c r="T23" s="20"/>
      <c r="U23" s="20"/>
    </row>
    <row r="24" spans="1:21" x14ac:dyDescent="0.55000000000000004">
      <c r="A24" s="1" t="str">
        <f>'Population Definitions'!$A$10</f>
        <v>HCW</v>
      </c>
      <c r="B24" s="1" t="s">
        <v>10</v>
      </c>
      <c r="C24" s="4">
        <f t="shared" si="1"/>
        <v>0.5</v>
      </c>
      <c r="D24" s="1" t="s">
        <v>16</v>
      </c>
      <c r="E24" s="20"/>
      <c r="F24" s="20"/>
      <c r="G24" s="20"/>
      <c r="H24" s="20"/>
      <c r="I24" s="20"/>
      <c r="J24" s="20"/>
      <c r="K24" s="20"/>
      <c r="L24" s="20"/>
      <c r="M24" s="20"/>
      <c r="N24" s="20"/>
      <c r="O24" s="20"/>
      <c r="P24" s="20"/>
      <c r="Q24" s="20"/>
      <c r="R24" s="20"/>
      <c r="S24" s="20"/>
      <c r="T24" s="20"/>
      <c r="U24" s="20"/>
    </row>
    <row r="25" spans="1:21" x14ac:dyDescent="0.55000000000000004">
      <c r="A25" s="1" t="str">
        <f>'Population Definitions'!$A$11</f>
        <v>PLHIV HCW</v>
      </c>
      <c r="B25" s="1" t="s">
        <v>10</v>
      </c>
      <c r="C25" s="4">
        <f t="shared" si="1"/>
        <v>0.5</v>
      </c>
      <c r="D25" s="1" t="s">
        <v>16</v>
      </c>
      <c r="E25" s="20"/>
      <c r="F25" s="20"/>
      <c r="G25" s="20"/>
      <c r="H25" s="20"/>
      <c r="I25" s="20"/>
      <c r="J25" s="20"/>
      <c r="K25" s="20"/>
      <c r="L25" s="20"/>
      <c r="M25" s="20"/>
      <c r="N25" s="20"/>
      <c r="O25" s="20"/>
      <c r="P25" s="20"/>
      <c r="Q25" s="20"/>
      <c r="R25" s="20"/>
      <c r="S25" s="20"/>
      <c r="T25" s="20"/>
      <c r="U25" s="20"/>
    </row>
    <row r="26" spans="1:21" x14ac:dyDescent="0.55000000000000004">
      <c r="A26" s="1" t="str">
        <f>'Population Definitions'!$A$12</f>
        <v>Miners</v>
      </c>
      <c r="B26" s="1" t="s">
        <v>10</v>
      </c>
      <c r="C26" s="4">
        <f t="shared" si="1"/>
        <v>0.5</v>
      </c>
      <c r="D26" s="1" t="s">
        <v>16</v>
      </c>
      <c r="E26" s="20"/>
      <c r="F26" s="20"/>
      <c r="G26" s="20"/>
      <c r="H26" s="20"/>
      <c r="I26" s="20"/>
      <c r="J26" s="20"/>
      <c r="K26" s="20"/>
      <c r="L26" s="20"/>
      <c r="M26" s="20"/>
      <c r="N26" s="20"/>
      <c r="O26" s="20"/>
      <c r="P26" s="20"/>
      <c r="Q26" s="20"/>
      <c r="R26" s="20"/>
      <c r="S26" s="20"/>
      <c r="T26" s="20"/>
      <c r="U26" s="20"/>
    </row>
    <row r="27" spans="1:21" x14ac:dyDescent="0.55000000000000004">
      <c r="A27" s="1" t="str">
        <f>'Population Definitions'!$A$13</f>
        <v>PLHIV Miners</v>
      </c>
      <c r="B27" s="1" t="s">
        <v>10</v>
      </c>
      <c r="C27" s="4">
        <f t="shared" si="1"/>
        <v>0.5</v>
      </c>
      <c r="D27" s="1" t="s">
        <v>16</v>
      </c>
      <c r="E27" s="20"/>
      <c r="F27" s="20"/>
      <c r="G27" s="20"/>
      <c r="H27" s="20"/>
      <c r="I27" s="20"/>
      <c r="J27" s="20"/>
      <c r="K27" s="20"/>
      <c r="L27" s="20"/>
      <c r="M27" s="20"/>
      <c r="N27" s="20"/>
      <c r="O27" s="20"/>
      <c r="P27" s="20"/>
      <c r="Q27" s="20"/>
      <c r="R27" s="20"/>
      <c r="S27" s="20"/>
      <c r="T27" s="20"/>
      <c r="U27" s="20"/>
    </row>
    <row r="29" spans="1:21" x14ac:dyDescent="0.55000000000000004">
      <c r="A29" s="21" t="s">
        <v>43</v>
      </c>
      <c r="B29" s="1" t="s">
        <v>8</v>
      </c>
      <c r="C29" s="1" t="s">
        <v>9</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row>
    <row r="30" spans="1:21" x14ac:dyDescent="0.55000000000000004">
      <c r="A30" s="1" t="str">
        <f>'Population Definitions'!$A$2</f>
        <v>Gen 0-4</v>
      </c>
      <c r="B30" s="1" t="s">
        <v>10</v>
      </c>
      <c r="C30" s="2" t="str">
        <f t="shared" ref="C30:C41" si="2">IF(SUMPRODUCT(--(E30:U30&lt;&gt;""))=0,1,"N.A.")</f>
        <v>N.A.</v>
      </c>
      <c r="D30" s="1" t="s">
        <v>16</v>
      </c>
      <c r="E30" s="25">
        <v>11</v>
      </c>
      <c r="F30" s="20"/>
      <c r="G30" s="20"/>
      <c r="H30" s="20"/>
      <c r="I30" s="20"/>
      <c r="J30" s="20"/>
      <c r="K30" s="20"/>
      <c r="L30" s="20"/>
      <c r="M30" s="20"/>
      <c r="N30" s="20"/>
      <c r="O30" s="20"/>
      <c r="P30" s="20"/>
      <c r="Q30" s="20"/>
      <c r="R30" s="20"/>
      <c r="S30" s="20"/>
      <c r="T30" s="20"/>
      <c r="U30" s="20"/>
    </row>
    <row r="31" spans="1:21" x14ac:dyDescent="0.55000000000000004">
      <c r="A31" s="1" t="str">
        <f>'Population Definitions'!$A$3</f>
        <v>Gen 5-14</v>
      </c>
      <c r="B31" s="1" t="s">
        <v>10</v>
      </c>
      <c r="C31" s="2" t="str">
        <f t="shared" si="2"/>
        <v>N.A.</v>
      </c>
      <c r="D31" s="1" t="s">
        <v>16</v>
      </c>
      <c r="E31" s="25">
        <v>0.1</v>
      </c>
      <c r="F31" s="20"/>
      <c r="G31" s="20"/>
      <c r="H31" s="20"/>
      <c r="I31" s="20"/>
      <c r="J31" s="20"/>
      <c r="K31" s="20"/>
      <c r="L31" s="20"/>
      <c r="M31" s="20"/>
      <c r="N31" s="20"/>
      <c r="O31" s="20"/>
      <c r="P31" s="20"/>
      <c r="Q31" s="20"/>
      <c r="R31" s="20"/>
      <c r="S31" s="20"/>
      <c r="T31" s="20"/>
      <c r="U31" s="20"/>
    </row>
    <row r="32" spans="1:21" x14ac:dyDescent="0.55000000000000004">
      <c r="A32" s="1" t="str">
        <f>'Population Definitions'!$A$4</f>
        <v>Gen 15-64</v>
      </c>
      <c r="B32" s="1" t="s">
        <v>10</v>
      </c>
      <c r="C32" s="2" t="str">
        <f t="shared" si="2"/>
        <v>N.A.</v>
      </c>
      <c r="D32" s="1" t="s">
        <v>16</v>
      </c>
      <c r="E32" s="25">
        <v>6.5</v>
      </c>
      <c r="F32" s="20"/>
      <c r="G32" s="20"/>
      <c r="H32" s="20"/>
      <c r="I32" s="20"/>
      <c r="J32" s="20"/>
      <c r="K32" s="20"/>
      <c r="L32" s="20"/>
      <c r="M32" s="20"/>
      <c r="N32" s="20"/>
      <c r="O32" s="20"/>
      <c r="P32" s="20"/>
      <c r="Q32" s="20"/>
      <c r="R32" s="20"/>
      <c r="S32" s="20"/>
      <c r="T32" s="20"/>
      <c r="U32" s="20"/>
    </row>
    <row r="33" spans="1:21" x14ac:dyDescent="0.55000000000000004">
      <c r="A33" s="1" t="str">
        <f>'Population Definitions'!$A$5</f>
        <v>Gen 65+</v>
      </c>
      <c r="B33" s="1" t="s">
        <v>10</v>
      </c>
      <c r="C33" s="2" t="str">
        <f t="shared" si="2"/>
        <v>N.A.</v>
      </c>
      <c r="D33" s="1" t="s">
        <v>16</v>
      </c>
      <c r="E33" s="25">
        <v>0.5</v>
      </c>
      <c r="F33" s="20"/>
      <c r="G33" s="20"/>
      <c r="H33" s="20"/>
      <c r="I33" s="20"/>
      <c r="J33" s="20"/>
      <c r="K33" s="20"/>
      <c r="L33" s="20"/>
      <c r="M33" s="20"/>
      <c r="N33" s="20"/>
      <c r="O33" s="20"/>
      <c r="P33" s="20"/>
      <c r="Q33" s="20"/>
      <c r="R33" s="20"/>
      <c r="S33" s="20"/>
      <c r="T33" s="20"/>
      <c r="U33" s="20"/>
    </row>
    <row r="34" spans="1:21" x14ac:dyDescent="0.55000000000000004">
      <c r="A34" s="1" t="str">
        <f>'Population Definitions'!$A$6</f>
        <v>PLHIV 15-64</v>
      </c>
      <c r="B34" s="1" t="s">
        <v>10</v>
      </c>
      <c r="C34" s="2" t="str">
        <f t="shared" si="2"/>
        <v>N.A.</v>
      </c>
      <c r="D34" s="1" t="s">
        <v>16</v>
      </c>
      <c r="E34" s="25">
        <v>3.4</v>
      </c>
      <c r="F34" s="20"/>
      <c r="G34" s="20"/>
      <c r="H34" s="20"/>
      <c r="I34" s="20"/>
      <c r="J34" s="20"/>
      <c r="K34" s="20"/>
      <c r="L34" s="20"/>
      <c r="M34" s="20"/>
      <c r="N34" s="20"/>
      <c r="O34" s="20"/>
      <c r="P34" s="20"/>
      <c r="Q34" s="20"/>
      <c r="R34" s="20"/>
      <c r="S34" s="20"/>
      <c r="T34" s="20"/>
      <c r="U34" s="20"/>
    </row>
    <row r="35" spans="1:21" x14ac:dyDescent="0.55000000000000004">
      <c r="A35" s="1" t="str">
        <f>'Population Definitions'!$A$7</f>
        <v>PLHIV 65+</v>
      </c>
      <c r="B35" s="1" t="s">
        <v>10</v>
      </c>
      <c r="C35" s="2" t="str">
        <f t="shared" si="2"/>
        <v>N.A.</v>
      </c>
      <c r="D35" s="1" t="s">
        <v>16</v>
      </c>
      <c r="E35" s="25">
        <v>1</v>
      </c>
      <c r="F35" s="20"/>
      <c r="G35" s="20"/>
      <c r="H35" s="20"/>
      <c r="I35" s="20"/>
      <c r="J35" s="20"/>
      <c r="K35" s="20"/>
      <c r="L35" s="20"/>
      <c r="M35" s="20"/>
      <c r="N35" s="20"/>
      <c r="O35" s="20"/>
      <c r="P35" s="20"/>
      <c r="Q35" s="20"/>
      <c r="R35" s="20"/>
      <c r="S35" s="20"/>
      <c r="T35" s="20"/>
      <c r="U35" s="20"/>
    </row>
    <row r="36" spans="1:21" x14ac:dyDescent="0.55000000000000004">
      <c r="A36" s="1" t="str">
        <f>'Population Definitions'!$A$8</f>
        <v>Prisoners</v>
      </c>
      <c r="B36" s="1" t="s">
        <v>10</v>
      </c>
      <c r="C36" s="2" t="str">
        <f t="shared" si="2"/>
        <v>N.A.</v>
      </c>
      <c r="D36" s="1" t="s">
        <v>16</v>
      </c>
      <c r="E36" s="25">
        <v>60</v>
      </c>
      <c r="F36" s="20"/>
      <c r="G36" s="20"/>
      <c r="H36" s="20"/>
      <c r="I36" s="20"/>
      <c r="J36" s="20"/>
      <c r="K36" s="20"/>
      <c r="L36" s="20"/>
      <c r="M36" s="20"/>
      <c r="N36" s="20"/>
      <c r="O36" s="20"/>
      <c r="P36" s="20"/>
      <c r="Q36" s="20"/>
      <c r="R36" s="20"/>
      <c r="S36" s="20"/>
      <c r="T36" s="20"/>
      <c r="U36" s="20"/>
    </row>
    <row r="37" spans="1:21" x14ac:dyDescent="0.55000000000000004">
      <c r="A37" s="1" t="str">
        <f>'Population Definitions'!$A$9</f>
        <v>PLHIV Prisoners</v>
      </c>
      <c r="B37" s="1" t="s">
        <v>10</v>
      </c>
      <c r="C37" s="2" t="str">
        <f t="shared" si="2"/>
        <v>N.A.</v>
      </c>
      <c r="D37" s="1" t="s">
        <v>16</v>
      </c>
      <c r="E37" s="25">
        <v>0.75</v>
      </c>
      <c r="F37" s="20"/>
      <c r="G37" s="20"/>
      <c r="H37" s="20"/>
      <c r="I37" s="20"/>
      <c r="J37" s="20"/>
      <c r="K37" s="20"/>
      <c r="L37" s="20"/>
      <c r="M37" s="20"/>
      <c r="N37" s="20"/>
      <c r="O37" s="20"/>
      <c r="P37" s="20"/>
      <c r="Q37" s="20"/>
      <c r="R37" s="20"/>
      <c r="S37" s="20"/>
      <c r="T37" s="20"/>
      <c r="U37" s="20"/>
    </row>
    <row r="38" spans="1:21" x14ac:dyDescent="0.55000000000000004">
      <c r="A38" s="1" t="str">
        <f>'Population Definitions'!$A$10</f>
        <v>HCW</v>
      </c>
      <c r="B38" s="1" t="s">
        <v>10</v>
      </c>
      <c r="C38" s="2" t="str">
        <f t="shared" si="2"/>
        <v>N.A.</v>
      </c>
      <c r="D38" s="1" t="s">
        <v>16</v>
      </c>
      <c r="E38" s="25">
        <v>1</v>
      </c>
      <c r="F38" s="20"/>
      <c r="G38" s="20"/>
      <c r="H38" s="20"/>
      <c r="I38" s="20"/>
      <c r="J38" s="20"/>
      <c r="K38" s="20"/>
      <c r="L38" s="20"/>
      <c r="M38" s="20"/>
      <c r="N38" s="20"/>
      <c r="O38" s="20"/>
      <c r="P38" s="20"/>
      <c r="Q38" s="20"/>
      <c r="R38" s="20"/>
      <c r="S38" s="20"/>
      <c r="T38" s="20"/>
      <c r="U38" s="20"/>
    </row>
    <row r="39" spans="1:21" x14ac:dyDescent="0.55000000000000004">
      <c r="A39" s="1" t="str">
        <f>'Population Definitions'!$A$11</f>
        <v>PLHIV HCW</v>
      </c>
      <c r="B39" s="1" t="s">
        <v>10</v>
      </c>
      <c r="C39" s="2" t="str">
        <f t="shared" si="2"/>
        <v>N.A.</v>
      </c>
      <c r="D39" s="1" t="s">
        <v>16</v>
      </c>
      <c r="E39" s="25">
        <v>1</v>
      </c>
      <c r="F39" s="20"/>
      <c r="G39" s="20"/>
      <c r="H39" s="20"/>
      <c r="I39" s="20"/>
      <c r="J39" s="20"/>
      <c r="K39" s="20"/>
      <c r="L39" s="20"/>
      <c r="M39" s="20"/>
      <c r="N39" s="20"/>
      <c r="O39" s="20"/>
      <c r="P39" s="20"/>
      <c r="Q39" s="20"/>
      <c r="R39" s="20"/>
      <c r="S39" s="20"/>
      <c r="T39" s="20"/>
      <c r="U39" s="20"/>
    </row>
    <row r="40" spans="1:21" x14ac:dyDescent="0.55000000000000004">
      <c r="A40" s="1" t="str">
        <f>'Population Definitions'!$A$12</f>
        <v>Miners</v>
      </c>
      <c r="B40" s="1" t="s">
        <v>10</v>
      </c>
      <c r="C40" s="2" t="str">
        <f t="shared" si="2"/>
        <v>N.A.</v>
      </c>
      <c r="D40" s="1" t="s">
        <v>16</v>
      </c>
      <c r="E40" s="25">
        <v>1</v>
      </c>
      <c r="F40" s="20"/>
      <c r="G40" s="20"/>
      <c r="H40" s="20"/>
      <c r="I40" s="20"/>
      <c r="J40" s="20"/>
      <c r="K40" s="20"/>
      <c r="L40" s="20"/>
      <c r="M40" s="20"/>
      <c r="N40" s="20"/>
      <c r="O40" s="20"/>
      <c r="P40" s="20"/>
      <c r="Q40" s="20"/>
      <c r="R40" s="20"/>
      <c r="S40" s="20"/>
      <c r="T40" s="20"/>
      <c r="U40" s="20"/>
    </row>
    <row r="41" spans="1:21" x14ac:dyDescent="0.55000000000000004">
      <c r="A41" s="1" t="str">
        <f>'Population Definitions'!$A$13</f>
        <v>PLHIV Miners</v>
      </c>
      <c r="B41" s="1" t="s">
        <v>10</v>
      </c>
      <c r="C41" s="2" t="str">
        <f t="shared" si="2"/>
        <v>N.A.</v>
      </c>
      <c r="D41" s="1" t="s">
        <v>16</v>
      </c>
      <c r="E41" s="25">
        <v>1</v>
      </c>
      <c r="F41" s="20"/>
      <c r="G41" s="20"/>
      <c r="H41" s="20"/>
      <c r="I41" s="20"/>
      <c r="J41" s="20"/>
      <c r="K41" s="20"/>
      <c r="L41" s="20"/>
      <c r="M41" s="20"/>
      <c r="N41" s="20"/>
      <c r="O41" s="20"/>
      <c r="P41" s="20"/>
      <c r="Q41" s="20"/>
      <c r="R41" s="20"/>
      <c r="S41" s="20"/>
      <c r="T41" s="20"/>
      <c r="U41" s="20"/>
    </row>
    <row r="43" spans="1:21" x14ac:dyDescent="0.55000000000000004">
      <c r="A43" s="21" t="s">
        <v>50</v>
      </c>
      <c r="B43" s="1" t="s">
        <v>8</v>
      </c>
      <c r="C43" s="1" t="s">
        <v>9</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row>
    <row r="44" spans="1:21" x14ac:dyDescent="0.55000000000000004">
      <c r="A44" s="1" t="str">
        <f>'Population Definitions'!$A$2</f>
        <v>Gen 0-4</v>
      </c>
      <c r="B44" s="1" t="s">
        <v>10</v>
      </c>
      <c r="C44" s="4">
        <f t="shared" ref="C44:C55" si="3">IF(SUMPRODUCT(--(E44:U44&lt;&gt;""))=0,0.22,"N.A.")</f>
        <v>0.22</v>
      </c>
      <c r="D44" s="1" t="s">
        <v>16</v>
      </c>
      <c r="E44" s="20"/>
      <c r="F44" s="20"/>
      <c r="G44" s="20"/>
      <c r="H44" s="20"/>
      <c r="I44" s="20"/>
      <c r="J44" s="20"/>
      <c r="K44" s="20"/>
      <c r="L44" s="20"/>
      <c r="M44" s="20"/>
      <c r="N44" s="20"/>
      <c r="O44" s="20"/>
      <c r="P44" s="20"/>
      <c r="Q44" s="20"/>
      <c r="R44" s="20"/>
      <c r="S44" s="20"/>
      <c r="T44" s="20"/>
      <c r="U44" s="20"/>
    </row>
    <row r="45" spans="1:21" x14ac:dyDescent="0.55000000000000004">
      <c r="A45" s="1" t="str">
        <f>'Population Definitions'!$A$3</f>
        <v>Gen 5-14</v>
      </c>
      <c r="B45" s="1" t="s">
        <v>10</v>
      </c>
      <c r="C45" s="4">
        <f t="shared" si="3"/>
        <v>0.22</v>
      </c>
      <c r="D45" s="1" t="s">
        <v>16</v>
      </c>
      <c r="E45" s="20"/>
      <c r="F45" s="20"/>
      <c r="G45" s="20"/>
      <c r="H45" s="20"/>
      <c r="I45" s="20"/>
      <c r="J45" s="20"/>
      <c r="K45" s="20"/>
      <c r="L45" s="20"/>
      <c r="M45" s="20"/>
      <c r="N45" s="20"/>
      <c r="O45" s="20"/>
      <c r="P45" s="20"/>
      <c r="Q45" s="20"/>
      <c r="R45" s="20"/>
      <c r="S45" s="20"/>
      <c r="T45" s="20"/>
      <c r="U45" s="20"/>
    </row>
    <row r="46" spans="1:21" x14ac:dyDescent="0.55000000000000004">
      <c r="A46" s="1" t="str">
        <f>'Population Definitions'!$A$4</f>
        <v>Gen 15-64</v>
      </c>
      <c r="B46" s="1" t="s">
        <v>10</v>
      </c>
      <c r="C46" s="4">
        <f t="shared" si="3"/>
        <v>0.22</v>
      </c>
      <c r="D46" s="1" t="s">
        <v>16</v>
      </c>
      <c r="E46" s="20"/>
      <c r="F46" s="20"/>
      <c r="G46" s="20"/>
      <c r="H46" s="20"/>
      <c r="I46" s="20"/>
      <c r="J46" s="20"/>
      <c r="K46" s="20"/>
      <c r="L46" s="20"/>
      <c r="M46" s="20"/>
      <c r="N46" s="20"/>
      <c r="O46" s="20"/>
      <c r="P46" s="20"/>
      <c r="Q46" s="20"/>
      <c r="R46" s="20"/>
      <c r="S46" s="20"/>
      <c r="T46" s="20"/>
      <c r="U46" s="20"/>
    </row>
    <row r="47" spans="1:21" x14ac:dyDescent="0.55000000000000004">
      <c r="A47" s="1" t="str">
        <f>'Population Definitions'!$A$5</f>
        <v>Gen 65+</v>
      </c>
      <c r="B47" s="1" t="s">
        <v>10</v>
      </c>
      <c r="C47" s="4">
        <f t="shared" si="3"/>
        <v>0.22</v>
      </c>
      <c r="D47" s="1" t="s">
        <v>16</v>
      </c>
      <c r="E47" s="20"/>
      <c r="F47" s="20"/>
      <c r="G47" s="20"/>
      <c r="H47" s="20"/>
      <c r="I47" s="20"/>
      <c r="J47" s="20"/>
      <c r="K47" s="20"/>
      <c r="L47" s="20"/>
      <c r="M47" s="20"/>
      <c r="N47" s="20"/>
      <c r="O47" s="20"/>
      <c r="P47" s="20"/>
      <c r="Q47" s="20"/>
      <c r="R47" s="20"/>
      <c r="S47" s="20"/>
      <c r="T47" s="20"/>
      <c r="U47" s="20"/>
    </row>
    <row r="48" spans="1:21" x14ac:dyDescent="0.55000000000000004">
      <c r="A48" s="1" t="str">
        <f>'Population Definitions'!$A$6</f>
        <v>PLHIV 15-64</v>
      </c>
      <c r="B48" s="1" t="s">
        <v>10</v>
      </c>
      <c r="C48" s="4">
        <f t="shared" si="3"/>
        <v>0.22</v>
      </c>
      <c r="D48" s="1" t="s">
        <v>16</v>
      </c>
      <c r="E48" s="20"/>
      <c r="F48" s="20"/>
      <c r="G48" s="20"/>
      <c r="H48" s="20"/>
      <c r="I48" s="20"/>
      <c r="J48" s="20"/>
      <c r="K48" s="20"/>
      <c r="L48" s="20"/>
      <c r="M48" s="20"/>
      <c r="N48" s="20"/>
      <c r="O48" s="20"/>
      <c r="P48" s="20"/>
      <c r="Q48" s="20"/>
      <c r="R48" s="20"/>
      <c r="S48" s="20"/>
      <c r="T48" s="20"/>
      <c r="U48" s="20"/>
    </row>
    <row r="49" spans="1:21" x14ac:dyDescent="0.55000000000000004">
      <c r="A49" s="1" t="str">
        <f>'Population Definitions'!$A$7</f>
        <v>PLHIV 65+</v>
      </c>
      <c r="B49" s="1" t="s">
        <v>10</v>
      </c>
      <c r="C49" s="4">
        <f t="shared" si="3"/>
        <v>0.22</v>
      </c>
      <c r="D49" s="1" t="s">
        <v>16</v>
      </c>
      <c r="E49" s="20"/>
      <c r="F49" s="20"/>
      <c r="G49" s="20"/>
      <c r="H49" s="20"/>
      <c r="I49" s="20"/>
      <c r="J49" s="20"/>
      <c r="K49" s="20"/>
      <c r="L49" s="20"/>
      <c r="M49" s="20"/>
      <c r="N49" s="20"/>
      <c r="O49" s="20"/>
      <c r="P49" s="20"/>
      <c r="Q49" s="20"/>
      <c r="R49" s="20"/>
      <c r="S49" s="20"/>
      <c r="T49" s="20"/>
      <c r="U49" s="20"/>
    </row>
    <row r="50" spans="1:21" x14ac:dyDescent="0.55000000000000004">
      <c r="A50" s="1" t="str">
        <f>'Population Definitions'!$A$8</f>
        <v>Prisoners</v>
      </c>
      <c r="B50" s="1" t="s">
        <v>10</v>
      </c>
      <c r="C50" s="4">
        <f t="shared" si="3"/>
        <v>0.22</v>
      </c>
      <c r="D50" s="1" t="s">
        <v>16</v>
      </c>
      <c r="E50" s="20"/>
      <c r="F50" s="20"/>
      <c r="G50" s="20"/>
      <c r="H50" s="20"/>
      <c r="I50" s="20"/>
      <c r="J50" s="20"/>
      <c r="K50" s="20"/>
      <c r="L50" s="20"/>
      <c r="M50" s="20"/>
      <c r="N50" s="20"/>
      <c r="O50" s="20"/>
      <c r="P50" s="20"/>
      <c r="Q50" s="20"/>
      <c r="R50" s="20"/>
      <c r="S50" s="20"/>
      <c r="T50" s="20"/>
      <c r="U50" s="20"/>
    </row>
    <row r="51" spans="1:21" x14ac:dyDescent="0.55000000000000004">
      <c r="A51" s="1" t="str">
        <f>'Population Definitions'!$A$9</f>
        <v>PLHIV Prisoners</v>
      </c>
      <c r="B51" s="1" t="s">
        <v>10</v>
      </c>
      <c r="C51" s="4">
        <f t="shared" si="3"/>
        <v>0.22</v>
      </c>
      <c r="D51" s="1" t="s">
        <v>16</v>
      </c>
      <c r="E51" s="20"/>
      <c r="F51" s="20"/>
      <c r="G51" s="20"/>
      <c r="H51" s="20"/>
      <c r="I51" s="20"/>
      <c r="J51" s="20"/>
      <c r="K51" s="20"/>
      <c r="L51" s="20"/>
      <c r="M51" s="20"/>
      <c r="N51" s="20"/>
      <c r="O51" s="20"/>
      <c r="P51" s="20"/>
      <c r="Q51" s="20"/>
      <c r="R51" s="20"/>
      <c r="S51" s="20"/>
      <c r="T51" s="20"/>
      <c r="U51" s="20"/>
    </row>
    <row r="52" spans="1:21" x14ac:dyDescent="0.55000000000000004">
      <c r="A52" s="1" t="str">
        <f>'Population Definitions'!$A$10</f>
        <v>HCW</v>
      </c>
      <c r="B52" s="1" t="s">
        <v>10</v>
      </c>
      <c r="C52" s="4">
        <f t="shared" si="3"/>
        <v>0.22</v>
      </c>
      <c r="D52" s="1" t="s">
        <v>16</v>
      </c>
      <c r="E52" s="20"/>
      <c r="F52" s="20"/>
      <c r="G52" s="20"/>
      <c r="H52" s="20"/>
      <c r="I52" s="20"/>
      <c r="J52" s="20"/>
      <c r="K52" s="20"/>
      <c r="L52" s="20"/>
      <c r="M52" s="20"/>
      <c r="N52" s="20"/>
      <c r="O52" s="20"/>
      <c r="P52" s="20"/>
      <c r="Q52" s="20"/>
      <c r="R52" s="20"/>
      <c r="S52" s="20"/>
      <c r="T52" s="20"/>
      <c r="U52" s="20"/>
    </row>
    <row r="53" spans="1:21" x14ac:dyDescent="0.55000000000000004">
      <c r="A53" s="1" t="str">
        <f>'Population Definitions'!$A$11</f>
        <v>PLHIV HCW</v>
      </c>
      <c r="B53" s="1" t="s">
        <v>10</v>
      </c>
      <c r="C53" s="4">
        <f t="shared" si="3"/>
        <v>0.22</v>
      </c>
      <c r="D53" s="1" t="s">
        <v>16</v>
      </c>
      <c r="E53" s="20"/>
      <c r="F53" s="20"/>
      <c r="G53" s="20"/>
      <c r="H53" s="20"/>
      <c r="I53" s="20"/>
      <c r="J53" s="20"/>
      <c r="K53" s="20"/>
      <c r="L53" s="20"/>
      <c r="M53" s="20"/>
      <c r="N53" s="20"/>
      <c r="O53" s="20"/>
      <c r="P53" s="20"/>
      <c r="Q53" s="20"/>
      <c r="R53" s="20"/>
      <c r="S53" s="20"/>
      <c r="T53" s="20"/>
      <c r="U53" s="20"/>
    </row>
    <row r="54" spans="1:21" x14ac:dyDescent="0.55000000000000004">
      <c r="A54" s="1" t="str">
        <f>'Population Definitions'!$A$12</f>
        <v>Miners</v>
      </c>
      <c r="B54" s="1" t="s">
        <v>10</v>
      </c>
      <c r="C54" s="4">
        <f t="shared" si="3"/>
        <v>0.22</v>
      </c>
      <c r="D54" s="1" t="s">
        <v>16</v>
      </c>
      <c r="E54" s="20"/>
      <c r="F54" s="20"/>
      <c r="G54" s="20"/>
      <c r="H54" s="20"/>
      <c r="I54" s="20"/>
      <c r="J54" s="20"/>
      <c r="K54" s="20"/>
      <c r="L54" s="20"/>
      <c r="M54" s="20"/>
      <c r="N54" s="20"/>
      <c r="O54" s="20"/>
      <c r="P54" s="20"/>
      <c r="Q54" s="20"/>
      <c r="R54" s="20"/>
      <c r="S54" s="20"/>
      <c r="T54" s="20"/>
      <c r="U54" s="20"/>
    </row>
    <row r="55" spans="1:21" x14ac:dyDescent="0.55000000000000004">
      <c r="A55" s="1" t="str">
        <f>'Population Definitions'!$A$13</f>
        <v>PLHIV Miners</v>
      </c>
      <c r="B55" s="1" t="s">
        <v>10</v>
      </c>
      <c r="C55" s="4">
        <f t="shared" si="3"/>
        <v>0.22</v>
      </c>
      <c r="D55" s="1" t="s">
        <v>16</v>
      </c>
      <c r="E55" s="20"/>
      <c r="F55" s="20"/>
      <c r="G55" s="20"/>
      <c r="H55" s="20"/>
      <c r="I55" s="20"/>
      <c r="J55" s="20"/>
      <c r="K55" s="20"/>
      <c r="L55" s="20"/>
      <c r="M55" s="20"/>
      <c r="N55" s="20"/>
      <c r="O55" s="20"/>
      <c r="P55" s="20"/>
      <c r="Q55" s="20"/>
      <c r="R55" s="20"/>
      <c r="S55" s="20"/>
      <c r="T55" s="20"/>
      <c r="U55" s="20"/>
    </row>
    <row r="57" spans="1:21" x14ac:dyDescent="0.55000000000000004">
      <c r="A57" s="21" t="s">
        <v>57</v>
      </c>
      <c r="B57" s="1" t="s">
        <v>8</v>
      </c>
      <c r="C57" s="1" t="s">
        <v>9</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row>
    <row r="58" spans="1:21" x14ac:dyDescent="0.55000000000000004">
      <c r="A58" s="1" t="str">
        <f>'Population Definitions'!$A$2</f>
        <v>Gen 0-4</v>
      </c>
      <c r="B58" s="1" t="s">
        <v>10</v>
      </c>
      <c r="C58" s="4">
        <f t="shared" ref="C58:C69" si="4">IF(SUMPRODUCT(--(E58:U58&lt;&gt;""))=0,1,"N.A.")</f>
        <v>1</v>
      </c>
      <c r="D58" s="1" t="s">
        <v>16</v>
      </c>
      <c r="E58" s="20"/>
      <c r="F58" s="20"/>
      <c r="G58" s="20"/>
      <c r="H58" s="20"/>
      <c r="I58" s="20"/>
      <c r="J58" s="20"/>
      <c r="K58" s="20"/>
      <c r="L58" s="20"/>
      <c r="M58" s="20"/>
      <c r="N58" s="20"/>
      <c r="O58" s="20"/>
      <c r="P58" s="20"/>
      <c r="Q58" s="20"/>
      <c r="R58" s="20"/>
      <c r="S58" s="20"/>
      <c r="T58" s="20"/>
      <c r="U58" s="20"/>
    </row>
    <row r="59" spans="1:21" x14ac:dyDescent="0.55000000000000004">
      <c r="A59" s="1" t="str">
        <f>'Population Definitions'!$A$3</f>
        <v>Gen 5-14</v>
      </c>
      <c r="B59" s="1" t="s">
        <v>10</v>
      </c>
      <c r="C59" s="4">
        <f t="shared" si="4"/>
        <v>1</v>
      </c>
      <c r="D59" s="1" t="s">
        <v>16</v>
      </c>
      <c r="E59" s="20"/>
      <c r="F59" s="20"/>
      <c r="G59" s="20"/>
      <c r="H59" s="20"/>
      <c r="I59" s="20"/>
      <c r="J59" s="20"/>
      <c r="K59" s="20"/>
      <c r="L59" s="20"/>
      <c r="M59" s="20"/>
      <c r="N59" s="20"/>
      <c r="O59" s="20"/>
      <c r="P59" s="20"/>
      <c r="Q59" s="20"/>
      <c r="R59" s="20"/>
      <c r="S59" s="20"/>
      <c r="T59" s="20"/>
      <c r="U59" s="20"/>
    </row>
    <row r="60" spans="1:21" x14ac:dyDescent="0.55000000000000004">
      <c r="A60" s="1" t="str">
        <f>'Population Definitions'!$A$4</f>
        <v>Gen 15-64</v>
      </c>
      <c r="B60" s="1" t="s">
        <v>10</v>
      </c>
      <c r="C60" s="4">
        <f t="shared" si="4"/>
        <v>1</v>
      </c>
      <c r="D60" s="1" t="s">
        <v>16</v>
      </c>
      <c r="E60" s="20"/>
      <c r="F60" s="20"/>
      <c r="G60" s="20"/>
      <c r="H60" s="20"/>
      <c r="I60" s="20"/>
      <c r="J60" s="20"/>
      <c r="K60" s="20"/>
      <c r="L60" s="20"/>
      <c r="M60" s="20"/>
      <c r="N60" s="20"/>
      <c r="O60" s="20"/>
      <c r="P60" s="20"/>
      <c r="Q60" s="20"/>
      <c r="R60" s="20"/>
      <c r="S60" s="20"/>
      <c r="T60" s="20"/>
      <c r="U60" s="20"/>
    </row>
    <row r="61" spans="1:21" x14ac:dyDescent="0.55000000000000004">
      <c r="A61" s="1" t="str">
        <f>'Population Definitions'!$A$5</f>
        <v>Gen 65+</v>
      </c>
      <c r="B61" s="1" t="s">
        <v>10</v>
      </c>
      <c r="C61" s="4">
        <f t="shared" si="4"/>
        <v>1</v>
      </c>
      <c r="D61" s="1" t="s">
        <v>16</v>
      </c>
      <c r="E61" s="20"/>
      <c r="F61" s="20"/>
      <c r="G61" s="20"/>
      <c r="H61" s="20"/>
      <c r="I61" s="20"/>
      <c r="J61" s="20"/>
      <c r="K61" s="20"/>
      <c r="L61" s="20"/>
      <c r="M61" s="20"/>
      <c r="N61" s="20"/>
      <c r="O61" s="20"/>
      <c r="P61" s="20"/>
      <c r="Q61" s="20"/>
      <c r="R61" s="20"/>
      <c r="S61" s="20"/>
      <c r="T61" s="20"/>
      <c r="U61" s="20"/>
    </row>
    <row r="62" spans="1:21" x14ac:dyDescent="0.55000000000000004">
      <c r="A62" s="1" t="str">
        <f>'Population Definitions'!$A$6</f>
        <v>PLHIV 15-64</v>
      </c>
      <c r="B62" s="1" t="s">
        <v>10</v>
      </c>
      <c r="C62" s="4">
        <f t="shared" si="4"/>
        <v>1</v>
      </c>
      <c r="D62" s="1" t="s">
        <v>16</v>
      </c>
      <c r="E62" s="20"/>
      <c r="F62" s="20"/>
      <c r="G62" s="20"/>
      <c r="H62" s="20"/>
      <c r="I62" s="20"/>
      <c r="J62" s="20"/>
      <c r="K62" s="20"/>
      <c r="L62" s="20"/>
      <c r="M62" s="20"/>
      <c r="N62" s="20"/>
      <c r="O62" s="20"/>
      <c r="P62" s="20"/>
      <c r="Q62" s="20"/>
      <c r="R62" s="20"/>
      <c r="S62" s="20"/>
      <c r="T62" s="20"/>
      <c r="U62" s="20"/>
    </row>
    <row r="63" spans="1:21" x14ac:dyDescent="0.55000000000000004">
      <c r="A63" s="1" t="str">
        <f>'Population Definitions'!$A$7</f>
        <v>PLHIV 65+</v>
      </c>
      <c r="B63" s="1" t="s">
        <v>10</v>
      </c>
      <c r="C63" s="4">
        <f t="shared" si="4"/>
        <v>1</v>
      </c>
      <c r="D63" s="1" t="s">
        <v>16</v>
      </c>
      <c r="E63" s="20"/>
      <c r="F63" s="20"/>
      <c r="G63" s="20"/>
      <c r="H63" s="20"/>
      <c r="I63" s="20"/>
      <c r="J63" s="20"/>
      <c r="K63" s="20"/>
      <c r="L63" s="20"/>
      <c r="M63" s="20"/>
      <c r="N63" s="20"/>
      <c r="O63" s="20"/>
      <c r="P63" s="20"/>
      <c r="Q63" s="20"/>
      <c r="R63" s="20"/>
      <c r="S63" s="20"/>
      <c r="T63" s="20"/>
      <c r="U63" s="20"/>
    </row>
    <row r="64" spans="1:21" x14ac:dyDescent="0.55000000000000004">
      <c r="A64" s="1" t="str">
        <f>'Population Definitions'!$A$8</f>
        <v>Prisoners</v>
      </c>
      <c r="B64" s="1" t="s">
        <v>10</v>
      </c>
      <c r="C64" s="4">
        <f t="shared" si="4"/>
        <v>1</v>
      </c>
      <c r="D64" s="1" t="s">
        <v>16</v>
      </c>
      <c r="E64" s="20"/>
      <c r="F64" s="20"/>
      <c r="G64" s="20"/>
      <c r="H64" s="20"/>
      <c r="I64" s="20"/>
      <c r="J64" s="20"/>
      <c r="K64" s="20"/>
      <c r="L64" s="20"/>
      <c r="M64" s="20"/>
      <c r="N64" s="20"/>
      <c r="O64" s="20"/>
      <c r="P64" s="20"/>
      <c r="Q64" s="20"/>
      <c r="R64" s="20"/>
      <c r="S64" s="20"/>
      <c r="T64" s="20"/>
      <c r="U64" s="20"/>
    </row>
    <row r="65" spans="1:21" x14ac:dyDescent="0.55000000000000004">
      <c r="A65" s="1" t="str">
        <f>'Population Definitions'!$A$9</f>
        <v>PLHIV Prisoners</v>
      </c>
      <c r="B65" s="1" t="s">
        <v>10</v>
      </c>
      <c r="C65" s="4">
        <f t="shared" si="4"/>
        <v>1</v>
      </c>
      <c r="D65" s="1" t="s">
        <v>16</v>
      </c>
      <c r="E65" s="20"/>
      <c r="F65" s="20"/>
      <c r="G65" s="20"/>
      <c r="H65" s="20"/>
      <c r="I65" s="20"/>
      <c r="J65" s="20"/>
      <c r="K65" s="20"/>
      <c r="L65" s="20"/>
      <c r="M65" s="20"/>
      <c r="N65" s="20"/>
      <c r="O65" s="20"/>
      <c r="P65" s="20"/>
      <c r="Q65" s="20"/>
      <c r="R65" s="20"/>
      <c r="S65" s="20"/>
      <c r="T65" s="20"/>
      <c r="U65" s="20"/>
    </row>
    <row r="66" spans="1:21" x14ac:dyDescent="0.55000000000000004">
      <c r="A66" s="1" t="str">
        <f>'Population Definitions'!$A$10</f>
        <v>HCW</v>
      </c>
      <c r="B66" s="1" t="s">
        <v>10</v>
      </c>
      <c r="C66" s="4">
        <f t="shared" si="4"/>
        <v>1</v>
      </c>
      <c r="D66" s="1" t="s">
        <v>16</v>
      </c>
      <c r="E66" s="20"/>
      <c r="F66" s="20"/>
      <c r="G66" s="20"/>
      <c r="H66" s="20"/>
      <c r="I66" s="20"/>
      <c r="J66" s="20"/>
      <c r="K66" s="20"/>
      <c r="L66" s="20"/>
      <c r="M66" s="20"/>
      <c r="N66" s="20"/>
      <c r="O66" s="20"/>
      <c r="P66" s="20"/>
      <c r="Q66" s="20"/>
      <c r="R66" s="20"/>
      <c r="S66" s="20"/>
      <c r="T66" s="20"/>
      <c r="U66" s="20"/>
    </row>
    <row r="67" spans="1:21" x14ac:dyDescent="0.55000000000000004">
      <c r="A67" s="1" t="str">
        <f>'Population Definitions'!$A$11</f>
        <v>PLHIV HCW</v>
      </c>
      <c r="B67" s="1" t="s">
        <v>10</v>
      </c>
      <c r="C67" s="4">
        <f t="shared" si="4"/>
        <v>1</v>
      </c>
      <c r="D67" s="1" t="s">
        <v>16</v>
      </c>
      <c r="E67" s="20"/>
      <c r="F67" s="20"/>
      <c r="G67" s="20"/>
      <c r="H67" s="20"/>
      <c r="I67" s="20"/>
      <c r="J67" s="20"/>
      <c r="K67" s="20"/>
      <c r="L67" s="20"/>
      <c r="M67" s="20"/>
      <c r="N67" s="20"/>
      <c r="O67" s="20"/>
      <c r="P67" s="20"/>
      <c r="Q67" s="20"/>
      <c r="R67" s="20"/>
      <c r="S67" s="20"/>
      <c r="T67" s="20"/>
      <c r="U67" s="20"/>
    </row>
    <row r="68" spans="1:21" x14ac:dyDescent="0.55000000000000004">
      <c r="A68" s="1" t="str">
        <f>'Population Definitions'!$A$12</f>
        <v>Miners</v>
      </c>
      <c r="B68" s="1" t="s">
        <v>10</v>
      </c>
      <c r="C68" s="4">
        <f t="shared" si="4"/>
        <v>1</v>
      </c>
      <c r="D68" s="1" t="s">
        <v>16</v>
      </c>
      <c r="E68" s="20"/>
      <c r="F68" s="20"/>
      <c r="G68" s="20"/>
      <c r="H68" s="20"/>
      <c r="I68" s="20"/>
      <c r="J68" s="20"/>
      <c r="K68" s="20"/>
      <c r="L68" s="20"/>
      <c r="M68" s="20"/>
      <c r="N68" s="20"/>
      <c r="O68" s="20"/>
      <c r="P68" s="20"/>
      <c r="Q68" s="20"/>
      <c r="R68" s="20"/>
      <c r="S68" s="20"/>
      <c r="T68" s="20"/>
      <c r="U68" s="20"/>
    </row>
    <row r="69" spans="1:21" x14ac:dyDescent="0.55000000000000004">
      <c r="A69" s="1" t="str">
        <f>'Population Definitions'!$A$13</f>
        <v>PLHIV Miners</v>
      </c>
      <c r="B69" s="1" t="s">
        <v>10</v>
      </c>
      <c r="C69" s="4">
        <f t="shared" si="4"/>
        <v>1</v>
      </c>
      <c r="D69" s="1" t="s">
        <v>16</v>
      </c>
      <c r="E69" s="20"/>
      <c r="F69" s="20"/>
      <c r="G69" s="20"/>
      <c r="H69" s="20"/>
      <c r="I69" s="20"/>
      <c r="J69" s="20"/>
      <c r="K69" s="20"/>
      <c r="L69" s="20"/>
      <c r="M69" s="20"/>
      <c r="N69" s="20"/>
      <c r="O69" s="20"/>
      <c r="P69" s="20"/>
      <c r="Q69" s="20"/>
      <c r="R69" s="20"/>
      <c r="S69" s="20"/>
      <c r="T69" s="20"/>
      <c r="U69" s="20"/>
    </row>
    <row r="71" spans="1:21" x14ac:dyDescent="0.55000000000000004">
      <c r="A71" s="21" t="s">
        <v>63</v>
      </c>
      <c r="B71" s="1" t="s">
        <v>8</v>
      </c>
      <c r="C71" s="1" t="s">
        <v>9</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row>
    <row r="72" spans="1:21" x14ac:dyDescent="0.55000000000000004">
      <c r="A72" s="1" t="str">
        <f>'Population Definitions'!$A$2</f>
        <v>Gen 0-4</v>
      </c>
      <c r="B72" s="1" t="s">
        <v>10</v>
      </c>
      <c r="C72" s="4">
        <f t="shared" ref="C72:C83" si="5">IF(SUMPRODUCT(--(E72:U72&lt;&gt;""))=0,1,"N.A.")</f>
        <v>1</v>
      </c>
      <c r="D72" s="1" t="s">
        <v>16</v>
      </c>
      <c r="E72" s="20"/>
      <c r="F72" s="20"/>
      <c r="G72" s="20"/>
      <c r="H72" s="20"/>
      <c r="I72" s="20"/>
      <c r="J72" s="20"/>
      <c r="K72" s="20"/>
      <c r="L72" s="20"/>
      <c r="M72" s="20"/>
      <c r="N72" s="20"/>
      <c r="O72" s="20"/>
      <c r="P72" s="20"/>
      <c r="Q72" s="20"/>
      <c r="R72" s="20"/>
      <c r="S72" s="20"/>
      <c r="T72" s="20"/>
      <c r="U72" s="20"/>
    </row>
    <row r="73" spans="1:21" x14ac:dyDescent="0.55000000000000004">
      <c r="A73" s="1" t="str">
        <f>'Population Definitions'!$A$3</f>
        <v>Gen 5-14</v>
      </c>
      <c r="B73" s="1" t="s">
        <v>10</v>
      </c>
      <c r="C73" s="4">
        <f t="shared" si="5"/>
        <v>1</v>
      </c>
      <c r="D73" s="1" t="s">
        <v>16</v>
      </c>
      <c r="E73" s="20"/>
      <c r="F73" s="20"/>
      <c r="G73" s="20"/>
      <c r="H73" s="20"/>
      <c r="I73" s="20"/>
      <c r="J73" s="20"/>
      <c r="K73" s="20"/>
      <c r="L73" s="20"/>
      <c r="M73" s="20"/>
      <c r="N73" s="20"/>
      <c r="O73" s="20"/>
      <c r="P73" s="20"/>
      <c r="Q73" s="20"/>
      <c r="R73" s="20"/>
      <c r="S73" s="20"/>
      <c r="T73" s="20"/>
      <c r="U73" s="20"/>
    </row>
    <row r="74" spans="1:21" x14ac:dyDescent="0.55000000000000004">
      <c r="A74" s="1" t="str">
        <f>'Population Definitions'!$A$4</f>
        <v>Gen 15-64</v>
      </c>
      <c r="B74" s="1" t="s">
        <v>10</v>
      </c>
      <c r="C74" s="4">
        <f t="shared" si="5"/>
        <v>1</v>
      </c>
      <c r="D74" s="1" t="s">
        <v>16</v>
      </c>
      <c r="E74" s="20"/>
      <c r="F74" s="20"/>
      <c r="G74" s="20"/>
      <c r="H74" s="20"/>
      <c r="I74" s="20"/>
      <c r="J74" s="20"/>
      <c r="K74" s="20"/>
      <c r="L74" s="20"/>
      <c r="M74" s="20"/>
      <c r="N74" s="20"/>
      <c r="O74" s="20"/>
      <c r="P74" s="20"/>
      <c r="Q74" s="20"/>
      <c r="R74" s="20"/>
      <c r="S74" s="20"/>
      <c r="T74" s="20"/>
      <c r="U74" s="20"/>
    </row>
    <row r="75" spans="1:21" x14ac:dyDescent="0.55000000000000004">
      <c r="A75" s="1" t="str">
        <f>'Population Definitions'!$A$5</f>
        <v>Gen 65+</v>
      </c>
      <c r="B75" s="1" t="s">
        <v>10</v>
      </c>
      <c r="C75" s="4">
        <f t="shared" si="5"/>
        <v>1</v>
      </c>
      <c r="D75" s="1" t="s">
        <v>16</v>
      </c>
      <c r="E75" s="20"/>
      <c r="F75" s="20"/>
      <c r="G75" s="20"/>
      <c r="H75" s="20"/>
      <c r="I75" s="20"/>
      <c r="J75" s="20"/>
      <c r="K75" s="20"/>
      <c r="L75" s="20"/>
      <c r="M75" s="20"/>
      <c r="N75" s="20"/>
      <c r="O75" s="20"/>
      <c r="P75" s="20"/>
      <c r="Q75" s="20"/>
      <c r="R75" s="20"/>
      <c r="S75" s="20"/>
      <c r="T75" s="20"/>
      <c r="U75" s="20"/>
    </row>
    <row r="76" spans="1:21" x14ac:dyDescent="0.55000000000000004">
      <c r="A76" s="1" t="str">
        <f>'Population Definitions'!$A$6</f>
        <v>PLHIV 15-64</v>
      </c>
      <c r="B76" s="1" t="s">
        <v>10</v>
      </c>
      <c r="C76" s="4">
        <f t="shared" si="5"/>
        <v>1</v>
      </c>
      <c r="D76" s="1" t="s">
        <v>16</v>
      </c>
      <c r="E76" s="20"/>
      <c r="F76" s="20"/>
      <c r="G76" s="20"/>
      <c r="H76" s="20"/>
      <c r="I76" s="20"/>
      <c r="J76" s="20"/>
      <c r="K76" s="20"/>
      <c r="L76" s="20"/>
      <c r="M76" s="20"/>
      <c r="N76" s="20"/>
      <c r="O76" s="20"/>
      <c r="P76" s="20"/>
      <c r="Q76" s="20"/>
      <c r="R76" s="20"/>
      <c r="S76" s="20"/>
      <c r="T76" s="20"/>
      <c r="U76" s="20"/>
    </row>
    <row r="77" spans="1:21" x14ac:dyDescent="0.55000000000000004">
      <c r="A77" s="1" t="str">
        <f>'Population Definitions'!$A$7</f>
        <v>PLHIV 65+</v>
      </c>
      <c r="B77" s="1" t="s">
        <v>10</v>
      </c>
      <c r="C77" s="4">
        <f t="shared" si="5"/>
        <v>1</v>
      </c>
      <c r="D77" s="1" t="s">
        <v>16</v>
      </c>
      <c r="E77" s="20"/>
      <c r="F77" s="20"/>
      <c r="G77" s="20"/>
      <c r="H77" s="20"/>
      <c r="I77" s="20"/>
      <c r="J77" s="20"/>
      <c r="K77" s="20"/>
      <c r="L77" s="20"/>
      <c r="M77" s="20"/>
      <c r="N77" s="20"/>
      <c r="O77" s="20"/>
      <c r="P77" s="20"/>
      <c r="Q77" s="20"/>
      <c r="R77" s="20"/>
      <c r="S77" s="20"/>
      <c r="T77" s="20"/>
      <c r="U77" s="20"/>
    </row>
    <row r="78" spans="1:21" x14ac:dyDescent="0.55000000000000004">
      <c r="A78" s="1" t="str">
        <f>'Population Definitions'!$A$8</f>
        <v>Prisoners</v>
      </c>
      <c r="B78" s="1" t="s">
        <v>10</v>
      </c>
      <c r="C78" s="4">
        <f t="shared" si="5"/>
        <v>1</v>
      </c>
      <c r="D78" s="1" t="s">
        <v>16</v>
      </c>
      <c r="E78" s="20"/>
      <c r="F78" s="20"/>
      <c r="G78" s="20"/>
      <c r="H78" s="20"/>
      <c r="I78" s="20"/>
      <c r="J78" s="20"/>
      <c r="K78" s="20"/>
      <c r="L78" s="20"/>
      <c r="M78" s="20"/>
      <c r="N78" s="20"/>
      <c r="O78" s="20"/>
      <c r="P78" s="20"/>
      <c r="Q78" s="20"/>
      <c r="R78" s="20"/>
      <c r="S78" s="20"/>
      <c r="T78" s="20"/>
      <c r="U78" s="20"/>
    </row>
    <row r="79" spans="1:21" x14ac:dyDescent="0.55000000000000004">
      <c r="A79" s="1" t="str">
        <f>'Population Definitions'!$A$9</f>
        <v>PLHIV Prisoners</v>
      </c>
      <c r="B79" s="1" t="s">
        <v>10</v>
      </c>
      <c r="C79" s="4">
        <f t="shared" si="5"/>
        <v>1</v>
      </c>
      <c r="D79" s="1" t="s">
        <v>16</v>
      </c>
      <c r="E79" s="20"/>
      <c r="F79" s="20"/>
      <c r="G79" s="20"/>
      <c r="H79" s="20"/>
      <c r="I79" s="20"/>
      <c r="J79" s="20"/>
      <c r="K79" s="20"/>
      <c r="L79" s="20"/>
      <c r="M79" s="20"/>
      <c r="N79" s="20"/>
      <c r="O79" s="20"/>
      <c r="P79" s="20"/>
      <c r="Q79" s="20"/>
      <c r="R79" s="20"/>
      <c r="S79" s="20"/>
      <c r="T79" s="20"/>
      <c r="U79" s="20"/>
    </row>
    <row r="80" spans="1:21" x14ac:dyDescent="0.55000000000000004">
      <c r="A80" s="1" t="str">
        <f>'Population Definitions'!$A$10</f>
        <v>HCW</v>
      </c>
      <c r="B80" s="1" t="s">
        <v>10</v>
      </c>
      <c r="C80" s="4">
        <f t="shared" si="5"/>
        <v>1</v>
      </c>
      <c r="D80" s="1" t="s">
        <v>16</v>
      </c>
      <c r="E80" s="20"/>
      <c r="F80" s="20"/>
      <c r="G80" s="20"/>
      <c r="H80" s="20"/>
      <c r="I80" s="20"/>
      <c r="J80" s="20"/>
      <c r="K80" s="20"/>
      <c r="L80" s="20"/>
      <c r="M80" s="20"/>
      <c r="N80" s="20"/>
      <c r="O80" s="20"/>
      <c r="P80" s="20"/>
      <c r="Q80" s="20"/>
      <c r="R80" s="20"/>
      <c r="S80" s="20"/>
      <c r="T80" s="20"/>
      <c r="U80" s="20"/>
    </row>
    <row r="81" spans="1:21" x14ac:dyDescent="0.55000000000000004">
      <c r="A81" s="1" t="str">
        <f>'Population Definitions'!$A$11</f>
        <v>PLHIV HCW</v>
      </c>
      <c r="B81" s="1" t="s">
        <v>10</v>
      </c>
      <c r="C81" s="4">
        <f t="shared" si="5"/>
        <v>1</v>
      </c>
      <c r="D81" s="1" t="s">
        <v>16</v>
      </c>
      <c r="E81" s="20"/>
      <c r="F81" s="20"/>
      <c r="G81" s="20"/>
      <c r="H81" s="20"/>
      <c r="I81" s="20"/>
      <c r="J81" s="20"/>
      <c r="K81" s="20"/>
      <c r="L81" s="20"/>
      <c r="M81" s="20"/>
      <c r="N81" s="20"/>
      <c r="O81" s="20"/>
      <c r="P81" s="20"/>
      <c r="Q81" s="20"/>
      <c r="R81" s="20"/>
      <c r="S81" s="20"/>
      <c r="T81" s="20"/>
      <c r="U81" s="20"/>
    </row>
    <row r="82" spans="1:21" x14ac:dyDescent="0.55000000000000004">
      <c r="A82" s="1" t="str">
        <f>'Population Definitions'!$A$12</f>
        <v>Miners</v>
      </c>
      <c r="B82" s="1" t="s">
        <v>10</v>
      </c>
      <c r="C82" s="4">
        <f t="shared" si="5"/>
        <v>1</v>
      </c>
      <c r="D82" s="1" t="s">
        <v>16</v>
      </c>
      <c r="E82" s="20"/>
      <c r="F82" s="20"/>
      <c r="G82" s="20"/>
      <c r="H82" s="20"/>
      <c r="I82" s="20"/>
      <c r="J82" s="20"/>
      <c r="K82" s="20"/>
      <c r="L82" s="20"/>
      <c r="M82" s="20"/>
      <c r="N82" s="20"/>
      <c r="O82" s="20"/>
      <c r="P82" s="20"/>
      <c r="Q82" s="20"/>
      <c r="R82" s="20"/>
      <c r="S82" s="20"/>
      <c r="T82" s="20"/>
      <c r="U82" s="20"/>
    </row>
    <row r="83" spans="1:21" x14ac:dyDescent="0.55000000000000004">
      <c r="A83" s="1" t="str">
        <f>'Population Definitions'!$A$13</f>
        <v>PLHIV Miners</v>
      </c>
      <c r="B83" s="1" t="s">
        <v>10</v>
      </c>
      <c r="C83" s="4">
        <f t="shared" si="5"/>
        <v>1</v>
      </c>
      <c r="D83" s="1" t="s">
        <v>16</v>
      </c>
      <c r="E83" s="20"/>
      <c r="F83" s="20"/>
      <c r="G83" s="20"/>
      <c r="H83" s="20"/>
      <c r="I83" s="20"/>
      <c r="J83" s="20"/>
      <c r="K83" s="20"/>
      <c r="L83" s="20"/>
      <c r="M83" s="20"/>
      <c r="N83" s="20"/>
      <c r="O83" s="20"/>
      <c r="P83" s="20"/>
      <c r="Q83" s="20"/>
      <c r="R83" s="20"/>
      <c r="S83" s="20"/>
      <c r="T83" s="20"/>
      <c r="U83" s="20"/>
    </row>
    <row r="85" spans="1:21" x14ac:dyDescent="0.55000000000000004">
      <c r="A85" s="21" t="s">
        <v>113</v>
      </c>
      <c r="B85" s="1" t="s">
        <v>8</v>
      </c>
      <c r="C85" s="1" t="s">
        <v>9</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row>
    <row r="86" spans="1:21" x14ac:dyDescent="0.55000000000000004">
      <c r="A86" s="1" t="str">
        <f>'Population Definitions'!$A$2</f>
        <v>Gen 0-4</v>
      </c>
      <c r="B86" s="1" t="s">
        <v>10</v>
      </c>
      <c r="C86" s="4">
        <f>IF(SUMPRODUCT(--(E86:U86&lt;&gt;""))=0,0.02,"N.A.")</f>
        <v>0.02</v>
      </c>
      <c r="D86" s="1" t="s">
        <v>16</v>
      </c>
      <c r="E86" s="20"/>
      <c r="F86" s="20"/>
      <c r="G86" s="20"/>
      <c r="H86" s="20"/>
      <c r="I86" s="20"/>
      <c r="J86" s="20"/>
      <c r="K86" s="20"/>
      <c r="L86" s="20"/>
      <c r="M86" s="20"/>
      <c r="N86" s="20"/>
      <c r="O86" s="20"/>
      <c r="P86" s="20"/>
      <c r="Q86" s="20"/>
      <c r="R86" s="20"/>
      <c r="S86" s="20"/>
      <c r="T86" s="20"/>
      <c r="U86" s="20"/>
    </row>
    <row r="87" spans="1:21" x14ac:dyDescent="0.55000000000000004">
      <c r="A87" s="1" t="str">
        <f>'Population Definitions'!$A$3</f>
        <v>Gen 5-14</v>
      </c>
      <c r="B87" s="1" t="s">
        <v>10</v>
      </c>
      <c r="C87" s="4">
        <f t="shared" ref="C87:C97" si="6">IF(SUMPRODUCT(--(E87:U87&lt;&gt;""))=0,0.02,"N.A.")</f>
        <v>0.02</v>
      </c>
      <c r="D87" s="1" t="s">
        <v>16</v>
      </c>
      <c r="E87" s="20"/>
      <c r="F87" s="20"/>
      <c r="G87" s="20"/>
      <c r="H87" s="20"/>
      <c r="I87" s="20"/>
      <c r="J87" s="20"/>
      <c r="K87" s="20"/>
      <c r="L87" s="20"/>
      <c r="M87" s="20"/>
      <c r="N87" s="20"/>
      <c r="O87" s="20"/>
      <c r="P87" s="20"/>
      <c r="Q87" s="20"/>
      <c r="R87" s="20"/>
      <c r="S87" s="20"/>
      <c r="T87" s="20"/>
      <c r="U87" s="20"/>
    </row>
    <row r="88" spans="1:21" x14ac:dyDescent="0.55000000000000004">
      <c r="A88" s="1" t="str">
        <f>'Population Definitions'!$A$4</f>
        <v>Gen 15-64</v>
      </c>
      <c r="B88" s="1" t="s">
        <v>10</v>
      </c>
      <c r="C88" s="4">
        <f t="shared" si="6"/>
        <v>0.02</v>
      </c>
      <c r="D88" s="1" t="s">
        <v>16</v>
      </c>
      <c r="E88" s="20"/>
      <c r="F88" s="20"/>
      <c r="G88" s="20"/>
      <c r="H88" s="20"/>
      <c r="I88" s="20"/>
      <c r="J88" s="20"/>
      <c r="K88" s="20"/>
      <c r="L88" s="20"/>
      <c r="M88" s="20"/>
      <c r="N88" s="20"/>
      <c r="O88" s="20"/>
      <c r="P88" s="20"/>
      <c r="Q88" s="20"/>
      <c r="R88" s="20"/>
      <c r="S88" s="20"/>
      <c r="T88" s="20"/>
      <c r="U88" s="20"/>
    </row>
    <row r="89" spans="1:21" x14ac:dyDescent="0.55000000000000004">
      <c r="A89" s="1" t="str">
        <f>'Population Definitions'!$A$5</f>
        <v>Gen 65+</v>
      </c>
      <c r="B89" s="1" t="s">
        <v>10</v>
      </c>
      <c r="C89" s="4">
        <f t="shared" si="6"/>
        <v>0.02</v>
      </c>
      <c r="D89" s="1" t="s">
        <v>16</v>
      </c>
      <c r="E89" s="20"/>
      <c r="F89" s="20"/>
      <c r="G89" s="20"/>
      <c r="H89" s="20"/>
      <c r="I89" s="20"/>
      <c r="J89" s="20"/>
      <c r="K89" s="20"/>
      <c r="L89" s="20"/>
      <c r="M89" s="20"/>
      <c r="N89" s="20"/>
      <c r="O89" s="20"/>
      <c r="P89" s="20"/>
      <c r="Q89" s="20"/>
      <c r="R89" s="20"/>
      <c r="S89" s="20"/>
      <c r="T89" s="20"/>
      <c r="U89" s="20"/>
    </row>
    <row r="90" spans="1:21" x14ac:dyDescent="0.55000000000000004">
      <c r="A90" s="1" t="str">
        <f>'Population Definitions'!$A$6</f>
        <v>PLHIV 15-64</v>
      </c>
      <c r="B90" s="1" t="s">
        <v>10</v>
      </c>
      <c r="C90" s="4">
        <f t="shared" si="6"/>
        <v>0.02</v>
      </c>
      <c r="D90" s="1" t="s">
        <v>16</v>
      </c>
      <c r="E90" s="20"/>
      <c r="F90" s="20"/>
      <c r="G90" s="20"/>
      <c r="H90" s="20"/>
      <c r="I90" s="20"/>
      <c r="J90" s="20"/>
      <c r="K90" s="20"/>
      <c r="L90" s="20"/>
      <c r="M90" s="20"/>
      <c r="N90" s="20"/>
      <c r="O90" s="20"/>
      <c r="P90" s="20"/>
      <c r="Q90" s="20"/>
      <c r="R90" s="20"/>
      <c r="S90" s="20"/>
      <c r="T90" s="20"/>
      <c r="U90" s="20"/>
    </row>
    <row r="91" spans="1:21" x14ac:dyDescent="0.55000000000000004">
      <c r="A91" s="1" t="str">
        <f>'Population Definitions'!$A$7</f>
        <v>PLHIV 65+</v>
      </c>
      <c r="B91" s="1" t="s">
        <v>10</v>
      </c>
      <c r="C91" s="4">
        <f t="shared" si="6"/>
        <v>0.02</v>
      </c>
      <c r="D91" s="1" t="s">
        <v>16</v>
      </c>
      <c r="E91" s="20"/>
      <c r="F91" s="20"/>
      <c r="G91" s="20"/>
      <c r="H91" s="20"/>
      <c r="I91" s="20"/>
      <c r="J91" s="20"/>
      <c r="K91" s="20"/>
      <c r="L91" s="20"/>
      <c r="M91" s="20"/>
      <c r="N91" s="20"/>
      <c r="O91" s="20"/>
      <c r="P91" s="20"/>
      <c r="Q91" s="20"/>
      <c r="R91" s="20"/>
      <c r="S91" s="20"/>
      <c r="T91" s="20"/>
      <c r="U91" s="20"/>
    </row>
    <row r="92" spans="1:21" x14ac:dyDescent="0.55000000000000004">
      <c r="A92" s="1" t="str">
        <f>'Population Definitions'!$A$8</f>
        <v>Prisoners</v>
      </c>
      <c r="B92" s="1" t="s">
        <v>10</v>
      </c>
      <c r="C92" s="4">
        <f t="shared" si="6"/>
        <v>0.02</v>
      </c>
      <c r="D92" s="1" t="s">
        <v>16</v>
      </c>
      <c r="E92" s="20"/>
      <c r="F92" s="20"/>
      <c r="G92" s="20"/>
      <c r="H92" s="20"/>
      <c r="I92" s="20"/>
      <c r="J92" s="20"/>
      <c r="K92" s="20"/>
      <c r="L92" s="20"/>
      <c r="M92" s="20"/>
      <c r="N92" s="20"/>
      <c r="O92" s="20"/>
      <c r="P92" s="20"/>
      <c r="Q92" s="20"/>
      <c r="R92" s="20"/>
      <c r="S92" s="20"/>
      <c r="T92" s="20"/>
      <c r="U92" s="20"/>
    </row>
    <row r="93" spans="1:21" x14ac:dyDescent="0.55000000000000004">
      <c r="A93" s="1" t="str">
        <f>'Population Definitions'!$A$9</f>
        <v>PLHIV Prisoners</v>
      </c>
      <c r="B93" s="1" t="s">
        <v>10</v>
      </c>
      <c r="C93" s="4">
        <f t="shared" si="6"/>
        <v>0.02</v>
      </c>
      <c r="D93" s="1" t="s">
        <v>16</v>
      </c>
      <c r="E93" s="20"/>
      <c r="F93" s="20"/>
      <c r="G93" s="20"/>
      <c r="H93" s="20"/>
      <c r="I93" s="20"/>
      <c r="J93" s="20"/>
      <c r="K93" s="20"/>
      <c r="L93" s="20"/>
      <c r="M93" s="20"/>
      <c r="N93" s="20"/>
      <c r="O93" s="20"/>
      <c r="P93" s="20"/>
      <c r="Q93" s="20"/>
      <c r="R93" s="20"/>
      <c r="S93" s="20"/>
      <c r="T93" s="20"/>
      <c r="U93" s="20"/>
    </row>
    <row r="94" spans="1:21" x14ac:dyDescent="0.55000000000000004">
      <c r="A94" s="1" t="str">
        <f>'Population Definitions'!$A$10</f>
        <v>HCW</v>
      </c>
      <c r="B94" s="1" t="s">
        <v>10</v>
      </c>
      <c r="C94" s="4">
        <f t="shared" si="6"/>
        <v>0.02</v>
      </c>
      <c r="D94" s="1" t="s">
        <v>16</v>
      </c>
      <c r="E94" s="20"/>
      <c r="F94" s="20"/>
      <c r="G94" s="20"/>
      <c r="H94" s="20"/>
      <c r="I94" s="20"/>
      <c r="J94" s="20"/>
      <c r="K94" s="20"/>
      <c r="L94" s="20"/>
      <c r="M94" s="20"/>
      <c r="N94" s="20"/>
      <c r="O94" s="20"/>
      <c r="P94" s="20"/>
      <c r="Q94" s="20"/>
      <c r="R94" s="20"/>
      <c r="S94" s="20"/>
      <c r="T94" s="20"/>
      <c r="U94" s="20"/>
    </row>
    <row r="95" spans="1:21" x14ac:dyDescent="0.55000000000000004">
      <c r="A95" s="1" t="str">
        <f>'Population Definitions'!$A$11</f>
        <v>PLHIV HCW</v>
      </c>
      <c r="B95" s="1" t="s">
        <v>10</v>
      </c>
      <c r="C95" s="4">
        <f t="shared" si="6"/>
        <v>0.02</v>
      </c>
      <c r="D95" s="1" t="s">
        <v>16</v>
      </c>
      <c r="E95" s="20"/>
      <c r="F95" s="20"/>
      <c r="G95" s="20"/>
      <c r="H95" s="20"/>
      <c r="I95" s="20"/>
      <c r="J95" s="20"/>
      <c r="K95" s="20"/>
      <c r="L95" s="20"/>
      <c r="M95" s="20"/>
      <c r="N95" s="20"/>
      <c r="O95" s="20"/>
      <c r="P95" s="20"/>
      <c r="Q95" s="20"/>
      <c r="R95" s="20"/>
      <c r="S95" s="20"/>
      <c r="T95" s="20"/>
      <c r="U95" s="20"/>
    </row>
    <row r="96" spans="1:21" x14ac:dyDescent="0.55000000000000004">
      <c r="A96" s="1" t="str">
        <f>'Population Definitions'!$A$12</f>
        <v>Miners</v>
      </c>
      <c r="B96" s="1" t="s">
        <v>10</v>
      </c>
      <c r="C96" s="4">
        <f t="shared" si="6"/>
        <v>0.02</v>
      </c>
      <c r="D96" s="1" t="s">
        <v>16</v>
      </c>
      <c r="E96" s="20"/>
      <c r="F96" s="20"/>
      <c r="G96" s="20"/>
      <c r="H96" s="20"/>
      <c r="I96" s="20"/>
      <c r="J96" s="20"/>
      <c r="K96" s="20"/>
      <c r="L96" s="20"/>
      <c r="M96" s="20"/>
      <c r="N96" s="20"/>
      <c r="O96" s="20"/>
      <c r="P96" s="20"/>
      <c r="Q96" s="20"/>
      <c r="R96" s="20"/>
      <c r="S96" s="20"/>
      <c r="T96" s="20"/>
      <c r="U96" s="20"/>
    </row>
    <row r="97" spans="1:21" x14ac:dyDescent="0.55000000000000004">
      <c r="A97" s="1" t="str">
        <f>'Population Definitions'!$A$13</f>
        <v>PLHIV Miners</v>
      </c>
      <c r="B97" s="1" t="s">
        <v>10</v>
      </c>
      <c r="C97" s="4">
        <f t="shared" si="6"/>
        <v>0.02</v>
      </c>
      <c r="D97" s="1" t="s">
        <v>16</v>
      </c>
      <c r="E97" s="20"/>
      <c r="F97" s="20"/>
      <c r="G97" s="20"/>
      <c r="H97" s="20"/>
      <c r="I97" s="20"/>
      <c r="J97" s="20"/>
      <c r="K97" s="20"/>
      <c r="L97" s="20"/>
      <c r="M97" s="20"/>
      <c r="N97" s="20"/>
      <c r="O97" s="20"/>
      <c r="P97" s="20"/>
      <c r="Q97" s="20"/>
      <c r="R97" s="20"/>
      <c r="S97" s="20"/>
      <c r="T97" s="20"/>
      <c r="U97" s="20"/>
    </row>
  </sheetData>
  <dataValidations count="72">
    <dataValidation type="list" showInputMessage="1" showErrorMessage="1" sqref="B2 B86:B97">
      <formula1>"Fraction,Number"</formula1>
    </dataValidation>
    <dataValidation type="list" showInputMessage="1" showErrorMessage="1" sqref="B3">
      <formula1>"Fraction,Number"</formula1>
    </dataValidation>
    <dataValidation type="list" showInputMessage="1" showErrorMessage="1" sqref="B4">
      <formula1>"Fraction,Number"</formula1>
    </dataValidation>
    <dataValidation type="list" showInputMessage="1" showErrorMessage="1" sqref="B5">
      <formula1>"Fraction,Number"</formula1>
    </dataValidation>
    <dataValidation type="list" showInputMessage="1" showErrorMessage="1" sqref="B6">
      <formula1>"Fraction,Number"</formula1>
    </dataValidation>
    <dataValidation type="list" showInputMessage="1" showErrorMessage="1" sqref="B7">
      <formula1>"Fraction,Number"</formula1>
    </dataValidation>
    <dataValidation type="list" showInputMessage="1" showErrorMessage="1" sqref="B8">
      <formula1>"Fraction,Number"</formula1>
    </dataValidation>
    <dataValidation type="list" showInputMessage="1" showErrorMessage="1" sqref="B9">
      <formula1>"Fraction,Number"</formula1>
    </dataValidation>
    <dataValidation type="list" showInputMessage="1" showErrorMessage="1" sqref="B10">
      <formula1>"Fraction,Number"</formula1>
    </dataValidation>
    <dataValidation type="list" showInputMessage="1" showErrorMessage="1" sqref="B11">
      <formula1>"Fraction,Number"</formula1>
    </dataValidation>
    <dataValidation type="list" showInputMessage="1" showErrorMessage="1" sqref="B12">
      <formula1>"Fraction,Number"</formula1>
    </dataValidation>
    <dataValidation type="list" showInputMessage="1" showErrorMessage="1" sqref="B13">
      <formula1>"Fraction,Number"</formula1>
    </dataValidation>
    <dataValidation type="list" showInputMessage="1" showErrorMessage="1" sqref="B16">
      <formula1>"Fraction,Number"</formula1>
    </dataValidation>
    <dataValidation type="list" showInputMessage="1" showErrorMessage="1" sqref="B17">
      <formula1>"Fraction,Number"</formula1>
    </dataValidation>
    <dataValidation type="list" showInputMessage="1" showErrorMessage="1" sqref="B18">
      <formula1>"Fraction,Number"</formula1>
    </dataValidation>
    <dataValidation type="list" showInputMessage="1" showErrorMessage="1" sqref="B19">
      <formula1>"Fraction,Number"</formula1>
    </dataValidation>
    <dataValidation type="list" showInputMessage="1" showErrorMessage="1" sqref="B20">
      <formula1>"Fraction,Number"</formula1>
    </dataValidation>
    <dataValidation type="list" showInputMessage="1" showErrorMessage="1" sqref="B21">
      <formula1>"Fraction,Number"</formula1>
    </dataValidation>
    <dataValidation type="list" showInputMessage="1" showErrorMessage="1" sqref="B22">
      <formula1>"Fraction,Number"</formula1>
    </dataValidation>
    <dataValidation type="list" showInputMessage="1" showErrorMessage="1" sqref="B23">
      <formula1>"Fraction,Number"</formula1>
    </dataValidation>
    <dataValidation type="list" showInputMessage="1" showErrorMessage="1" sqref="B24">
      <formula1>"Fraction,Number"</formula1>
    </dataValidation>
    <dataValidation type="list" showInputMessage="1" showErrorMessage="1" sqref="B25">
      <formula1>"Fraction,Number"</formula1>
    </dataValidation>
    <dataValidation type="list" showInputMessage="1" showErrorMessage="1" sqref="B26">
      <formula1>"Fraction,Number"</formula1>
    </dataValidation>
    <dataValidation type="list" showInputMessage="1" showErrorMessage="1" sqref="B27">
      <formula1>"Fraction,Number"</formula1>
    </dataValidation>
    <dataValidation type="list" showInputMessage="1" showErrorMessage="1" sqref="B30">
      <formula1>"Fraction,Number"</formula1>
    </dataValidation>
    <dataValidation type="list" showInputMessage="1" showErrorMessage="1" sqref="B31">
      <formula1>"Fraction,Number"</formula1>
    </dataValidation>
    <dataValidation type="list" showInputMessage="1" showErrorMessage="1" sqref="B32">
      <formula1>"Fraction,Number"</formula1>
    </dataValidation>
    <dataValidation type="list" showInputMessage="1" showErrorMessage="1" sqref="B33">
      <formula1>"Fraction,Number"</formula1>
    </dataValidation>
    <dataValidation type="list" showInputMessage="1" showErrorMessage="1" sqref="B34">
      <formula1>"Fraction,Number"</formula1>
    </dataValidation>
    <dataValidation type="list" showInputMessage="1" showErrorMessage="1" sqref="B35">
      <formula1>"Fraction,Number"</formula1>
    </dataValidation>
    <dataValidation type="list" showInputMessage="1" showErrorMessage="1" sqref="B36">
      <formula1>"Fraction,Number"</formula1>
    </dataValidation>
    <dataValidation type="list" showInputMessage="1" showErrorMessage="1" sqref="B37">
      <formula1>"Fraction,Number"</formula1>
    </dataValidation>
    <dataValidation type="list" showInputMessage="1" showErrorMessage="1" sqref="B38">
      <formula1>"Fraction,Number"</formula1>
    </dataValidation>
    <dataValidation type="list" showInputMessage="1" showErrorMessage="1" sqref="B39">
      <formula1>"Fraction,Number"</formula1>
    </dataValidation>
    <dataValidation type="list" showInputMessage="1" showErrorMessage="1" sqref="B40">
      <formula1>"Fraction,Number"</formula1>
    </dataValidation>
    <dataValidation type="list" showInputMessage="1" showErrorMessage="1" sqref="B41">
      <formula1>"Fraction,Number"</formula1>
    </dataValidation>
    <dataValidation type="list" showInputMessage="1" showErrorMessage="1" sqref="B44">
      <formula1>"Fraction,Number"</formula1>
    </dataValidation>
    <dataValidation type="list" showInputMessage="1" showErrorMessage="1" sqref="B45">
      <formula1>"Fraction,Number"</formula1>
    </dataValidation>
    <dataValidation type="list" showInputMessage="1" showErrorMessage="1" sqref="B46">
      <formula1>"Fraction,Number"</formula1>
    </dataValidation>
    <dataValidation type="list" showInputMessage="1" showErrorMessage="1" sqref="B47">
      <formula1>"Fraction,Number"</formula1>
    </dataValidation>
    <dataValidation type="list" showInputMessage="1" showErrorMessage="1" sqref="B48">
      <formula1>"Fraction,Number"</formula1>
    </dataValidation>
    <dataValidation type="list" showInputMessage="1" showErrorMessage="1" sqref="B49">
      <formula1>"Fraction,Number"</formula1>
    </dataValidation>
    <dataValidation type="list" showInputMessage="1" showErrorMessage="1" sqref="B50">
      <formula1>"Fraction,Number"</formula1>
    </dataValidation>
    <dataValidation type="list" showInputMessage="1" showErrorMessage="1" sqref="B51">
      <formula1>"Fraction,Number"</formula1>
    </dataValidation>
    <dataValidation type="list" showInputMessage="1" showErrorMessage="1" sqref="B52">
      <formula1>"Fraction,Number"</formula1>
    </dataValidation>
    <dataValidation type="list" showInputMessage="1" showErrorMessage="1" sqref="B53">
      <formula1>"Fraction,Number"</formula1>
    </dataValidation>
    <dataValidation type="list" showInputMessage="1" showErrorMessage="1" sqref="B54">
      <formula1>"Fraction,Number"</formula1>
    </dataValidation>
    <dataValidation type="list" showInputMessage="1" showErrorMessage="1" sqref="B55">
      <formula1>"Fraction,Number"</formula1>
    </dataValidation>
    <dataValidation type="list" showInputMessage="1" showErrorMessage="1" sqref="B58">
      <formula1>"Fraction,Number"</formula1>
    </dataValidation>
    <dataValidation type="list" showInputMessage="1" showErrorMessage="1" sqref="B59">
      <formula1>"Fraction,Number"</formula1>
    </dataValidation>
    <dataValidation type="list" showInputMessage="1" showErrorMessage="1" sqref="B60">
      <formula1>"Fraction,Number"</formula1>
    </dataValidation>
    <dataValidation type="list" showInputMessage="1" showErrorMessage="1" sqref="B61">
      <formula1>"Fraction,Number"</formula1>
    </dataValidation>
    <dataValidation type="list" showInputMessage="1" showErrorMessage="1" sqref="B62">
      <formula1>"Fraction,Number"</formula1>
    </dataValidation>
    <dataValidation type="list" showInputMessage="1" showErrorMessage="1" sqref="B63">
      <formula1>"Fraction,Number"</formula1>
    </dataValidation>
    <dataValidation type="list" showInputMessage="1" showErrorMessage="1" sqref="B64">
      <formula1>"Fraction,Number"</formula1>
    </dataValidation>
    <dataValidation type="list" showInputMessage="1" showErrorMessage="1" sqref="B65">
      <formula1>"Fraction,Number"</formula1>
    </dataValidation>
    <dataValidation type="list" showInputMessage="1" showErrorMessage="1" sqref="B66">
      <formula1>"Fraction,Number"</formula1>
    </dataValidation>
    <dataValidation type="list" showInputMessage="1" showErrorMessage="1" sqref="B67">
      <formula1>"Fraction,Number"</formula1>
    </dataValidation>
    <dataValidation type="list" showInputMessage="1" showErrorMessage="1" sqref="B68">
      <formula1>"Fraction,Number"</formula1>
    </dataValidation>
    <dataValidation type="list" showInputMessage="1" showErrorMessage="1" sqref="B69">
      <formula1>"Fraction,Number"</formula1>
    </dataValidation>
    <dataValidation type="list" showInputMessage="1" showErrorMessage="1" sqref="B72">
      <formula1>"Fraction,Number"</formula1>
    </dataValidation>
    <dataValidation type="list" showInputMessage="1" showErrorMessage="1" sqref="B73">
      <formula1>"Fraction,Number"</formula1>
    </dataValidation>
    <dataValidation type="list" showInputMessage="1" showErrorMessage="1" sqref="B74">
      <formula1>"Fraction,Number"</formula1>
    </dataValidation>
    <dataValidation type="list" showInputMessage="1" showErrorMessage="1" sqref="B75">
      <formula1>"Fraction,Number"</formula1>
    </dataValidation>
    <dataValidation type="list" showInputMessage="1" showErrorMessage="1" sqref="B76">
      <formula1>"Fraction,Number"</formula1>
    </dataValidation>
    <dataValidation type="list" showInputMessage="1" showErrorMessage="1" sqref="B77">
      <formula1>"Fraction,Number"</formula1>
    </dataValidation>
    <dataValidation type="list" showInputMessage="1" showErrorMessage="1" sqref="B78">
      <formula1>"Fraction,Number"</formula1>
    </dataValidation>
    <dataValidation type="list" showInputMessage="1" showErrorMessage="1" sqref="B79">
      <formula1>"Fraction,Number"</formula1>
    </dataValidation>
    <dataValidation type="list" showInputMessage="1" showErrorMessage="1" sqref="B80">
      <formula1>"Fraction,Number"</formula1>
    </dataValidation>
    <dataValidation type="list" showInputMessage="1" showErrorMessage="1" sqref="B81">
      <formula1>"Fraction,Number"</formula1>
    </dataValidation>
    <dataValidation type="list" showInputMessage="1" showErrorMessage="1" sqref="B82">
      <formula1>"Fraction,Number"</formula1>
    </dataValidation>
    <dataValidation type="list" showInputMessage="1" showErrorMessage="1" sqref="B83">
      <formula1>"Fraction,Number"</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9"/>
  <sheetViews>
    <sheetView workbookViewId="0">
      <selection activeCell="E17" sqref="E17"/>
    </sheetView>
  </sheetViews>
  <sheetFormatPr defaultColWidth="8.83984375" defaultRowHeight="14.4" x14ac:dyDescent="0.55000000000000004"/>
  <cols>
    <col min="1" max="1" width="60.68359375" customWidth="1"/>
    <col min="2" max="3" width="10.68359375" customWidth="1"/>
  </cols>
  <sheetData>
    <row r="1" spans="1:21" x14ac:dyDescent="0.55000000000000004">
      <c r="A1" s="21" t="s">
        <v>18</v>
      </c>
      <c r="B1" s="1" t="s">
        <v>8</v>
      </c>
      <c r="C1" s="1" t="s">
        <v>9</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row>
    <row r="2" spans="1:21" x14ac:dyDescent="0.55000000000000004">
      <c r="A2" s="1" t="str">
        <f>'Population Definitions'!$A$2</f>
        <v>Gen 0-4</v>
      </c>
      <c r="B2" s="1" t="s">
        <v>14</v>
      </c>
      <c r="C2" s="4" t="str">
        <f t="shared" ref="C2:C13" si="0">IF(SUMPRODUCT(--(E2:U2&lt;&gt;""))=0,0,"N.A.")</f>
        <v>N.A.</v>
      </c>
      <c r="D2" s="1" t="s">
        <v>16</v>
      </c>
      <c r="E2" s="20">
        <f>'General Demographics'!E2*0.6*$E$16</f>
        <v>196086.5355</v>
      </c>
      <c r="F2" s="20">
        <f>'General Demographics'!F2*$E$16</f>
        <v>345769.89500000002</v>
      </c>
      <c r="G2" s="20"/>
      <c r="H2" s="20"/>
      <c r="I2" s="20"/>
      <c r="J2" s="20"/>
      <c r="K2" s="20"/>
      <c r="L2" s="20"/>
      <c r="M2" s="20"/>
      <c r="N2" s="20"/>
      <c r="O2" s="20"/>
      <c r="P2" s="20"/>
      <c r="Q2" s="20"/>
      <c r="R2" s="20"/>
      <c r="S2" s="20"/>
      <c r="T2" s="20"/>
      <c r="U2" s="20"/>
    </row>
    <row r="3" spans="1:21" x14ac:dyDescent="0.55000000000000004">
      <c r="A3" s="1" t="str">
        <f>'Population Definitions'!$A$3</f>
        <v>Gen 5-14</v>
      </c>
      <c r="B3" s="1" t="s">
        <v>14</v>
      </c>
      <c r="C3" s="4" t="str">
        <f t="shared" si="0"/>
        <v>N.A.</v>
      </c>
      <c r="D3" s="1" t="s">
        <v>16</v>
      </c>
      <c r="E3" s="20">
        <f>'General Demographics'!E3*0.8*POWER($E$16,5)</f>
        <v>20108.095701425736</v>
      </c>
      <c r="F3" s="20">
        <f>'General Demographics'!F3*0.8*POWER($E$16,5)</f>
        <v>20571.5493687784</v>
      </c>
      <c r="G3" s="20"/>
      <c r="H3" s="20"/>
      <c r="I3" s="20"/>
      <c r="J3" s="20"/>
      <c r="K3" s="20"/>
      <c r="L3" s="20"/>
      <c r="M3" s="20"/>
      <c r="N3" s="20"/>
      <c r="O3" s="20"/>
      <c r="P3" s="20"/>
      <c r="Q3" s="20"/>
      <c r="R3" s="20"/>
      <c r="S3" s="20"/>
      <c r="T3" s="20"/>
      <c r="U3" s="20"/>
    </row>
    <row r="4" spans="1:21" x14ac:dyDescent="0.55000000000000004">
      <c r="A4" s="1" t="str">
        <f>'Population Definitions'!$A$4</f>
        <v>Gen 15-64</v>
      </c>
      <c r="B4" s="1" t="s">
        <v>14</v>
      </c>
      <c r="C4" s="4" t="str">
        <f t="shared" si="0"/>
        <v>N.A.</v>
      </c>
      <c r="D4" s="1" t="s">
        <v>16</v>
      </c>
      <c r="E4" s="20">
        <v>549888.96905186586</v>
      </c>
      <c r="F4" s="20"/>
      <c r="G4" s="20"/>
      <c r="H4" s="20"/>
      <c r="I4" s="20"/>
      <c r="J4" s="20"/>
      <c r="K4" s="20"/>
      <c r="L4" s="20"/>
      <c r="M4" s="20"/>
      <c r="N4" s="20"/>
      <c r="O4" s="20"/>
      <c r="P4" s="20"/>
      <c r="Q4" s="20"/>
      <c r="R4" s="20"/>
      <c r="S4" s="20"/>
      <c r="T4" s="20"/>
      <c r="U4" s="20"/>
    </row>
    <row r="5" spans="1:21" x14ac:dyDescent="0.55000000000000004">
      <c r="A5" s="1" t="str">
        <f>'Population Definitions'!$A$5</f>
        <v>Gen 65+</v>
      </c>
      <c r="B5" s="1" t="s">
        <v>14</v>
      </c>
      <c r="C5" s="4">
        <f t="shared" si="0"/>
        <v>0</v>
      </c>
      <c r="D5" s="1" t="s">
        <v>16</v>
      </c>
      <c r="E5" s="20"/>
      <c r="F5" s="20"/>
      <c r="G5" s="20"/>
      <c r="H5" s="20"/>
      <c r="I5" s="20"/>
      <c r="J5" s="20"/>
      <c r="K5" s="20"/>
      <c r="L5" s="20"/>
      <c r="M5" s="20"/>
      <c r="N5" s="20"/>
      <c r="O5" s="20"/>
      <c r="P5" s="20"/>
      <c r="Q5" s="20"/>
      <c r="R5" s="20"/>
      <c r="S5" s="20"/>
      <c r="T5" s="20"/>
      <c r="U5" s="20"/>
    </row>
    <row r="6" spans="1:21" x14ac:dyDescent="0.55000000000000004">
      <c r="A6" s="1" t="str">
        <f>'Population Definitions'!$A$6</f>
        <v>PLHIV 15-64</v>
      </c>
      <c r="B6" s="1" t="s">
        <v>14</v>
      </c>
      <c r="C6" s="4">
        <f t="shared" si="0"/>
        <v>0</v>
      </c>
      <c r="D6" s="1" t="s">
        <v>16</v>
      </c>
      <c r="E6" s="20"/>
      <c r="F6" s="20"/>
      <c r="G6" s="20"/>
      <c r="H6" s="20"/>
      <c r="I6" s="20"/>
      <c r="J6" s="20"/>
      <c r="K6" s="20"/>
      <c r="L6" s="20"/>
      <c r="M6" s="20"/>
      <c r="N6" s="20"/>
      <c r="O6" s="20"/>
      <c r="P6" s="20"/>
      <c r="Q6" s="20"/>
      <c r="R6" s="20"/>
      <c r="S6" s="20"/>
      <c r="T6" s="20"/>
      <c r="U6" s="20"/>
    </row>
    <row r="7" spans="1:21" x14ac:dyDescent="0.55000000000000004">
      <c r="A7" s="1" t="str">
        <f>'Population Definitions'!$A$7</f>
        <v>PLHIV 65+</v>
      </c>
      <c r="B7" s="1" t="s">
        <v>14</v>
      </c>
      <c r="C7" s="4">
        <f t="shared" si="0"/>
        <v>0</v>
      </c>
      <c r="D7" s="1" t="s">
        <v>16</v>
      </c>
      <c r="E7" s="20"/>
      <c r="F7" s="20"/>
      <c r="G7" s="20"/>
      <c r="H7" s="20"/>
      <c r="I7" s="20"/>
      <c r="J7" s="20"/>
      <c r="K7" s="20"/>
      <c r="L7" s="20"/>
      <c r="M7" s="20"/>
      <c r="N7" s="20"/>
      <c r="O7" s="20"/>
      <c r="P7" s="20"/>
      <c r="Q7" s="20"/>
      <c r="R7" s="20"/>
      <c r="S7" s="20"/>
      <c r="T7" s="20"/>
      <c r="U7" s="20"/>
    </row>
    <row r="8" spans="1:21" x14ac:dyDescent="0.55000000000000004">
      <c r="A8" s="1" t="str">
        <f>'Population Definitions'!$A$8</f>
        <v>Prisoners</v>
      </c>
      <c r="B8" s="1" t="s">
        <v>14</v>
      </c>
      <c r="C8" s="4">
        <f t="shared" si="0"/>
        <v>0</v>
      </c>
      <c r="D8" s="1" t="s">
        <v>16</v>
      </c>
      <c r="E8" s="20"/>
      <c r="F8" s="20"/>
      <c r="G8" s="20"/>
      <c r="H8" s="20"/>
      <c r="I8" s="20"/>
      <c r="J8" s="20"/>
      <c r="K8" s="20"/>
      <c r="L8" s="20"/>
      <c r="M8" s="20"/>
      <c r="N8" s="20"/>
      <c r="O8" s="20"/>
      <c r="P8" s="20"/>
      <c r="Q8" s="20"/>
      <c r="R8" s="20"/>
      <c r="S8" s="20"/>
      <c r="T8" s="20"/>
      <c r="U8" s="20"/>
    </row>
    <row r="9" spans="1:21" x14ac:dyDescent="0.55000000000000004">
      <c r="A9" s="1" t="str">
        <f>'Population Definitions'!$A$9</f>
        <v>PLHIV Prisoners</v>
      </c>
      <c r="B9" s="1" t="s">
        <v>14</v>
      </c>
      <c r="C9" s="4">
        <f t="shared" si="0"/>
        <v>0</v>
      </c>
      <c r="D9" s="1" t="s">
        <v>16</v>
      </c>
      <c r="E9" s="20"/>
      <c r="F9" s="20"/>
      <c r="G9" s="20"/>
      <c r="H9" s="20"/>
      <c r="I9" s="20"/>
      <c r="J9" s="20"/>
      <c r="K9" s="20"/>
      <c r="L9" s="20"/>
      <c r="M9" s="20"/>
      <c r="N9" s="20"/>
      <c r="O9" s="20"/>
      <c r="P9" s="20"/>
      <c r="Q9" s="20"/>
      <c r="R9" s="20"/>
      <c r="S9" s="20"/>
      <c r="T9" s="20"/>
      <c r="U9" s="20"/>
    </row>
    <row r="10" spans="1:21" x14ac:dyDescent="0.55000000000000004">
      <c r="A10" s="1" t="str">
        <f>'Population Definitions'!$A$10</f>
        <v>HCW</v>
      </c>
      <c r="B10" s="1" t="s">
        <v>14</v>
      </c>
      <c r="C10" s="4">
        <f t="shared" si="0"/>
        <v>0</v>
      </c>
      <c r="D10" s="1" t="s">
        <v>16</v>
      </c>
      <c r="E10" s="20"/>
      <c r="F10" s="20"/>
      <c r="G10" s="20"/>
      <c r="H10" s="20"/>
      <c r="I10" s="20"/>
      <c r="J10" s="20"/>
      <c r="K10" s="20"/>
      <c r="L10" s="20"/>
      <c r="M10" s="20"/>
      <c r="N10" s="20"/>
      <c r="O10" s="20"/>
      <c r="P10" s="20"/>
      <c r="Q10" s="20"/>
      <c r="R10" s="20"/>
      <c r="S10" s="20"/>
      <c r="T10" s="20"/>
      <c r="U10" s="20"/>
    </row>
    <row r="11" spans="1:21" x14ac:dyDescent="0.55000000000000004">
      <c r="A11" s="1" t="str">
        <f>'Population Definitions'!$A$11</f>
        <v>PLHIV HCW</v>
      </c>
      <c r="B11" s="1" t="s">
        <v>14</v>
      </c>
      <c r="C11" s="4">
        <f t="shared" si="0"/>
        <v>0</v>
      </c>
      <c r="D11" s="1" t="s">
        <v>16</v>
      </c>
      <c r="E11" s="20"/>
      <c r="F11" s="20"/>
      <c r="G11" s="20"/>
      <c r="H11" s="20"/>
      <c r="I11" s="20"/>
      <c r="J11" s="20"/>
      <c r="K11" s="20"/>
      <c r="L11" s="20"/>
      <c r="M11" s="20"/>
      <c r="N11" s="20"/>
      <c r="O11" s="20"/>
      <c r="P11" s="20"/>
      <c r="Q11" s="20"/>
      <c r="R11" s="20"/>
      <c r="S11" s="20"/>
      <c r="T11" s="20"/>
      <c r="U11" s="20"/>
    </row>
    <row r="12" spans="1:21" x14ac:dyDescent="0.55000000000000004">
      <c r="A12" s="1" t="str">
        <f>'Population Definitions'!$A$12</f>
        <v>Miners</v>
      </c>
      <c r="B12" s="1" t="s">
        <v>14</v>
      </c>
      <c r="C12" s="4">
        <f t="shared" si="0"/>
        <v>0</v>
      </c>
      <c r="D12" s="1" t="s">
        <v>16</v>
      </c>
      <c r="E12" s="20"/>
      <c r="F12" s="20"/>
      <c r="G12" s="20"/>
      <c r="H12" s="20"/>
      <c r="I12" s="20"/>
      <c r="J12" s="20"/>
      <c r="K12" s="20"/>
      <c r="L12" s="20"/>
      <c r="M12" s="20"/>
      <c r="N12" s="20"/>
      <c r="O12" s="20"/>
      <c r="P12" s="20"/>
      <c r="Q12" s="20"/>
      <c r="R12" s="20"/>
      <c r="S12" s="20"/>
      <c r="T12" s="20"/>
      <c r="U12" s="20"/>
    </row>
    <row r="13" spans="1:21" x14ac:dyDescent="0.55000000000000004">
      <c r="A13" s="1" t="str">
        <f>'Population Definitions'!$A$13</f>
        <v>PLHIV Miners</v>
      </c>
      <c r="B13" s="1" t="s">
        <v>14</v>
      </c>
      <c r="C13" s="4">
        <f t="shared" si="0"/>
        <v>0</v>
      </c>
      <c r="D13" s="1" t="s">
        <v>16</v>
      </c>
      <c r="E13" s="20"/>
      <c r="F13" s="20"/>
      <c r="G13" s="20"/>
      <c r="H13" s="20"/>
      <c r="I13" s="20"/>
      <c r="J13" s="20"/>
      <c r="K13" s="20"/>
      <c r="L13" s="20"/>
      <c r="M13" s="20"/>
      <c r="N13" s="20"/>
      <c r="O13" s="20"/>
      <c r="P13" s="20"/>
      <c r="Q13" s="20"/>
      <c r="R13" s="20"/>
      <c r="S13" s="20"/>
      <c r="T13" s="20"/>
      <c r="U13" s="20"/>
    </row>
    <row r="15" spans="1:21" x14ac:dyDescent="0.55000000000000004">
      <c r="A15" s="21" t="s">
        <v>28</v>
      </c>
      <c r="B15" s="1" t="s">
        <v>8</v>
      </c>
      <c r="C15" s="1" t="s">
        <v>9</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row>
    <row r="16" spans="1:21" x14ac:dyDescent="0.55000000000000004">
      <c r="A16" s="1" t="str">
        <f>'Population Definitions'!$A$2</f>
        <v>Gen 0-4</v>
      </c>
      <c r="B16" s="1" t="s">
        <v>10</v>
      </c>
      <c r="C16" s="4" t="str">
        <f>IF(SUMPRODUCT(--(E16:U16&lt;&gt;""))=0,0.88,"N.A.")</f>
        <v>N.A.</v>
      </c>
      <c r="D16" s="1" t="s">
        <v>16</v>
      </c>
      <c r="E16" s="22">
        <f>0.89*(0.5)</f>
        <v>0.44500000000000001</v>
      </c>
      <c r="F16" s="22">
        <f>0*(0.5)</f>
        <v>0</v>
      </c>
      <c r="G16" s="22">
        <f>0*(0.5)</f>
        <v>0</v>
      </c>
      <c r="H16" s="22">
        <f>0*(0.5)</f>
        <v>0</v>
      </c>
      <c r="I16" s="22">
        <f>0*(0.5)</f>
        <v>0</v>
      </c>
      <c r="J16" s="22">
        <f>0*(0.5)</f>
        <v>0</v>
      </c>
      <c r="K16" s="22">
        <f>0.985781291309669*(0.5)</f>
        <v>0.49289064565483448</v>
      </c>
      <c r="L16" s="22">
        <f>0.999*(0.5)</f>
        <v>0.4995</v>
      </c>
      <c r="M16" s="22">
        <f>1*(0.5)</f>
        <v>0.5</v>
      </c>
      <c r="N16" s="22">
        <f>1*(0.5)</f>
        <v>0.5</v>
      </c>
      <c r="O16" s="22"/>
      <c r="P16" s="22"/>
      <c r="Q16" s="22"/>
      <c r="R16" s="22"/>
      <c r="S16" s="22"/>
      <c r="T16" s="22"/>
      <c r="U16" s="22"/>
    </row>
    <row r="17" spans="1:21" x14ac:dyDescent="0.55000000000000004">
      <c r="A17" s="1" t="str">
        <f>'Population Definitions'!$A$3</f>
        <v>Gen 5-14</v>
      </c>
      <c r="B17" s="1" t="s">
        <v>10</v>
      </c>
      <c r="C17" s="4">
        <f>IF(SUMPRODUCT(--(E17:U17&lt;&gt;""))=0,0,"N.A.")</f>
        <v>0</v>
      </c>
      <c r="D17" s="1" t="s">
        <v>16</v>
      </c>
      <c r="E17" s="22"/>
      <c r="F17" s="22"/>
      <c r="G17" s="22"/>
      <c r="H17" s="22"/>
      <c r="I17" s="22"/>
      <c r="J17" s="22"/>
      <c r="K17" s="22"/>
      <c r="L17" s="22"/>
      <c r="M17" s="22"/>
      <c r="N17" s="22"/>
      <c r="O17" s="22"/>
      <c r="P17" s="22"/>
      <c r="Q17" s="22"/>
      <c r="R17" s="22"/>
      <c r="S17" s="22"/>
      <c r="T17" s="22"/>
      <c r="U17" s="22"/>
    </row>
    <row r="18" spans="1:21" x14ac:dyDescent="0.55000000000000004">
      <c r="A18" s="1" t="str">
        <f>'Population Definitions'!$A$4</f>
        <v>Gen 15-64</v>
      </c>
      <c r="B18" s="1" t="s">
        <v>10</v>
      </c>
      <c r="C18" s="4">
        <f t="shared" ref="C18:C27" si="1">IF(SUMPRODUCT(--(E18:U18&lt;&gt;""))=0,0,"N.A.")</f>
        <v>0</v>
      </c>
      <c r="D18" s="1" t="s">
        <v>16</v>
      </c>
      <c r="E18" s="22"/>
      <c r="F18" s="22"/>
      <c r="G18" s="22"/>
      <c r="H18" s="22"/>
      <c r="I18" s="22"/>
      <c r="J18" s="22"/>
      <c r="K18" s="22"/>
      <c r="L18" s="22"/>
      <c r="M18" s="22"/>
      <c r="N18" s="22"/>
      <c r="O18" s="22"/>
      <c r="P18" s="22"/>
      <c r="Q18" s="22"/>
      <c r="R18" s="22"/>
      <c r="S18" s="22"/>
      <c r="T18" s="22"/>
      <c r="U18" s="22"/>
    </row>
    <row r="19" spans="1:21" x14ac:dyDescent="0.55000000000000004">
      <c r="A19" s="1" t="str">
        <f>'Population Definitions'!$A$5</f>
        <v>Gen 65+</v>
      </c>
      <c r="B19" s="1" t="s">
        <v>10</v>
      </c>
      <c r="C19" s="4">
        <f t="shared" si="1"/>
        <v>0</v>
      </c>
      <c r="D19" s="1" t="s">
        <v>16</v>
      </c>
      <c r="E19" s="22"/>
      <c r="F19" s="22"/>
      <c r="G19" s="22"/>
      <c r="H19" s="22"/>
      <c r="I19" s="22"/>
      <c r="J19" s="22"/>
      <c r="K19" s="22"/>
      <c r="L19" s="22"/>
      <c r="M19" s="22"/>
      <c r="N19" s="22"/>
      <c r="O19" s="22"/>
      <c r="P19" s="22"/>
      <c r="Q19" s="22"/>
      <c r="R19" s="22"/>
      <c r="S19" s="22"/>
      <c r="T19" s="22"/>
      <c r="U19" s="22"/>
    </row>
    <row r="20" spans="1:21" x14ac:dyDescent="0.55000000000000004">
      <c r="A20" s="1" t="str">
        <f>'Population Definitions'!$A$6</f>
        <v>PLHIV 15-64</v>
      </c>
      <c r="B20" s="1" t="s">
        <v>10</v>
      </c>
      <c r="C20" s="4">
        <f t="shared" si="1"/>
        <v>0</v>
      </c>
      <c r="D20" s="1" t="s">
        <v>16</v>
      </c>
      <c r="E20" s="22"/>
      <c r="F20" s="22"/>
      <c r="G20" s="22"/>
      <c r="H20" s="22"/>
      <c r="I20" s="22"/>
      <c r="J20" s="22"/>
      <c r="K20" s="22"/>
      <c r="L20" s="22"/>
      <c r="M20" s="22"/>
      <c r="N20" s="22"/>
      <c r="O20" s="22"/>
      <c r="P20" s="22"/>
      <c r="Q20" s="22"/>
      <c r="R20" s="22"/>
      <c r="S20" s="22"/>
      <c r="T20" s="22"/>
      <c r="U20" s="22"/>
    </row>
    <row r="21" spans="1:21" x14ac:dyDescent="0.55000000000000004">
      <c r="A21" s="1" t="str">
        <f>'Population Definitions'!$A$7</f>
        <v>PLHIV 65+</v>
      </c>
      <c r="B21" s="1" t="s">
        <v>10</v>
      </c>
      <c r="C21" s="4">
        <f t="shared" si="1"/>
        <v>0</v>
      </c>
      <c r="D21" s="1" t="s">
        <v>16</v>
      </c>
      <c r="E21" s="22"/>
      <c r="F21" s="22"/>
      <c r="G21" s="22"/>
      <c r="H21" s="22"/>
      <c r="I21" s="22"/>
      <c r="J21" s="22"/>
      <c r="K21" s="22"/>
      <c r="L21" s="22"/>
      <c r="M21" s="22"/>
      <c r="N21" s="22"/>
      <c r="O21" s="22"/>
      <c r="P21" s="22"/>
      <c r="Q21" s="22"/>
      <c r="R21" s="22"/>
      <c r="S21" s="22"/>
      <c r="T21" s="22"/>
      <c r="U21" s="22"/>
    </row>
    <row r="22" spans="1:21" x14ac:dyDescent="0.55000000000000004">
      <c r="A22" s="1" t="str">
        <f>'Population Definitions'!$A$8</f>
        <v>Prisoners</v>
      </c>
      <c r="B22" s="1" t="s">
        <v>10</v>
      </c>
      <c r="C22" s="4">
        <f t="shared" si="1"/>
        <v>0</v>
      </c>
      <c r="D22" s="1" t="s">
        <v>16</v>
      </c>
      <c r="E22" s="22"/>
      <c r="F22" s="22"/>
      <c r="G22" s="22"/>
      <c r="H22" s="22"/>
      <c r="I22" s="22"/>
      <c r="J22" s="22"/>
      <c r="K22" s="22"/>
      <c r="L22" s="22"/>
      <c r="M22" s="22"/>
      <c r="N22" s="22"/>
      <c r="O22" s="22"/>
      <c r="P22" s="22"/>
      <c r="Q22" s="22"/>
      <c r="R22" s="22"/>
      <c r="S22" s="22"/>
      <c r="T22" s="22"/>
      <c r="U22" s="22"/>
    </row>
    <row r="23" spans="1:21" x14ac:dyDescent="0.55000000000000004">
      <c r="A23" s="1" t="str">
        <f>'Population Definitions'!$A$9</f>
        <v>PLHIV Prisoners</v>
      </c>
      <c r="B23" s="1" t="s">
        <v>10</v>
      </c>
      <c r="C23" s="4">
        <f t="shared" si="1"/>
        <v>0</v>
      </c>
      <c r="D23" s="1" t="s">
        <v>16</v>
      </c>
      <c r="E23" s="22"/>
      <c r="F23" s="22"/>
      <c r="G23" s="22"/>
      <c r="H23" s="22"/>
      <c r="I23" s="22"/>
      <c r="J23" s="22"/>
      <c r="K23" s="22"/>
      <c r="L23" s="22"/>
      <c r="M23" s="22"/>
      <c r="N23" s="22"/>
      <c r="O23" s="22"/>
      <c r="P23" s="22"/>
      <c r="Q23" s="22"/>
      <c r="R23" s="22"/>
      <c r="S23" s="22"/>
      <c r="T23" s="22"/>
      <c r="U23" s="22"/>
    </row>
    <row r="24" spans="1:21" x14ac:dyDescent="0.55000000000000004">
      <c r="A24" s="1" t="str">
        <f>'Population Definitions'!$A$10</f>
        <v>HCW</v>
      </c>
      <c r="B24" s="1" t="s">
        <v>10</v>
      </c>
      <c r="C24" s="4">
        <f t="shared" si="1"/>
        <v>0</v>
      </c>
      <c r="D24" s="1" t="s">
        <v>16</v>
      </c>
      <c r="E24" s="22"/>
      <c r="F24" s="22"/>
      <c r="G24" s="22"/>
      <c r="H24" s="22"/>
      <c r="I24" s="22"/>
      <c r="J24" s="22"/>
      <c r="K24" s="22"/>
      <c r="L24" s="22"/>
      <c r="M24" s="22"/>
      <c r="N24" s="22"/>
      <c r="O24" s="22"/>
      <c r="P24" s="22"/>
      <c r="Q24" s="22"/>
      <c r="R24" s="22"/>
      <c r="S24" s="22"/>
      <c r="T24" s="22"/>
      <c r="U24" s="22"/>
    </row>
    <row r="25" spans="1:21" x14ac:dyDescent="0.55000000000000004">
      <c r="A25" s="1" t="str">
        <f>'Population Definitions'!$A$11</f>
        <v>PLHIV HCW</v>
      </c>
      <c r="B25" s="1" t="s">
        <v>10</v>
      </c>
      <c r="C25" s="4">
        <f t="shared" si="1"/>
        <v>0</v>
      </c>
      <c r="D25" s="1" t="s">
        <v>16</v>
      </c>
      <c r="E25" s="22"/>
      <c r="F25" s="22"/>
      <c r="G25" s="22"/>
      <c r="H25" s="22"/>
      <c r="I25" s="22"/>
      <c r="J25" s="22"/>
      <c r="K25" s="22"/>
      <c r="L25" s="22"/>
      <c r="M25" s="22"/>
      <c r="N25" s="22"/>
      <c r="O25" s="22"/>
      <c r="P25" s="22"/>
      <c r="Q25" s="22"/>
      <c r="R25" s="22"/>
      <c r="S25" s="22"/>
      <c r="T25" s="22"/>
      <c r="U25" s="22"/>
    </row>
    <row r="26" spans="1:21" x14ac:dyDescent="0.55000000000000004">
      <c r="A26" s="1" t="str">
        <f>'Population Definitions'!$A$12</f>
        <v>Miners</v>
      </c>
      <c r="B26" s="1" t="s">
        <v>10</v>
      </c>
      <c r="C26" s="4">
        <f t="shared" si="1"/>
        <v>0</v>
      </c>
      <c r="D26" s="1" t="s">
        <v>16</v>
      </c>
      <c r="E26" s="22"/>
      <c r="F26" s="22"/>
      <c r="G26" s="22"/>
      <c r="H26" s="22"/>
      <c r="I26" s="22"/>
      <c r="J26" s="22"/>
      <c r="K26" s="22"/>
      <c r="L26" s="22"/>
      <c r="M26" s="22"/>
      <c r="N26" s="22"/>
      <c r="O26" s="22"/>
      <c r="P26" s="22"/>
      <c r="Q26" s="22"/>
      <c r="R26" s="22"/>
      <c r="S26" s="22"/>
      <c r="T26" s="22"/>
      <c r="U26" s="22"/>
    </row>
    <row r="27" spans="1:21" x14ac:dyDescent="0.55000000000000004">
      <c r="A27" s="1" t="str">
        <f>'Population Definitions'!$A$13</f>
        <v>PLHIV Miners</v>
      </c>
      <c r="B27" s="1" t="s">
        <v>10</v>
      </c>
      <c r="C27" s="4">
        <f t="shared" si="1"/>
        <v>0</v>
      </c>
      <c r="D27" s="1" t="s">
        <v>16</v>
      </c>
      <c r="E27" s="22"/>
      <c r="F27" s="22"/>
      <c r="G27" s="22"/>
      <c r="H27" s="22"/>
      <c r="I27" s="22"/>
      <c r="J27" s="22"/>
      <c r="K27" s="22"/>
      <c r="L27" s="22"/>
      <c r="M27" s="22"/>
      <c r="N27" s="22"/>
      <c r="O27" s="22"/>
      <c r="P27" s="22"/>
      <c r="Q27" s="22"/>
      <c r="R27" s="22"/>
      <c r="S27" s="22"/>
      <c r="T27" s="22"/>
      <c r="U27" s="22"/>
    </row>
    <row r="29" spans="1:21" x14ac:dyDescent="0.55000000000000004">
      <c r="A29" s="21" t="s">
        <v>42</v>
      </c>
      <c r="B29" s="1" t="s">
        <v>8</v>
      </c>
      <c r="C29" s="1" t="s">
        <v>9</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row>
    <row r="30" spans="1:21" x14ac:dyDescent="0.55000000000000004">
      <c r="A30" s="1" t="str">
        <f>'Population Definitions'!$A$2</f>
        <v>Gen 0-4</v>
      </c>
      <c r="B30" s="1" t="s">
        <v>10</v>
      </c>
      <c r="C30" s="4">
        <f t="shared" ref="C30:C41" si="2">IF(SUMPRODUCT(--(E30:U30&lt;&gt;""))=0,0,"N.A.")</f>
        <v>0</v>
      </c>
      <c r="D30" s="1" t="s">
        <v>16</v>
      </c>
      <c r="E30" s="22"/>
      <c r="F30" s="22"/>
      <c r="G30" s="22"/>
      <c r="H30" s="22"/>
      <c r="I30" s="22"/>
      <c r="J30" s="22"/>
      <c r="K30" s="22"/>
      <c r="L30" s="22"/>
      <c r="M30" s="22"/>
      <c r="N30" s="22"/>
      <c r="O30" s="22"/>
      <c r="P30" s="22"/>
      <c r="Q30" s="22"/>
      <c r="R30" s="22"/>
      <c r="S30" s="22"/>
      <c r="T30" s="22"/>
      <c r="U30" s="22"/>
    </row>
    <row r="31" spans="1:21" x14ac:dyDescent="0.55000000000000004">
      <c r="A31" s="1" t="str">
        <f>'Population Definitions'!$A$3</f>
        <v>Gen 5-14</v>
      </c>
      <c r="B31" s="1" t="s">
        <v>10</v>
      </c>
      <c r="C31" s="4">
        <f t="shared" si="2"/>
        <v>0</v>
      </c>
      <c r="D31" s="1" t="s">
        <v>16</v>
      </c>
      <c r="E31" s="22"/>
      <c r="F31" s="22"/>
      <c r="G31" s="22"/>
      <c r="H31" s="22"/>
      <c r="I31" s="22"/>
      <c r="J31" s="22"/>
      <c r="K31" s="22"/>
      <c r="L31" s="22"/>
      <c r="M31" s="22"/>
      <c r="N31" s="22"/>
      <c r="O31" s="22"/>
      <c r="P31" s="22"/>
      <c r="Q31" s="22"/>
      <c r="R31" s="22"/>
      <c r="S31" s="22"/>
      <c r="T31" s="22"/>
      <c r="U31" s="22"/>
    </row>
    <row r="32" spans="1:21" x14ac:dyDescent="0.55000000000000004">
      <c r="A32" s="1" t="str">
        <f>'Population Definitions'!$A$4</f>
        <v>Gen 15-64</v>
      </c>
      <c r="B32" s="1" t="s">
        <v>10</v>
      </c>
      <c r="C32" s="4">
        <f t="shared" si="2"/>
        <v>0</v>
      </c>
      <c r="D32" s="1" t="s">
        <v>16</v>
      </c>
      <c r="E32" s="22"/>
      <c r="F32" s="22"/>
      <c r="G32" s="22"/>
      <c r="H32" s="22"/>
      <c r="I32" s="22"/>
      <c r="J32" s="22"/>
      <c r="K32" s="22"/>
      <c r="L32" s="22"/>
      <c r="M32" s="22"/>
      <c r="N32" s="22"/>
      <c r="O32" s="22"/>
      <c r="P32" s="22"/>
      <c r="Q32" s="22"/>
      <c r="R32" s="22"/>
      <c r="S32" s="22"/>
      <c r="T32" s="22"/>
      <c r="U32" s="22"/>
    </row>
    <row r="33" spans="1:21" x14ac:dyDescent="0.55000000000000004">
      <c r="A33" s="1" t="str">
        <f>'Population Definitions'!$A$5</f>
        <v>Gen 65+</v>
      </c>
      <c r="B33" s="1" t="s">
        <v>10</v>
      </c>
      <c r="C33" s="4">
        <f t="shared" si="2"/>
        <v>0</v>
      </c>
      <c r="D33" s="1" t="s">
        <v>16</v>
      </c>
      <c r="E33" s="22"/>
      <c r="F33" s="22"/>
      <c r="G33" s="22"/>
      <c r="H33" s="22"/>
      <c r="I33" s="22"/>
      <c r="J33" s="22"/>
      <c r="K33" s="22"/>
      <c r="L33" s="22"/>
      <c r="M33" s="22"/>
      <c r="N33" s="22"/>
      <c r="O33" s="22"/>
      <c r="P33" s="22"/>
      <c r="Q33" s="22"/>
      <c r="R33" s="22"/>
      <c r="S33" s="22"/>
      <c r="T33" s="22"/>
      <c r="U33" s="22"/>
    </row>
    <row r="34" spans="1:21" x14ac:dyDescent="0.55000000000000004">
      <c r="A34" s="1" t="str">
        <f>'Population Definitions'!$A$6</f>
        <v>PLHIV 15-64</v>
      </c>
      <c r="B34" s="1" t="s">
        <v>10</v>
      </c>
      <c r="C34" s="4">
        <f t="shared" si="2"/>
        <v>0</v>
      </c>
      <c r="D34" s="1" t="s">
        <v>16</v>
      </c>
      <c r="E34" s="22"/>
      <c r="F34" s="22"/>
      <c r="G34" s="22"/>
      <c r="H34" s="22"/>
      <c r="I34" s="22"/>
      <c r="J34" s="22"/>
      <c r="K34" s="22"/>
      <c r="L34" s="22"/>
      <c r="M34" s="22"/>
      <c r="N34" s="22"/>
      <c r="O34" s="22"/>
      <c r="P34" s="22"/>
      <c r="Q34" s="22"/>
      <c r="R34" s="22"/>
      <c r="S34" s="22"/>
      <c r="T34" s="22"/>
      <c r="U34" s="22"/>
    </row>
    <row r="35" spans="1:21" x14ac:dyDescent="0.55000000000000004">
      <c r="A35" s="1" t="str">
        <f>'Population Definitions'!$A$7</f>
        <v>PLHIV 65+</v>
      </c>
      <c r="B35" s="1" t="s">
        <v>10</v>
      </c>
      <c r="C35" s="4">
        <f t="shared" si="2"/>
        <v>0</v>
      </c>
      <c r="D35" s="1" t="s">
        <v>16</v>
      </c>
      <c r="E35" s="22"/>
      <c r="F35" s="22"/>
      <c r="G35" s="22"/>
      <c r="H35" s="22"/>
      <c r="I35" s="22"/>
      <c r="J35" s="22"/>
      <c r="K35" s="22"/>
      <c r="L35" s="22"/>
      <c r="M35" s="22"/>
      <c r="N35" s="22"/>
      <c r="O35" s="22"/>
      <c r="P35" s="22"/>
      <c r="Q35" s="22"/>
      <c r="R35" s="22"/>
      <c r="S35" s="22"/>
      <c r="T35" s="22"/>
      <c r="U35" s="22"/>
    </row>
    <row r="36" spans="1:21" x14ac:dyDescent="0.55000000000000004">
      <c r="A36" s="1" t="str">
        <f>'Population Definitions'!$A$8</f>
        <v>Prisoners</v>
      </c>
      <c r="B36" s="1" t="s">
        <v>10</v>
      </c>
      <c r="C36" s="4">
        <f t="shared" si="2"/>
        <v>0</v>
      </c>
      <c r="D36" s="1" t="s">
        <v>16</v>
      </c>
      <c r="E36" s="22"/>
      <c r="F36" s="22"/>
      <c r="G36" s="22"/>
      <c r="H36" s="22"/>
      <c r="I36" s="22"/>
      <c r="J36" s="22"/>
      <c r="K36" s="22"/>
      <c r="L36" s="22"/>
      <c r="M36" s="22"/>
      <c r="N36" s="22"/>
      <c r="O36" s="22"/>
      <c r="P36" s="22"/>
      <c r="Q36" s="22"/>
      <c r="R36" s="22"/>
      <c r="S36" s="22"/>
      <c r="T36" s="22"/>
      <c r="U36" s="22"/>
    </row>
    <row r="37" spans="1:21" x14ac:dyDescent="0.55000000000000004">
      <c r="A37" s="1" t="str">
        <f>'Population Definitions'!$A$9</f>
        <v>PLHIV Prisoners</v>
      </c>
      <c r="B37" s="1" t="s">
        <v>10</v>
      </c>
      <c r="C37" s="4">
        <f t="shared" si="2"/>
        <v>0</v>
      </c>
      <c r="D37" s="1" t="s">
        <v>16</v>
      </c>
      <c r="E37" s="22"/>
      <c r="F37" s="22"/>
      <c r="G37" s="22"/>
      <c r="H37" s="22"/>
      <c r="I37" s="22"/>
      <c r="J37" s="22"/>
      <c r="K37" s="22"/>
      <c r="L37" s="22"/>
      <c r="M37" s="22"/>
      <c r="N37" s="22"/>
      <c r="O37" s="22"/>
      <c r="P37" s="22"/>
      <c r="Q37" s="22"/>
      <c r="R37" s="22"/>
      <c r="S37" s="22"/>
      <c r="T37" s="22"/>
      <c r="U37" s="22"/>
    </row>
    <row r="38" spans="1:21" x14ac:dyDescent="0.55000000000000004">
      <c r="A38" s="1" t="str">
        <f>'Population Definitions'!$A$10</f>
        <v>HCW</v>
      </c>
      <c r="B38" s="1" t="s">
        <v>10</v>
      </c>
      <c r="C38" s="4">
        <f t="shared" si="2"/>
        <v>0</v>
      </c>
      <c r="D38" s="1" t="s">
        <v>16</v>
      </c>
      <c r="E38" s="22"/>
      <c r="F38" s="22"/>
      <c r="G38" s="22"/>
      <c r="H38" s="22"/>
      <c r="I38" s="22"/>
      <c r="J38" s="22"/>
      <c r="K38" s="22"/>
      <c r="L38" s="22"/>
      <c r="M38" s="22"/>
      <c r="N38" s="22"/>
      <c r="O38" s="22"/>
      <c r="P38" s="22"/>
      <c r="Q38" s="22"/>
      <c r="R38" s="22"/>
      <c r="S38" s="22"/>
      <c r="T38" s="22"/>
      <c r="U38" s="22"/>
    </row>
    <row r="39" spans="1:21" x14ac:dyDescent="0.55000000000000004">
      <c r="A39" s="1" t="str">
        <f>'Population Definitions'!$A$11</f>
        <v>PLHIV HCW</v>
      </c>
      <c r="B39" s="1" t="s">
        <v>10</v>
      </c>
      <c r="C39" s="4">
        <f t="shared" si="2"/>
        <v>0</v>
      </c>
      <c r="D39" s="1" t="s">
        <v>16</v>
      </c>
      <c r="E39" s="22"/>
      <c r="F39" s="22"/>
      <c r="G39" s="22"/>
      <c r="H39" s="22"/>
      <c r="I39" s="22"/>
      <c r="J39" s="22"/>
      <c r="K39" s="22"/>
      <c r="L39" s="22"/>
      <c r="M39" s="22"/>
      <c r="N39" s="22"/>
      <c r="O39" s="22"/>
      <c r="P39" s="22"/>
      <c r="Q39" s="22"/>
      <c r="R39" s="22"/>
      <c r="S39" s="22"/>
      <c r="T39" s="22"/>
      <c r="U39" s="22"/>
    </row>
    <row r="40" spans="1:21" x14ac:dyDescent="0.55000000000000004">
      <c r="A40" s="1" t="str">
        <f>'Population Definitions'!$A$12</f>
        <v>Miners</v>
      </c>
      <c r="B40" s="1" t="s">
        <v>10</v>
      </c>
      <c r="C40" s="4">
        <f t="shared" si="2"/>
        <v>0</v>
      </c>
      <c r="D40" s="1" t="s">
        <v>16</v>
      </c>
      <c r="E40" s="22"/>
      <c r="F40" s="22"/>
      <c r="G40" s="22"/>
      <c r="H40" s="22"/>
      <c r="I40" s="22"/>
      <c r="J40" s="22"/>
      <c r="K40" s="22"/>
      <c r="L40" s="22"/>
      <c r="M40" s="22"/>
      <c r="N40" s="22"/>
      <c r="O40" s="22"/>
      <c r="P40" s="22"/>
      <c r="Q40" s="22"/>
      <c r="R40" s="22"/>
      <c r="S40" s="22"/>
      <c r="T40" s="22"/>
      <c r="U40" s="22"/>
    </row>
    <row r="41" spans="1:21" x14ac:dyDescent="0.55000000000000004">
      <c r="A41" s="1" t="str">
        <f>'Population Definitions'!$A$13</f>
        <v>PLHIV Miners</v>
      </c>
      <c r="B41" s="1" t="s">
        <v>10</v>
      </c>
      <c r="C41" s="4">
        <f t="shared" si="2"/>
        <v>0</v>
      </c>
      <c r="D41" s="1" t="s">
        <v>16</v>
      </c>
      <c r="E41" s="22"/>
      <c r="F41" s="22"/>
      <c r="G41" s="22"/>
      <c r="H41" s="22"/>
      <c r="I41" s="22"/>
      <c r="J41" s="22"/>
      <c r="K41" s="22"/>
      <c r="L41" s="22"/>
      <c r="M41" s="22"/>
      <c r="N41" s="22"/>
      <c r="O41" s="22"/>
      <c r="P41" s="22"/>
      <c r="Q41" s="22"/>
      <c r="R41" s="22"/>
      <c r="S41" s="22"/>
      <c r="T41" s="22"/>
      <c r="U41" s="22"/>
    </row>
    <row r="43" spans="1:21" x14ac:dyDescent="0.55000000000000004">
      <c r="A43" s="21" t="s">
        <v>49</v>
      </c>
      <c r="B43" s="1" t="s">
        <v>8</v>
      </c>
      <c r="C43" s="1" t="s">
        <v>9</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row>
    <row r="44" spans="1:21" x14ac:dyDescent="0.55000000000000004">
      <c r="A44" s="1" t="str">
        <f>'Population Definitions'!$A$2</f>
        <v>Gen 0-4</v>
      </c>
      <c r="B44" s="1" t="s">
        <v>10</v>
      </c>
      <c r="C44" s="4">
        <f t="shared" ref="C44:C55" si="3">IF(SUMPRODUCT(--(E44:U44&lt;&gt;""))=0,0,"N.A.")</f>
        <v>0</v>
      </c>
      <c r="D44" s="1" t="s">
        <v>16</v>
      </c>
      <c r="E44" s="22"/>
      <c r="F44" s="22"/>
      <c r="G44" s="22"/>
      <c r="H44" s="22"/>
      <c r="I44" s="22"/>
      <c r="J44" s="22"/>
      <c r="K44" s="22"/>
      <c r="L44" s="22"/>
      <c r="M44" s="22"/>
      <c r="N44" s="22"/>
      <c r="O44" s="22"/>
      <c r="P44" s="22"/>
      <c r="Q44" s="22"/>
      <c r="R44" s="22"/>
      <c r="S44" s="22"/>
      <c r="T44" s="22"/>
      <c r="U44" s="22"/>
    </row>
    <row r="45" spans="1:21" x14ac:dyDescent="0.55000000000000004">
      <c r="A45" s="1" t="str">
        <f>'Population Definitions'!$A$3</f>
        <v>Gen 5-14</v>
      </c>
      <c r="B45" s="1" t="s">
        <v>10</v>
      </c>
      <c r="C45" s="4">
        <f t="shared" si="3"/>
        <v>0</v>
      </c>
      <c r="D45" s="1" t="s">
        <v>16</v>
      </c>
      <c r="E45" s="22"/>
      <c r="F45" s="22"/>
      <c r="G45" s="22"/>
      <c r="H45" s="22"/>
      <c r="I45" s="22"/>
      <c r="J45" s="22"/>
      <c r="K45" s="22"/>
      <c r="L45" s="22"/>
      <c r="M45" s="22"/>
      <c r="N45" s="22"/>
      <c r="O45" s="22"/>
      <c r="P45" s="22"/>
      <c r="Q45" s="22"/>
      <c r="R45" s="22"/>
      <c r="S45" s="22"/>
      <c r="T45" s="22"/>
      <c r="U45" s="22"/>
    </row>
    <row r="46" spans="1:21" x14ac:dyDescent="0.55000000000000004">
      <c r="A46" s="1" t="str">
        <f>'Population Definitions'!$A$4</f>
        <v>Gen 15-64</v>
      </c>
      <c r="B46" s="1" t="s">
        <v>10</v>
      </c>
      <c r="C46" s="4">
        <f t="shared" si="3"/>
        <v>0</v>
      </c>
      <c r="D46" s="1" t="s">
        <v>16</v>
      </c>
      <c r="E46" s="22"/>
      <c r="F46" s="22"/>
      <c r="G46" s="22"/>
      <c r="H46" s="22"/>
      <c r="I46" s="22"/>
      <c r="J46" s="22"/>
      <c r="K46" s="22"/>
      <c r="L46" s="22"/>
      <c r="M46" s="22"/>
      <c r="N46" s="22"/>
      <c r="O46" s="22"/>
      <c r="P46" s="22"/>
      <c r="Q46" s="22"/>
      <c r="R46" s="22"/>
      <c r="S46" s="22"/>
      <c r="T46" s="22"/>
      <c r="U46" s="22"/>
    </row>
    <row r="47" spans="1:21" x14ac:dyDescent="0.55000000000000004">
      <c r="A47" s="1" t="str">
        <f>'Population Definitions'!$A$5</f>
        <v>Gen 65+</v>
      </c>
      <c r="B47" s="1" t="s">
        <v>10</v>
      </c>
      <c r="C47" s="4">
        <f t="shared" si="3"/>
        <v>0</v>
      </c>
      <c r="D47" s="1" t="s">
        <v>16</v>
      </c>
      <c r="E47" s="22"/>
      <c r="F47" s="22"/>
      <c r="G47" s="22"/>
      <c r="H47" s="22"/>
      <c r="I47" s="22"/>
      <c r="J47" s="22"/>
      <c r="K47" s="22"/>
      <c r="L47" s="22"/>
      <c r="M47" s="22"/>
      <c r="N47" s="22"/>
      <c r="O47" s="22"/>
      <c r="P47" s="22"/>
      <c r="Q47" s="22"/>
      <c r="R47" s="22"/>
      <c r="S47" s="22"/>
      <c r="T47" s="22"/>
      <c r="U47" s="22"/>
    </row>
    <row r="48" spans="1:21" x14ac:dyDescent="0.55000000000000004">
      <c r="A48" s="1" t="str">
        <f>'Population Definitions'!$A$6</f>
        <v>PLHIV 15-64</v>
      </c>
      <c r="B48" s="1" t="s">
        <v>10</v>
      </c>
      <c r="C48" s="4">
        <f t="shared" si="3"/>
        <v>0</v>
      </c>
      <c r="D48" s="1" t="s">
        <v>16</v>
      </c>
      <c r="E48" s="22"/>
      <c r="F48" s="22"/>
      <c r="G48" s="22"/>
      <c r="H48" s="22"/>
      <c r="I48" s="22"/>
      <c r="J48" s="22"/>
      <c r="K48" s="22"/>
      <c r="L48" s="22"/>
      <c r="M48" s="22"/>
      <c r="N48" s="22"/>
      <c r="O48" s="22"/>
      <c r="P48" s="22"/>
      <c r="Q48" s="22"/>
      <c r="R48" s="22"/>
      <c r="S48" s="22"/>
      <c r="T48" s="22"/>
      <c r="U48" s="22"/>
    </row>
    <row r="49" spans="1:21" x14ac:dyDescent="0.55000000000000004">
      <c r="A49" s="1" t="str">
        <f>'Population Definitions'!$A$7</f>
        <v>PLHIV 65+</v>
      </c>
      <c r="B49" s="1" t="s">
        <v>10</v>
      </c>
      <c r="C49" s="4">
        <f t="shared" si="3"/>
        <v>0</v>
      </c>
      <c r="D49" s="1" t="s">
        <v>16</v>
      </c>
      <c r="E49" s="22"/>
      <c r="F49" s="22"/>
      <c r="G49" s="22"/>
      <c r="H49" s="22"/>
      <c r="I49" s="22"/>
      <c r="J49" s="22"/>
      <c r="K49" s="22"/>
      <c r="L49" s="22"/>
      <c r="M49" s="22"/>
      <c r="N49" s="22"/>
      <c r="O49" s="22"/>
      <c r="P49" s="22"/>
      <c r="Q49" s="22"/>
      <c r="R49" s="22"/>
      <c r="S49" s="22"/>
      <c r="T49" s="22"/>
      <c r="U49" s="22"/>
    </row>
    <row r="50" spans="1:21" x14ac:dyDescent="0.55000000000000004">
      <c r="A50" s="1" t="str">
        <f>'Population Definitions'!$A$8</f>
        <v>Prisoners</v>
      </c>
      <c r="B50" s="1" t="s">
        <v>10</v>
      </c>
      <c r="C50" s="4">
        <f t="shared" si="3"/>
        <v>0</v>
      </c>
      <c r="D50" s="1" t="s">
        <v>16</v>
      </c>
      <c r="E50" s="22"/>
      <c r="F50" s="22"/>
      <c r="G50" s="22"/>
      <c r="H50" s="22"/>
      <c r="I50" s="22"/>
      <c r="J50" s="22"/>
      <c r="K50" s="22"/>
      <c r="L50" s="22"/>
      <c r="M50" s="22"/>
      <c r="N50" s="22"/>
      <c r="O50" s="22"/>
      <c r="P50" s="22"/>
      <c r="Q50" s="22"/>
      <c r="R50" s="22"/>
      <c r="S50" s="22"/>
      <c r="T50" s="22"/>
      <c r="U50" s="22"/>
    </row>
    <row r="51" spans="1:21" x14ac:dyDescent="0.55000000000000004">
      <c r="A51" s="1" t="str">
        <f>'Population Definitions'!$A$9</f>
        <v>PLHIV Prisoners</v>
      </c>
      <c r="B51" s="1" t="s">
        <v>10</v>
      </c>
      <c r="C51" s="4">
        <f t="shared" si="3"/>
        <v>0</v>
      </c>
      <c r="D51" s="1" t="s">
        <v>16</v>
      </c>
      <c r="E51" s="22"/>
      <c r="F51" s="22"/>
      <c r="G51" s="22"/>
      <c r="H51" s="22"/>
      <c r="I51" s="22"/>
      <c r="J51" s="22"/>
      <c r="K51" s="22"/>
      <c r="L51" s="22"/>
      <c r="M51" s="22"/>
      <c r="N51" s="22"/>
      <c r="O51" s="22"/>
      <c r="P51" s="22"/>
      <c r="Q51" s="22"/>
      <c r="R51" s="22"/>
      <c r="S51" s="22"/>
      <c r="T51" s="22"/>
      <c r="U51" s="22"/>
    </row>
    <row r="52" spans="1:21" x14ac:dyDescent="0.55000000000000004">
      <c r="A52" s="1" t="str">
        <f>'Population Definitions'!$A$10</f>
        <v>HCW</v>
      </c>
      <c r="B52" s="1" t="s">
        <v>10</v>
      </c>
      <c r="C52" s="4">
        <f t="shared" si="3"/>
        <v>0</v>
      </c>
      <c r="D52" s="1" t="s">
        <v>16</v>
      </c>
      <c r="E52" s="22"/>
      <c r="F52" s="22"/>
      <c r="G52" s="22"/>
      <c r="H52" s="22"/>
      <c r="I52" s="22"/>
      <c r="J52" s="22"/>
      <c r="K52" s="22"/>
      <c r="L52" s="22"/>
      <c r="M52" s="22"/>
      <c r="N52" s="22"/>
      <c r="O52" s="22"/>
      <c r="P52" s="22"/>
      <c r="Q52" s="22"/>
      <c r="R52" s="22"/>
      <c r="S52" s="22"/>
      <c r="T52" s="22"/>
      <c r="U52" s="22"/>
    </row>
    <row r="53" spans="1:21" x14ac:dyDescent="0.55000000000000004">
      <c r="A53" s="1" t="str">
        <f>'Population Definitions'!$A$11</f>
        <v>PLHIV HCW</v>
      </c>
      <c r="B53" s="1" t="s">
        <v>10</v>
      </c>
      <c r="C53" s="4">
        <f t="shared" si="3"/>
        <v>0</v>
      </c>
      <c r="D53" s="1" t="s">
        <v>16</v>
      </c>
      <c r="E53" s="22"/>
      <c r="F53" s="22"/>
      <c r="G53" s="22"/>
      <c r="H53" s="22"/>
      <c r="I53" s="22"/>
      <c r="J53" s="22"/>
      <c r="K53" s="22"/>
      <c r="L53" s="22"/>
      <c r="M53" s="22"/>
      <c r="N53" s="22"/>
      <c r="O53" s="22"/>
      <c r="P53" s="22"/>
      <c r="Q53" s="22"/>
      <c r="R53" s="22"/>
      <c r="S53" s="22"/>
      <c r="T53" s="22"/>
      <c r="U53" s="22"/>
    </row>
    <row r="54" spans="1:21" x14ac:dyDescent="0.55000000000000004">
      <c r="A54" s="1" t="str">
        <f>'Population Definitions'!$A$12</f>
        <v>Miners</v>
      </c>
      <c r="B54" s="1" t="s">
        <v>10</v>
      </c>
      <c r="C54" s="4">
        <f t="shared" si="3"/>
        <v>0</v>
      </c>
      <c r="D54" s="1" t="s">
        <v>16</v>
      </c>
      <c r="E54" s="22"/>
      <c r="F54" s="22"/>
      <c r="G54" s="22"/>
      <c r="H54" s="22"/>
      <c r="I54" s="22"/>
      <c r="J54" s="22"/>
      <c r="K54" s="22"/>
      <c r="L54" s="22"/>
      <c r="M54" s="22"/>
      <c r="N54" s="22"/>
      <c r="O54" s="22"/>
      <c r="P54" s="22"/>
      <c r="Q54" s="22"/>
      <c r="R54" s="22"/>
      <c r="S54" s="22"/>
      <c r="T54" s="22"/>
      <c r="U54" s="22"/>
    </row>
    <row r="55" spans="1:21" x14ac:dyDescent="0.55000000000000004">
      <c r="A55" s="1" t="str">
        <f>'Population Definitions'!$A$13</f>
        <v>PLHIV Miners</v>
      </c>
      <c r="B55" s="1" t="s">
        <v>10</v>
      </c>
      <c r="C55" s="4">
        <f t="shared" si="3"/>
        <v>0</v>
      </c>
      <c r="D55" s="1" t="s">
        <v>16</v>
      </c>
      <c r="E55" s="22"/>
      <c r="F55" s="22"/>
      <c r="G55" s="22"/>
      <c r="H55" s="22"/>
      <c r="I55" s="22"/>
      <c r="J55" s="22"/>
      <c r="K55" s="22"/>
      <c r="L55" s="22"/>
      <c r="M55" s="22"/>
      <c r="N55" s="22"/>
      <c r="O55" s="22"/>
      <c r="P55" s="22"/>
      <c r="Q55" s="22"/>
      <c r="R55" s="22"/>
      <c r="S55" s="22"/>
      <c r="T55" s="22"/>
      <c r="U55" s="22"/>
    </row>
    <row r="57" spans="1:21" x14ac:dyDescent="0.55000000000000004">
      <c r="A57" s="21" t="s">
        <v>56</v>
      </c>
      <c r="B57" s="1" t="s">
        <v>8</v>
      </c>
      <c r="C57" s="1" t="s">
        <v>9</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row>
    <row r="58" spans="1:21" x14ac:dyDescent="0.55000000000000004">
      <c r="A58" s="1" t="str">
        <f>'Population Definitions'!$A$2</f>
        <v>Gen 0-4</v>
      </c>
      <c r="B58" s="1" t="s">
        <v>10</v>
      </c>
      <c r="C58" s="4">
        <f t="shared" ref="C58:C69" si="4">IF(SUMPRODUCT(--(E58:U58&lt;&gt;""))=0,0,"N.A.")</f>
        <v>0</v>
      </c>
      <c r="D58" s="1" t="s">
        <v>16</v>
      </c>
      <c r="E58" s="22"/>
      <c r="F58" s="22"/>
      <c r="G58" s="22"/>
      <c r="H58" s="22"/>
      <c r="I58" s="22"/>
      <c r="J58" s="22"/>
      <c r="K58" s="22"/>
      <c r="L58" s="22"/>
      <c r="M58" s="22"/>
      <c r="N58" s="22"/>
      <c r="O58" s="22"/>
      <c r="P58" s="22"/>
      <c r="Q58" s="22"/>
      <c r="R58" s="22"/>
      <c r="S58" s="22"/>
      <c r="T58" s="22"/>
      <c r="U58" s="22"/>
    </row>
    <row r="59" spans="1:21" x14ac:dyDescent="0.55000000000000004">
      <c r="A59" s="1" t="str">
        <f>'Population Definitions'!$A$3</f>
        <v>Gen 5-14</v>
      </c>
      <c r="B59" s="1" t="s">
        <v>10</v>
      </c>
      <c r="C59" s="4">
        <f t="shared" si="4"/>
        <v>0</v>
      </c>
      <c r="D59" s="1" t="s">
        <v>16</v>
      </c>
      <c r="E59" s="22"/>
      <c r="F59" s="22"/>
      <c r="G59" s="22"/>
      <c r="H59" s="22"/>
      <c r="I59" s="22"/>
      <c r="J59" s="22"/>
      <c r="K59" s="22"/>
      <c r="L59" s="22"/>
      <c r="M59" s="22"/>
      <c r="N59" s="22"/>
      <c r="O59" s="22"/>
      <c r="P59" s="22"/>
      <c r="Q59" s="22"/>
      <c r="R59" s="22"/>
      <c r="S59" s="22"/>
      <c r="T59" s="22"/>
      <c r="U59" s="22"/>
    </row>
    <row r="60" spans="1:21" x14ac:dyDescent="0.55000000000000004">
      <c r="A60" s="1" t="str">
        <f>'Population Definitions'!$A$4</f>
        <v>Gen 15-64</v>
      </c>
      <c r="B60" s="1" t="s">
        <v>10</v>
      </c>
      <c r="C60" s="4">
        <f t="shared" si="4"/>
        <v>0</v>
      </c>
      <c r="D60" s="1" t="s">
        <v>16</v>
      </c>
      <c r="E60" s="22"/>
      <c r="F60" s="22"/>
      <c r="G60" s="22"/>
      <c r="H60" s="22"/>
      <c r="I60" s="22"/>
      <c r="J60" s="22"/>
      <c r="K60" s="22"/>
      <c r="L60" s="22"/>
      <c r="M60" s="22"/>
      <c r="N60" s="22"/>
      <c r="O60" s="22"/>
      <c r="P60" s="22"/>
      <c r="Q60" s="22"/>
      <c r="R60" s="22"/>
      <c r="S60" s="22"/>
      <c r="T60" s="22"/>
      <c r="U60" s="22"/>
    </row>
    <row r="61" spans="1:21" x14ac:dyDescent="0.55000000000000004">
      <c r="A61" s="1" t="str">
        <f>'Population Definitions'!$A$5</f>
        <v>Gen 65+</v>
      </c>
      <c r="B61" s="1" t="s">
        <v>10</v>
      </c>
      <c r="C61" s="4">
        <f t="shared" si="4"/>
        <v>0</v>
      </c>
      <c r="D61" s="1" t="s">
        <v>16</v>
      </c>
      <c r="E61" s="22"/>
      <c r="F61" s="22"/>
      <c r="G61" s="22"/>
      <c r="H61" s="22"/>
      <c r="I61" s="22"/>
      <c r="J61" s="22"/>
      <c r="K61" s="22"/>
      <c r="L61" s="22"/>
      <c r="M61" s="22"/>
      <c r="N61" s="22"/>
      <c r="O61" s="22"/>
      <c r="P61" s="22"/>
      <c r="Q61" s="22"/>
      <c r="R61" s="22"/>
      <c r="S61" s="22"/>
      <c r="T61" s="22"/>
      <c r="U61" s="22"/>
    </row>
    <row r="62" spans="1:21" x14ac:dyDescent="0.55000000000000004">
      <c r="A62" s="1" t="str">
        <f>'Population Definitions'!$A$6</f>
        <v>PLHIV 15-64</v>
      </c>
      <c r="B62" s="1" t="s">
        <v>10</v>
      </c>
      <c r="C62" s="4">
        <f t="shared" si="4"/>
        <v>0</v>
      </c>
      <c r="D62" s="1" t="s">
        <v>16</v>
      </c>
      <c r="E62" s="22"/>
      <c r="F62" s="22"/>
      <c r="G62" s="22"/>
      <c r="H62" s="22"/>
      <c r="I62" s="22"/>
      <c r="J62" s="22"/>
      <c r="K62" s="22"/>
      <c r="L62" s="22"/>
      <c r="M62" s="22"/>
      <c r="N62" s="22"/>
      <c r="O62" s="22"/>
      <c r="P62" s="22"/>
      <c r="Q62" s="22"/>
      <c r="R62" s="22"/>
      <c r="S62" s="22"/>
      <c r="T62" s="22"/>
      <c r="U62" s="22"/>
    </row>
    <row r="63" spans="1:21" x14ac:dyDescent="0.55000000000000004">
      <c r="A63" s="1" t="str">
        <f>'Population Definitions'!$A$7</f>
        <v>PLHIV 65+</v>
      </c>
      <c r="B63" s="1" t="s">
        <v>10</v>
      </c>
      <c r="C63" s="4">
        <f t="shared" si="4"/>
        <v>0</v>
      </c>
      <c r="D63" s="1" t="s">
        <v>16</v>
      </c>
      <c r="E63" s="22"/>
      <c r="F63" s="22"/>
      <c r="G63" s="22"/>
      <c r="H63" s="22"/>
      <c r="I63" s="22"/>
      <c r="J63" s="22"/>
      <c r="K63" s="22"/>
      <c r="L63" s="22"/>
      <c r="M63" s="22"/>
      <c r="N63" s="22"/>
      <c r="O63" s="22"/>
      <c r="P63" s="22"/>
      <c r="Q63" s="22"/>
      <c r="R63" s="22"/>
      <c r="S63" s="22"/>
      <c r="T63" s="22"/>
      <c r="U63" s="22"/>
    </row>
    <row r="64" spans="1:21" x14ac:dyDescent="0.55000000000000004">
      <c r="A64" s="1" t="str">
        <f>'Population Definitions'!$A$8</f>
        <v>Prisoners</v>
      </c>
      <c r="B64" s="1" t="s">
        <v>10</v>
      </c>
      <c r="C64" s="4">
        <f t="shared" si="4"/>
        <v>0</v>
      </c>
      <c r="D64" s="1" t="s">
        <v>16</v>
      </c>
      <c r="E64" s="22"/>
      <c r="F64" s="22"/>
      <c r="G64" s="22"/>
      <c r="H64" s="22"/>
      <c r="I64" s="22"/>
      <c r="J64" s="22"/>
      <c r="K64" s="22"/>
      <c r="L64" s="22"/>
      <c r="M64" s="22"/>
      <c r="N64" s="22"/>
      <c r="O64" s="22"/>
      <c r="P64" s="22"/>
      <c r="Q64" s="22"/>
      <c r="R64" s="22"/>
      <c r="S64" s="22"/>
      <c r="T64" s="22"/>
      <c r="U64" s="22"/>
    </row>
    <row r="65" spans="1:21" x14ac:dyDescent="0.55000000000000004">
      <c r="A65" s="1" t="str">
        <f>'Population Definitions'!$A$9</f>
        <v>PLHIV Prisoners</v>
      </c>
      <c r="B65" s="1" t="s">
        <v>10</v>
      </c>
      <c r="C65" s="4">
        <f t="shared" si="4"/>
        <v>0</v>
      </c>
      <c r="D65" s="1" t="s">
        <v>16</v>
      </c>
      <c r="E65" s="22"/>
      <c r="F65" s="22"/>
      <c r="G65" s="22"/>
      <c r="H65" s="22"/>
      <c r="I65" s="22"/>
      <c r="J65" s="22"/>
      <c r="K65" s="22"/>
      <c r="L65" s="22"/>
      <c r="M65" s="22"/>
      <c r="N65" s="22"/>
      <c r="O65" s="22"/>
      <c r="P65" s="22"/>
      <c r="Q65" s="22"/>
      <c r="R65" s="22"/>
      <c r="S65" s="22"/>
      <c r="T65" s="22"/>
      <c r="U65" s="22"/>
    </row>
    <row r="66" spans="1:21" x14ac:dyDescent="0.55000000000000004">
      <c r="A66" s="1" t="str">
        <f>'Population Definitions'!$A$10</f>
        <v>HCW</v>
      </c>
      <c r="B66" s="1" t="s">
        <v>10</v>
      </c>
      <c r="C66" s="4">
        <f t="shared" si="4"/>
        <v>0</v>
      </c>
      <c r="D66" s="1" t="s">
        <v>16</v>
      </c>
      <c r="E66" s="22"/>
      <c r="F66" s="22"/>
      <c r="G66" s="22"/>
      <c r="H66" s="22"/>
      <c r="I66" s="22"/>
      <c r="J66" s="22"/>
      <c r="K66" s="22"/>
      <c r="L66" s="22"/>
      <c r="M66" s="22"/>
      <c r="N66" s="22"/>
      <c r="O66" s="22"/>
      <c r="P66" s="22"/>
      <c r="Q66" s="22"/>
      <c r="R66" s="22"/>
      <c r="S66" s="22"/>
      <c r="T66" s="22"/>
      <c r="U66" s="22"/>
    </row>
    <row r="67" spans="1:21" x14ac:dyDescent="0.55000000000000004">
      <c r="A67" s="1" t="str">
        <f>'Population Definitions'!$A$11</f>
        <v>PLHIV HCW</v>
      </c>
      <c r="B67" s="1" t="s">
        <v>10</v>
      </c>
      <c r="C67" s="4">
        <f t="shared" si="4"/>
        <v>0</v>
      </c>
      <c r="D67" s="1" t="s">
        <v>16</v>
      </c>
      <c r="E67" s="22"/>
      <c r="F67" s="22"/>
      <c r="G67" s="22"/>
      <c r="H67" s="22"/>
      <c r="I67" s="22"/>
      <c r="J67" s="22"/>
      <c r="K67" s="22"/>
      <c r="L67" s="22"/>
      <c r="M67" s="22"/>
      <c r="N67" s="22"/>
      <c r="O67" s="22"/>
      <c r="P67" s="22"/>
      <c r="Q67" s="22"/>
      <c r="R67" s="22"/>
      <c r="S67" s="22"/>
      <c r="T67" s="22"/>
      <c r="U67" s="22"/>
    </row>
    <row r="68" spans="1:21" x14ac:dyDescent="0.55000000000000004">
      <c r="A68" s="1" t="str">
        <f>'Population Definitions'!$A$12</f>
        <v>Miners</v>
      </c>
      <c r="B68" s="1" t="s">
        <v>10</v>
      </c>
      <c r="C68" s="4">
        <f t="shared" si="4"/>
        <v>0</v>
      </c>
      <c r="D68" s="1" t="s">
        <v>16</v>
      </c>
      <c r="E68" s="22"/>
      <c r="F68" s="22"/>
      <c r="G68" s="22"/>
      <c r="H68" s="22"/>
      <c r="I68" s="22"/>
      <c r="J68" s="22"/>
      <c r="K68" s="22"/>
      <c r="L68" s="22"/>
      <c r="M68" s="22"/>
      <c r="N68" s="22"/>
      <c r="O68" s="22"/>
      <c r="P68" s="22"/>
      <c r="Q68" s="22"/>
      <c r="R68" s="22"/>
      <c r="S68" s="22"/>
      <c r="T68" s="22"/>
      <c r="U68" s="22"/>
    </row>
    <row r="69" spans="1:21" x14ac:dyDescent="0.55000000000000004">
      <c r="A69" s="1" t="str">
        <f>'Population Definitions'!$A$13</f>
        <v>PLHIV Miners</v>
      </c>
      <c r="B69" s="1" t="s">
        <v>10</v>
      </c>
      <c r="C69" s="4">
        <f t="shared" si="4"/>
        <v>0</v>
      </c>
      <c r="D69" s="1" t="s">
        <v>16</v>
      </c>
      <c r="E69" s="22"/>
      <c r="F69" s="22"/>
      <c r="G69" s="22"/>
      <c r="H69" s="22"/>
      <c r="I69" s="22"/>
      <c r="J69" s="22"/>
      <c r="K69" s="22"/>
      <c r="L69" s="22"/>
      <c r="M69" s="22"/>
      <c r="N69" s="22"/>
      <c r="O69" s="22"/>
      <c r="P69" s="22"/>
      <c r="Q69" s="22"/>
      <c r="R69" s="22"/>
      <c r="S69" s="22"/>
      <c r="T69" s="22"/>
      <c r="U69" s="22"/>
    </row>
  </sheetData>
  <dataValidations count="60">
    <dataValidation type="list" showInputMessage="1" showErrorMessage="1" sqref="B2">
      <formula1>"Number"</formula1>
    </dataValidation>
    <dataValidation type="list" showInputMessage="1" showErrorMessage="1" sqref="B3">
      <formula1>"Number"</formula1>
    </dataValidation>
    <dataValidation type="list" showInputMessage="1" showErrorMessage="1" sqref="B4">
      <formula1>"Number"</formula1>
    </dataValidation>
    <dataValidation type="list" showInputMessage="1" showErrorMessage="1" sqref="B5">
      <formula1>"Number"</formula1>
    </dataValidation>
    <dataValidation type="list" showInputMessage="1" showErrorMessage="1" sqref="B6">
      <formula1>"Number"</formula1>
    </dataValidation>
    <dataValidation type="list" showInputMessage="1" showErrorMessage="1" sqref="B7">
      <formula1>"Number"</formula1>
    </dataValidation>
    <dataValidation type="list" showInputMessage="1" showErrorMessage="1" sqref="B8">
      <formula1>"Number"</formula1>
    </dataValidation>
    <dataValidation type="list" showInputMessage="1" showErrorMessage="1" sqref="B9">
      <formula1>"Number"</formula1>
    </dataValidation>
    <dataValidation type="list" showInputMessage="1" showErrorMessage="1" sqref="B10">
      <formula1>"Number"</formula1>
    </dataValidation>
    <dataValidation type="list" showInputMessage="1" showErrorMessage="1" sqref="B11">
      <formula1>"Number"</formula1>
    </dataValidation>
    <dataValidation type="list" showInputMessage="1" showErrorMessage="1" sqref="B12">
      <formula1>"Number"</formula1>
    </dataValidation>
    <dataValidation type="list" showInputMessage="1" showErrorMessage="1" sqref="B13">
      <formula1>"Number"</formula1>
    </dataValidation>
    <dataValidation type="list" showInputMessage="1" showErrorMessage="1" sqref="B16">
      <formula1>"Fraction,Number"</formula1>
    </dataValidation>
    <dataValidation type="list" showInputMessage="1" showErrorMessage="1" sqref="B17">
      <formula1>"Fraction,Number"</formula1>
    </dataValidation>
    <dataValidation type="list" showInputMessage="1" showErrorMessage="1" sqref="B18">
      <formula1>"Fraction,Number"</formula1>
    </dataValidation>
    <dataValidation type="list" showInputMessage="1" showErrorMessage="1" sqref="B19">
      <formula1>"Fraction,Number"</formula1>
    </dataValidation>
    <dataValidation type="list" showInputMessage="1" showErrorMessage="1" sqref="B20">
      <formula1>"Fraction,Number"</formula1>
    </dataValidation>
    <dataValidation type="list" showInputMessage="1" showErrorMessage="1" sqref="B21">
      <formula1>"Fraction,Number"</formula1>
    </dataValidation>
    <dataValidation type="list" showInputMessage="1" showErrorMessage="1" sqref="B22">
      <formula1>"Fraction,Number"</formula1>
    </dataValidation>
    <dataValidation type="list" showInputMessage="1" showErrorMessage="1" sqref="B23">
      <formula1>"Fraction,Number"</formula1>
    </dataValidation>
    <dataValidation type="list" showInputMessage="1" showErrorMessage="1" sqref="B24">
      <formula1>"Fraction,Number"</formula1>
    </dataValidation>
    <dataValidation type="list" showInputMessage="1" showErrorMessage="1" sqref="B25">
      <formula1>"Fraction,Number"</formula1>
    </dataValidation>
    <dataValidation type="list" showInputMessage="1" showErrorMessage="1" sqref="B26">
      <formula1>"Fraction,Number"</formula1>
    </dataValidation>
    <dataValidation type="list" showInputMessage="1" showErrorMessage="1" sqref="B27">
      <formula1>"Fraction,Number"</formula1>
    </dataValidation>
    <dataValidation type="list" showInputMessage="1" showErrorMessage="1" sqref="B30">
      <formula1>"Fraction,Number"</formula1>
    </dataValidation>
    <dataValidation type="list" showInputMessage="1" showErrorMessage="1" sqref="B31">
      <formula1>"Fraction,Number"</formula1>
    </dataValidation>
    <dataValidation type="list" showInputMessage="1" showErrorMessage="1" sqref="B32">
      <formula1>"Fraction,Number"</formula1>
    </dataValidation>
    <dataValidation type="list" showInputMessage="1" showErrorMessage="1" sqref="B33">
      <formula1>"Fraction,Number"</formula1>
    </dataValidation>
    <dataValidation type="list" showInputMessage="1" showErrorMessage="1" sqref="B34">
      <formula1>"Fraction,Number"</formula1>
    </dataValidation>
    <dataValidation type="list" showInputMessage="1" showErrorMessage="1" sqref="B35">
      <formula1>"Fraction,Number"</formula1>
    </dataValidation>
    <dataValidation type="list" showInputMessage="1" showErrorMessage="1" sqref="B36">
      <formula1>"Fraction,Number"</formula1>
    </dataValidation>
    <dataValidation type="list" showInputMessage="1" showErrorMessage="1" sqref="B37">
      <formula1>"Fraction,Number"</formula1>
    </dataValidation>
    <dataValidation type="list" showInputMessage="1" showErrorMessage="1" sqref="B38">
      <formula1>"Fraction,Number"</formula1>
    </dataValidation>
    <dataValidation type="list" showInputMessage="1" showErrorMessage="1" sqref="B39">
      <formula1>"Fraction,Number"</formula1>
    </dataValidation>
    <dataValidation type="list" showInputMessage="1" showErrorMessage="1" sqref="B40">
      <formula1>"Fraction,Number"</formula1>
    </dataValidation>
    <dataValidation type="list" showInputMessage="1" showErrorMessage="1" sqref="B41">
      <formula1>"Fraction,Number"</formula1>
    </dataValidation>
    <dataValidation type="list" showInputMessage="1" showErrorMessage="1" sqref="B44">
      <formula1>"Fraction,Number"</formula1>
    </dataValidation>
    <dataValidation type="list" showInputMessage="1" showErrorMessage="1" sqref="B45">
      <formula1>"Fraction,Number"</formula1>
    </dataValidation>
    <dataValidation type="list" showInputMessage="1" showErrorMessage="1" sqref="B46">
      <formula1>"Fraction,Number"</formula1>
    </dataValidation>
    <dataValidation type="list" showInputMessage="1" showErrorMessage="1" sqref="B47">
      <formula1>"Fraction,Number"</formula1>
    </dataValidation>
    <dataValidation type="list" showInputMessage="1" showErrorMessage="1" sqref="B48">
      <formula1>"Fraction,Number"</formula1>
    </dataValidation>
    <dataValidation type="list" showInputMessage="1" showErrorMessage="1" sqref="B49">
      <formula1>"Fraction,Number"</formula1>
    </dataValidation>
    <dataValidation type="list" showInputMessage="1" showErrorMessage="1" sqref="B50">
      <formula1>"Fraction,Number"</formula1>
    </dataValidation>
    <dataValidation type="list" showInputMessage="1" showErrorMessage="1" sqref="B51">
      <formula1>"Fraction,Number"</formula1>
    </dataValidation>
    <dataValidation type="list" showInputMessage="1" showErrorMessage="1" sqref="B52">
      <formula1>"Fraction,Number"</formula1>
    </dataValidation>
    <dataValidation type="list" showInputMessage="1" showErrorMessage="1" sqref="B53">
      <formula1>"Fraction,Number"</formula1>
    </dataValidation>
    <dataValidation type="list" showInputMessage="1" showErrorMessage="1" sqref="B54">
      <formula1>"Fraction,Number"</formula1>
    </dataValidation>
    <dataValidation type="list" showInputMessage="1" showErrorMessage="1" sqref="B55">
      <formula1>"Fraction,Number"</formula1>
    </dataValidation>
    <dataValidation type="list" showInputMessage="1" showErrorMessage="1" sqref="B58">
      <formula1>"Fraction,Number"</formula1>
    </dataValidation>
    <dataValidation type="list" showInputMessage="1" showErrorMessage="1" sqref="B59">
      <formula1>"Fraction,Number"</formula1>
    </dataValidation>
    <dataValidation type="list" showInputMessage="1" showErrorMessage="1" sqref="B60">
      <formula1>"Fraction,Number"</formula1>
    </dataValidation>
    <dataValidation type="list" showInputMessage="1" showErrorMessage="1" sqref="B61">
      <formula1>"Fraction,Number"</formula1>
    </dataValidation>
    <dataValidation type="list" showInputMessage="1" showErrorMessage="1" sqref="B62">
      <formula1>"Fraction,Number"</formula1>
    </dataValidation>
    <dataValidation type="list" showInputMessage="1" showErrorMessage="1" sqref="B63">
      <formula1>"Fraction,Number"</formula1>
    </dataValidation>
    <dataValidation type="list" showInputMessage="1" showErrorMessage="1" sqref="B64">
      <formula1>"Fraction,Number"</formula1>
    </dataValidation>
    <dataValidation type="list" showInputMessage="1" showErrorMessage="1" sqref="B65">
      <formula1>"Fraction,Number"</formula1>
    </dataValidation>
    <dataValidation type="list" showInputMessage="1" showErrorMessage="1" sqref="B66">
      <formula1>"Fraction,Number"</formula1>
    </dataValidation>
    <dataValidation type="list" showInputMessage="1" showErrorMessage="1" sqref="B67">
      <formula1>"Fraction,Number"</formula1>
    </dataValidation>
    <dataValidation type="list" showInputMessage="1" showErrorMessage="1" sqref="B68">
      <formula1>"Fraction,Number"</formula1>
    </dataValidation>
    <dataValidation type="list" showInputMessage="1" showErrorMessage="1" sqref="B69">
      <formula1>"Fraction,Number"</formula1>
    </dataValidation>
  </dataValidation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3"/>
  <sheetViews>
    <sheetView workbookViewId="0">
      <selection activeCell="E32" sqref="E32"/>
    </sheetView>
  </sheetViews>
  <sheetFormatPr defaultColWidth="8.83984375" defaultRowHeight="14.4" x14ac:dyDescent="0.55000000000000004"/>
  <cols>
    <col min="1" max="1" width="60.68359375" customWidth="1"/>
    <col min="2" max="3" width="10.68359375" customWidth="1"/>
    <col min="5" max="5" width="9.3125" bestFit="1" customWidth="1"/>
  </cols>
  <sheetData>
    <row r="1" spans="1:21" x14ac:dyDescent="0.55000000000000004">
      <c r="A1" s="21" t="s">
        <v>138</v>
      </c>
      <c r="B1" s="1" t="s">
        <v>8</v>
      </c>
      <c r="C1" s="1" t="s">
        <v>9</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row>
    <row r="2" spans="1:21" x14ac:dyDescent="0.55000000000000004">
      <c r="A2" s="1" t="str">
        <f>'Population Definitions'!$A$2</f>
        <v>Gen 0-4</v>
      </c>
      <c r="B2" s="1" t="s">
        <v>10</v>
      </c>
      <c r="C2" s="12" t="str">
        <f>IF(SUMPRODUCT(--(E2:U2&lt;&gt;""))=0,0.2001*2,"N.A.")</f>
        <v>N.A.</v>
      </c>
      <c r="D2" s="1" t="s">
        <v>16</v>
      </c>
      <c r="E2" s="47">
        <f>0.2001</f>
        <v>0.2001</v>
      </c>
      <c r="F2" s="22"/>
      <c r="G2" s="22"/>
      <c r="H2" s="22"/>
      <c r="I2" s="22"/>
      <c r="J2" s="22"/>
      <c r="K2" s="22"/>
      <c r="L2" s="22"/>
      <c r="M2" s="22"/>
      <c r="N2" s="22"/>
      <c r="O2" s="22"/>
      <c r="P2" s="22"/>
      <c r="Q2" s="22"/>
      <c r="R2" s="22"/>
      <c r="S2" s="22"/>
      <c r="T2" s="22"/>
      <c r="U2" s="22"/>
    </row>
    <row r="3" spans="1:21" x14ac:dyDescent="0.55000000000000004">
      <c r="A3" s="1" t="str">
        <f>'Population Definitions'!$A$3</f>
        <v>Gen 5-14</v>
      </c>
      <c r="B3" s="1" t="s">
        <v>10</v>
      </c>
      <c r="C3" s="12" t="str">
        <f t="shared" ref="C3" si="0">IF(SUMPRODUCT(--(E3:U3&lt;&gt;""))=0,0.2001,"N.A.")</f>
        <v>N.A.</v>
      </c>
      <c r="D3" s="1" t="s">
        <v>16</v>
      </c>
      <c r="E3" s="47">
        <f>0.2001</f>
        <v>0.2001</v>
      </c>
      <c r="F3" s="22"/>
      <c r="G3" s="22"/>
      <c r="H3" s="22"/>
      <c r="I3" s="22"/>
      <c r="J3" s="22"/>
      <c r="K3" s="22"/>
      <c r="L3" s="22"/>
      <c r="M3" s="22"/>
      <c r="N3" s="22"/>
      <c r="O3" s="22"/>
      <c r="P3" s="22"/>
      <c r="Q3" s="22"/>
      <c r="R3" s="22"/>
      <c r="S3" s="22"/>
      <c r="T3" s="22"/>
      <c r="U3" s="22"/>
    </row>
    <row r="4" spans="1:21" x14ac:dyDescent="0.55000000000000004">
      <c r="A4" s="1" t="str">
        <f>'Population Definitions'!$A$4</f>
        <v>Gen 15-64</v>
      </c>
      <c r="B4" s="1" t="s">
        <v>10</v>
      </c>
      <c r="C4" s="12" t="str">
        <f>C3</f>
        <v>N.A.</v>
      </c>
      <c r="D4" s="1" t="s">
        <v>16</v>
      </c>
      <c r="E4" s="47">
        <f>$E$3</f>
        <v>0.2001</v>
      </c>
      <c r="F4" s="22"/>
      <c r="G4" s="22"/>
      <c r="H4" s="22"/>
      <c r="I4" s="22"/>
      <c r="J4" s="22"/>
      <c r="K4" s="22"/>
      <c r="L4" s="22"/>
      <c r="M4" s="22"/>
      <c r="N4" s="22"/>
      <c r="O4" s="22"/>
      <c r="P4" s="22"/>
      <c r="Q4" s="22"/>
      <c r="R4" s="22"/>
      <c r="S4" s="22"/>
      <c r="T4" s="22"/>
      <c r="U4" s="22"/>
    </row>
    <row r="5" spans="1:21" x14ac:dyDescent="0.55000000000000004">
      <c r="A5" s="1" t="str">
        <f>'Population Definitions'!$A$5</f>
        <v>Gen 65+</v>
      </c>
      <c r="B5" s="1" t="s">
        <v>10</v>
      </c>
      <c r="C5" s="12" t="str">
        <f>C3</f>
        <v>N.A.</v>
      </c>
      <c r="D5" s="1" t="s">
        <v>16</v>
      </c>
      <c r="E5" s="47">
        <f t="shared" ref="E5:E12" si="1">$E$3</f>
        <v>0.2001</v>
      </c>
      <c r="F5" s="22"/>
      <c r="G5" s="22"/>
      <c r="H5" s="22"/>
      <c r="I5" s="22"/>
      <c r="J5" s="22"/>
      <c r="K5" s="22"/>
      <c r="L5" s="22"/>
      <c r="M5" s="22"/>
      <c r="N5" s="22"/>
      <c r="O5" s="22"/>
      <c r="P5" s="22"/>
      <c r="Q5" s="22"/>
      <c r="R5" s="22"/>
      <c r="S5" s="22"/>
      <c r="T5" s="22"/>
      <c r="U5" s="22"/>
    </row>
    <row r="6" spans="1:21" x14ac:dyDescent="0.55000000000000004">
      <c r="A6" s="1" t="str">
        <f>'Population Definitions'!$A$6</f>
        <v>PLHIV 15-64</v>
      </c>
      <c r="B6" s="1" t="s">
        <v>10</v>
      </c>
      <c r="C6" s="12" t="str">
        <f>C3</f>
        <v>N.A.</v>
      </c>
      <c r="D6" s="1" t="s">
        <v>16</v>
      </c>
      <c r="E6" s="47">
        <v>0.99</v>
      </c>
      <c r="F6" s="22"/>
      <c r="G6" s="22"/>
      <c r="H6" s="22"/>
      <c r="I6" s="22"/>
      <c r="J6" s="22"/>
      <c r="K6" s="22"/>
      <c r="L6" s="22"/>
      <c r="M6" s="22"/>
      <c r="N6" s="22"/>
      <c r="O6" s="22"/>
      <c r="P6" s="22"/>
      <c r="Q6" s="22"/>
      <c r="R6" s="22"/>
      <c r="S6" s="22"/>
      <c r="T6" s="22"/>
      <c r="U6" s="22"/>
    </row>
    <row r="7" spans="1:21" x14ac:dyDescent="0.55000000000000004">
      <c r="A7" s="1" t="str">
        <f>'Population Definitions'!$A$7</f>
        <v>PLHIV 65+</v>
      </c>
      <c r="B7" s="1" t="s">
        <v>10</v>
      </c>
      <c r="C7" s="12" t="str">
        <f>C3</f>
        <v>N.A.</v>
      </c>
      <c r="D7" s="1" t="s">
        <v>16</v>
      </c>
      <c r="E7" s="47">
        <f>E6</f>
        <v>0.99</v>
      </c>
      <c r="F7" s="22"/>
      <c r="G7" s="22"/>
      <c r="H7" s="22"/>
      <c r="I7" s="22"/>
      <c r="J7" s="22"/>
      <c r="K7" s="22"/>
      <c r="L7" s="22"/>
      <c r="M7" s="22"/>
      <c r="N7" s="22"/>
      <c r="O7" s="22"/>
      <c r="P7" s="22"/>
      <c r="Q7" s="22"/>
      <c r="R7" s="22"/>
      <c r="S7" s="22"/>
      <c r="T7" s="22"/>
      <c r="U7" s="22"/>
    </row>
    <row r="8" spans="1:21" x14ac:dyDescent="0.55000000000000004">
      <c r="A8" s="1" t="str">
        <f>'Population Definitions'!$A$8</f>
        <v>Prisoners</v>
      </c>
      <c r="B8" s="1" t="s">
        <v>10</v>
      </c>
      <c r="C8" s="12" t="str">
        <f>C3</f>
        <v>N.A.</v>
      </c>
      <c r="D8" s="1" t="s">
        <v>16</v>
      </c>
      <c r="E8" s="47">
        <f t="shared" si="1"/>
        <v>0.2001</v>
      </c>
      <c r="F8" s="22"/>
      <c r="G8" s="22"/>
      <c r="H8" s="22"/>
      <c r="I8" s="22"/>
      <c r="J8" s="22"/>
      <c r="K8" s="22"/>
      <c r="L8" s="22"/>
      <c r="M8" s="22"/>
      <c r="N8" s="22"/>
      <c r="O8" s="22"/>
      <c r="P8" s="22"/>
      <c r="Q8" s="22"/>
      <c r="R8" s="22"/>
      <c r="S8" s="22"/>
      <c r="T8" s="22"/>
      <c r="U8" s="22"/>
    </row>
    <row r="9" spans="1:21" x14ac:dyDescent="0.55000000000000004">
      <c r="A9" s="1" t="str">
        <f>'Population Definitions'!$A$9</f>
        <v>PLHIV Prisoners</v>
      </c>
      <c r="B9" s="1" t="s">
        <v>10</v>
      </c>
      <c r="C9" s="12" t="str">
        <f>C3</f>
        <v>N.A.</v>
      </c>
      <c r="D9" s="1" t="s">
        <v>16</v>
      </c>
      <c r="E9" s="47">
        <f>E6</f>
        <v>0.99</v>
      </c>
      <c r="F9" s="22"/>
      <c r="G9" s="22"/>
      <c r="H9" s="22"/>
      <c r="I9" s="22"/>
      <c r="J9" s="22"/>
      <c r="K9" s="22"/>
      <c r="L9" s="22"/>
      <c r="M9" s="22"/>
      <c r="N9" s="22"/>
      <c r="O9" s="22"/>
      <c r="P9" s="22"/>
      <c r="Q9" s="22"/>
      <c r="R9" s="22"/>
      <c r="S9" s="22"/>
      <c r="T9" s="22"/>
      <c r="U9" s="22"/>
    </row>
    <row r="10" spans="1:21" x14ac:dyDescent="0.55000000000000004">
      <c r="A10" s="1" t="str">
        <f>'Population Definitions'!$A$10</f>
        <v>HCW</v>
      </c>
      <c r="B10" s="1" t="s">
        <v>10</v>
      </c>
      <c r="C10" s="12" t="str">
        <f>C3</f>
        <v>N.A.</v>
      </c>
      <c r="D10" s="1" t="s">
        <v>16</v>
      </c>
      <c r="E10" s="47">
        <f t="shared" si="1"/>
        <v>0.2001</v>
      </c>
      <c r="F10" s="22"/>
      <c r="G10" s="22"/>
      <c r="H10" s="22"/>
      <c r="I10" s="22"/>
      <c r="J10" s="22"/>
      <c r="K10" s="22"/>
      <c r="L10" s="22"/>
      <c r="M10" s="22"/>
      <c r="N10" s="22"/>
      <c r="O10" s="22"/>
      <c r="P10" s="22"/>
      <c r="Q10" s="22"/>
      <c r="R10" s="22"/>
      <c r="S10" s="22"/>
      <c r="T10" s="22"/>
      <c r="U10" s="22"/>
    </row>
    <row r="11" spans="1:21" x14ac:dyDescent="0.55000000000000004">
      <c r="A11" s="1" t="str">
        <f>'Population Definitions'!$A$11</f>
        <v>PLHIV HCW</v>
      </c>
      <c r="B11" s="1" t="s">
        <v>10</v>
      </c>
      <c r="C11" s="12" t="str">
        <f>C3</f>
        <v>N.A.</v>
      </c>
      <c r="D11" s="1" t="s">
        <v>16</v>
      </c>
      <c r="E11" s="47">
        <f>E6</f>
        <v>0.99</v>
      </c>
      <c r="F11" s="22"/>
      <c r="G11" s="22"/>
      <c r="H11" s="22"/>
      <c r="I11" s="22"/>
      <c r="J11" s="22"/>
      <c r="K11" s="22"/>
      <c r="L11" s="22"/>
      <c r="M11" s="22"/>
      <c r="N11" s="22"/>
      <c r="O11" s="22"/>
      <c r="P11" s="22"/>
      <c r="Q11" s="22"/>
      <c r="R11" s="22"/>
      <c r="S11" s="22"/>
      <c r="T11" s="22"/>
      <c r="U11" s="22"/>
    </row>
    <row r="12" spans="1:21" x14ac:dyDescent="0.55000000000000004">
      <c r="A12" s="1" t="str">
        <f>'Population Definitions'!$A$12</f>
        <v>Miners</v>
      </c>
      <c r="B12" s="1" t="s">
        <v>10</v>
      </c>
      <c r="C12" s="12" t="str">
        <f>C3</f>
        <v>N.A.</v>
      </c>
      <c r="D12" s="1" t="s">
        <v>16</v>
      </c>
      <c r="E12" s="47">
        <f t="shared" si="1"/>
        <v>0.2001</v>
      </c>
      <c r="F12" s="22"/>
      <c r="G12" s="22"/>
      <c r="H12" s="22"/>
      <c r="I12" s="22"/>
      <c r="J12" s="22"/>
      <c r="K12" s="22"/>
      <c r="L12" s="22"/>
      <c r="M12" s="22"/>
      <c r="N12" s="22"/>
      <c r="O12" s="22"/>
      <c r="P12" s="22"/>
      <c r="Q12" s="22"/>
      <c r="R12" s="22"/>
      <c r="S12" s="22"/>
      <c r="T12" s="22"/>
      <c r="U12" s="22"/>
    </row>
    <row r="13" spans="1:21" x14ac:dyDescent="0.55000000000000004">
      <c r="A13" s="1" t="str">
        <f>'Population Definitions'!$A$13</f>
        <v>PLHIV Miners</v>
      </c>
      <c r="B13" s="1" t="s">
        <v>10</v>
      </c>
      <c r="C13" s="12" t="str">
        <f>C3</f>
        <v>N.A.</v>
      </c>
      <c r="D13" s="1" t="s">
        <v>16</v>
      </c>
      <c r="E13" s="47">
        <f>E6</f>
        <v>0.99</v>
      </c>
      <c r="F13" s="22"/>
      <c r="G13" s="22"/>
      <c r="H13" s="22"/>
      <c r="I13" s="22"/>
      <c r="J13" s="22"/>
      <c r="K13" s="22"/>
      <c r="L13" s="22"/>
      <c r="M13" s="22"/>
      <c r="N13" s="22"/>
      <c r="O13" s="22"/>
      <c r="P13" s="22"/>
      <c r="Q13" s="22"/>
      <c r="R13" s="22"/>
      <c r="S13" s="22"/>
      <c r="T13" s="22"/>
      <c r="U13" s="22"/>
    </row>
    <row r="15" spans="1:21" x14ac:dyDescent="0.55000000000000004">
      <c r="A15" s="21" t="s">
        <v>139</v>
      </c>
      <c r="B15" s="1" t="s">
        <v>8</v>
      </c>
      <c r="C15" s="1" t="s">
        <v>9</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row>
    <row r="16" spans="1:21" x14ac:dyDescent="0.55000000000000004">
      <c r="A16" s="1" t="str">
        <f>'Population Definitions'!$A$2</f>
        <v>Gen 0-4</v>
      </c>
      <c r="B16" s="1" t="s">
        <v>10</v>
      </c>
      <c r="C16" s="12" t="str">
        <f>C2</f>
        <v>N.A.</v>
      </c>
      <c r="D16" s="1" t="s">
        <v>16</v>
      </c>
      <c r="E16" s="47">
        <f>0.2001</f>
        <v>0.2001</v>
      </c>
      <c r="F16" s="22"/>
      <c r="G16" s="22"/>
      <c r="H16" s="22"/>
      <c r="I16" s="22"/>
      <c r="J16" s="22"/>
      <c r="K16" s="22"/>
      <c r="L16" s="22"/>
      <c r="M16" s="22"/>
      <c r="N16" s="22"/>
      <c r="O16" s="22"/>
      <c r="P16" s="22"/>
      <c r="Q16" s="22"/>
      <c r="R16" s="22"/>
      <c r="S16" s="22"/>
      <c r="T16" s="22"/>
      <c r="U16" s="22"/>
    </row>
    <row r="17" spans="1:21" x14ac:dyDescent="0.55000000000000004">
      <c r="A17" s="1" t="str">
        <f>'Population Definitions'!$A$3</f>
        <v>Gen 5-14</v>
      </c>
      <c r="B17" s="1" t="s">
        <v>10</v>
      </c>
      <c r="C17" s="12" t="str">
        <f t="shared" ref="C17:C27" si="2">C3</f>
        <v>N.A.</v>
      </c>
      <c r="D17" s="1" t="s">
        <v>16</v>
      </c>
      <c r="E17" s="47">
        <f>0.2001</f>
        <v>0.2001</v>
      </c>
      <c r="F17" s="22"/>
      <c r="G17" s="22"/>
      <c r="H17" s="22"/>
      <c r="I17" s="22"/>
      <c r="J17" s="22"/>
      <c r="K17" s="22"/>
      <c r="L17" s="22"/>
      <c r="M17" s="22"/>
      <c r="N17" s="22"/>
      <c r="O17" s="22"/>
      <c r="P17" s="22"/>
      <c r="Q17" s="22"/>
      <c r="R17" s="22"/>
      <c r="S17" s="22"/>
      <c r="T17" s="22"/>
      <c r="U17" s="22"/>
    </row>
    <row r="18" spans="1:21" x14ac:dyDescent="0.55000000000000004">
      <c r="A18" s="1" t="str">
        <f>'Population Definitions'!$A$4</f>
        <v>Gen 15-64</v>
      </c>
      <c r="B18" s="1" t="s">
        <v>10</v>
      </c>
      <c r="C18" s="12" t="str">
        <f t="shared" si="2"/>
        <v>N.A.</v>
      </c>
      <c r="D18" s="1" t="s">
        <v>16</v>
      </c>
      <c r="E18" s="47">
        <f>$E$17</f>
        <v>0.2001</v>
      </c>
      <c r="F18" s="22"/>
      <c r="G18" s="22"/>
      <c r="H18" s="22"/>
      <c r="I18" s="22"/>
      <c r="J18" s="22"/>
      <c r="K18" s="22"/>
      <c r="L18" s="22"/>
      <c r="M18" s="22"/>
      <c r="N18" s="22"/>
      <c r="O18" s="22"/>
      <c r="P18" s="22"/>
      <c r="Q18" s="22"/>
      <c r="R18" s="22"/>
      <c r="S18" s="22"/>
      <c r="T18" s="22"/>
      <c r="U18" s="22"/>
    </row>
    <row r="19" spans="1:21" x14ac:dyDescent="0.55000000000000004">
      <c r="A19" s="1" t="str">
        <f>'Population Definitions'!$A$5</f>
        <v>Gen 65+</v>
      </c>
      <c r="B19" s="1" t="s">
        <v>10</v>
      </c>
      <c r="C19" s="12" t="str">
        <f t="shared" si="2"/>
        <v>N.A.</v>
      </c>
      <c r="D19" s="1" t="s">
        <v>16</v>
      </c>
      <c r="E19" s="47">
        <f t="shared" ref="E19:E27" si="3">$E$17</f>
        <v>0.2001</v>
      </c>
      <c r="F19" s="22"/>
      <c r="G19" s="22"/>
      <c r="H19" s="22"/>
      <c r="I19" s="22"/>
      <c r="J19" s="22"/>
      <c r="K19" s="22"/>
      <c r="L19" s="22"/>
      <c r="M19" s="22"/>
      <c r="N19" s="22"/>
      <c r="O19" s="22"/>
      <c r="P19" s="22"/>
      <c r="Q19" s="22"/>
      <c r="R19" s="22"/>
      <c r="S19" s="22"/>
      <c r="T19" s="22"/>
      <c r="U19" s="22"/>
    </row>
    <row r="20" spans="1:21" x14ac:dyDescent="0.55000000000000004">
      <c r="A20" s="1" t="str">
        <f>'Population Definitions'!$A$6</f>
        <v>PLHIV 15-64</v>
      </c>
      <c r="B20" s="1" t="s">
        <v>10</v>
      </c>
      <c r="C20" s="12" t="str">
        <f t="shared" si="2"/>
        <v>N.A.</v>
      </c>
      <c r="D20" s="1" t="s">
        <v>16</v>
      </c>
      <c r="E20" s="47">
        <f t="shared" si="3"/>
        <v>0.2001</v>
      </c>
      <c r="F20" s="22"/>
      <c r="G20" s="22"/>
      <c r="H20" s="22"/>
      <c r="I20" s="22"/>
      <c r="J20" s="22"/>
      <c r="K20" s="22"/>
      <c r="L20" s="22"/>
      <c r="M20" s="22"/>
      <c r="N20" s="22"/>
      <c r="O20" s="22"/>
      <c r="P20" s="22"/>
      <c r="Q20" s="22"/>
      <c r="R20" s="22"/>
      <c r="S20" s="22"/>
      <c r="T20" s="22"/>
      <c r="U20" s="22"/>
    </row>
    <row r="21" spans="1:21" x14ac:dyDescent="0.55000000000000004">
      <c r="A21" s="1" t="str">
        <f>'Population Definitions'!$A$7</f>
        <v>PLHIV 65+</v>
      </c>
      <c r="B21" s="1" t="s">
        <v>10</v>
      </c>
      <c r="C21" s="12" t="str">
        <f t="shared" si="2"/>
        <v>N.A.</v>
      </c>
      <c r="D21" s="1" t="s">
        <v>16</v>
      </c>
      <c r="E21" s="47">
        <f t="shared" si="3"/>
        <v>0.2001</v>
      </c>
      <c r="F21" s="22"/>
      <c r="G21" s="22"/>
      <c r="H21" s="22"/>
      <c r="I21" s="22"/>
      <c r="J21" s="22"/>
      <c r="K21" s="22"/>
      <c r="L21" s="22"/>
      <c r="M21" s="22"/>
      <c r="N21" s="22"/>
      <c r="O21" s="22"/>
      <c r="P21" s="22"/>
      <c r="Q21" s="22"/>
      <c r="R21" s="22"/>
      <c r="S21" s="22"/>
      <c r="T21" s="22"/>
      <c r="U21" s="22"/>
    </row>
    <row r="22" spans="1:21" x14ac:dyDescent="0.55000000000000004">
      <c r="A22" s="1" t="str">
        <f>'Population Definitions'!$A$8</f>
        <v>Prisoners</v>
      </c>
      <c r="B22" s="1" t="s">
        <v>10</v>
      </c>
      <c r="C22" s="12" t="str">
        <f t="shared" si="2"/>
        <v>N.A.</v>
      </c>
      <c r="D22" s="1" t="s">
        <v>16</v>
      </c>
      <c r="E22" s="47">
        <f t="shared" si="3"/>
        <v>0.2001</v>
      </c>
      <c r="F22" s="22"/>
      <c r="G22" s="22"/>
      <c r="H22" s="22"/>
      <c r="I22" s="22"/>
      <c r="J22" s="22"/>
      <c r="K22" s="22"/>
      <c r="L22" s="22"/>
      <c r="M22" s="22"/>
      <c r="N22" s="22"/>
      <c r="O22" s="22"/>
      <c r="P22" s="22"/>
      <c r="Q22" s="22"/>
      <c r="R22" s="22"/>
      <c r="S22" s="22"/>
      <c r="T22" s="22"/>
      <c r="U22" s="22"/>
    </row>
    <row r="23" spans="1:21" x14ac:dyDescent="0.55000000000000004">
      <c r="A23" s="1" t="str">
        <f>'Population Definitions'!$A$9</f>
        <v>PLHIV Prisoners</v>
      </c>
      <c r="B23" s="1" t="s">
        <v>10</v>
      </c>
      <c r="C23" s="12" t="str">
        <f t="shared" si="2"/>
        <v>N.A.</v>
      </c>
      <c r="D23" s="1" t="s">
        <v>16</v>
      </c>
      <c r="E23" s="47">
        <f t="shared" si="3"/>
        <v>0.2001</v>
      </c>
      <c r="F23" s="22"/>
      <c r="G23" s="22"/>
      <c r="H23" s="22"/>
      <c r="I23" s="22"/>
      <c r="J23" s="22"/>
      <c r="K23" s="22"/>
      <c r="L23" s="22"/>
      <c r="M23" s="22"/>
      <c r="N23" s="22"/>
      <c r="O23" s="22"/>
      <c r="P23" s="22"/>
      <c r="Q23" s="22"/>
      <c r="R23" s="22"/>
      <c r="S23" s="22"/>
      <c r="T23" s="22"/>
      <c r="U23" s="22"/>
    </row>
    <row r="24" spans="1:21" x14ac:dyDescent="0.55000000000000004">
      <c r="A24" s="1" t="str">
        <f>'Population Definitions'!$A$10</f>
        <v>HCW</v>
      </c>
      <c r="B24" s="1" t="s">
        <v>10</v>
      </c>
      <c r="C24" s="12" t="str">
        <f t="shared" si="2"/>
        <v>N.A.</v>
      </c>
      <c r="D24" s="1" t="s">
        <v>16</v>
      </c>
      <c r="E24" s="47">
        <f t="shared" si="3"/>
        <v>0.2001</v>
      </c>
      <c r="F24" s="22"/>
      <c r="G24" s="22"/>
      <c r="H24" s="22"/>
      <c r="I24" s="22"/>
      <c r="J24" s="22"/>
      <c r="K24" s="22"/>
      <c r="L24" s="22"/>
      <c r="M24" s="22"/>
      <c r="N24" s="22"/>
      <c r="O24" s="22"/>
      <c r="P24" s="22"/>
      <c r="Q24" s="22"/>
      <c r="R24" s="22"/>
      <c r="S24" s="22"/>
      <c r="T24" s="22"/>
      <c r="U24" s="22"/>
    </row>
    <row r="25" spans="1:21" x14ac:dyDescent="0.55000000000000004">
      <c r="A25" s="1" t="str">
        <f>'Population Definitions'!$A$11</f>
        <v>PLHIV HCW</v>
      </c>
      <c r="B25" s="1" t="s">
        <v>10</v>
      </c>
      <c r="C25" s="12" t="str">
        <f t="shared" si="2"/>
        <v>N.A.</v>
      </c>
      <c r="D25" s="1" t="s">
        <v>16</v>
      </c>
      <c r="E25" s="47">
        <f t="shared" si="3"/>
        <v>0.2001</v>
      </c>
      <c r="F25" s="22"/>
      <c r="G25" s="22"/>
      <c r="H25" s="22"/>
      <c r="I25" s="22"/>
      <c r="J25" s="22"/>
      <c r="K25" s="22"/>
      <c r="L25" s="22"/>
      <c r="M25" s="22"/>
      <c r="N25" s="22"/>
      <c r="O25" s="22"/>
      <c r="P25" s="22"/>
      <c r="Q25" s="22"/>
      <c r="R25" s="22"/>
      <c r="S25" s="22"/>
      <c r="T25" s="22"/>
      <c r="U25" s="22"/>
    </row>
    <row r="26" spans="1:21" x14ac:dyDescent="0.55000000000000004">
      <c r="A26" s="1" t="str">
        <f>'Population Definitions'!$A$12</f>
        <v>Miners</v>
      </c>
      <c r="B26" s="1" t="s">
        <v>10</v>
      </c>
      <c r="C26" s="12" t="str">
        <f t="shared" si="2"/>
        <v>N.A.</v>
      </c>
      <c r="D26" s="1" t="s">
        <v>16</v>
      </c>
      <c r="E26" s="47">
        <f t="shared" si="3"/>
        <v>0.2001</v>
      </c>
      <c r="F26" s="22"/>
      <c r="G26" s="22"/>
      <c r="H26" s="22"/>
      <c r="I26" s="22"/>
      <c r="J26" s="22"/>
      <c r="K26" s="22"/>
      <c r="L26" s="22"/>
      <c r="M26" s="22"/>
      <c r="N26" s="22"/>
      <c r="O26" s="22"/>
      <c r="P26" s="22"/>
      <c r="Q26" s="22"/>
      <c r="R26" s="22"/>
      <c r="S26" s="22"/>
      <c r="T26" s="22"/>
      <c r="U26" s="22"/>
    </row>
    <row r="27" spans="1:21" x14ac:dyDescent="0.55000000000000004">
      <c r="A27" s="1" t="str">
        <f>'Population Definitions'!$A$13</f>
        <v>PLHIV Miners</v>
      </c>
      <c r="B27" s="1" t="s">
        <v>10</v>
      </c>
      <c r="C27" s="12" t="str">
        <f t="shared" si="2"/>
        <v>N.A.</v>
      </c>
      <c r="D27" s="1" t="s">
        <v>16</v>
      </c>
      <c r="E27" s="47">
        <f t="shared" si="3"/>
        <v>0.2001</v>
      </c>
      <c r="F27" s="22"/>
      <c r="G27" s="22"/>
      <c r="H27" s="22"/>
      <c r="I27" s="22"/>
      <c r="J27" s="22"/>
      <c r="K27" s="22"/>
      <c r="L27" s="22"/>
      <c r="M27" s="22"/>
      <c r="N27" s="22"/>
      <c r="O27" s="22"/>
      <c r="P27" s="22"/>
      <c r="Q27" s="22"/>
      <c r="R27" s="22"/>
      <c r="S27" s="22"/>
      <c r="T27" s="22"/>
      <c r="U27" s="22"/>
    </row>
    <row r="29" spans="1:21" x14ac:dyDescent="0.55000000000000004">
      <c r="A29" s="21" t="s">
        <v>140</v>
      </c>
      <c r="B29" s="1" t="s">
        <v>8</v>
      </c>
      <c r="C29" s="1" t="s">
        <v>9</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row>
    <row r="30" spans="1:21" x14ac:dyDescent="0.55000000000000004">
      <c r="A30" s="1" t="str">
        <f>'Population Definitions'!$A$2</f>
        <v>Gen 0-4</v>
      </c>
      <c r="B30" s="1" t="s">
        <v>10</v>
      </c>
      <c r="C30" s="12" t="str">
        <f t="shared" ref="C30:C41" si="4">IF(SUMPRODUCT(--(E30:U30&lt;&gt;""))=0,0.003,"N.A.")</f>
        <v>N.A.</v>
      </c>
      <c r="D30" s="1" t="s">
        <v>16</v>
      </c>
      <c r="E30" s="23">
        <v>5.5500000000000002E-3</v>
      </c>
      <c r="F30" s="22"/>
      <c r="G30" s="22"/>
      <c r="H30" s="22"/>
      <c r="I30" s="22"/>
      <c r="J30" s="22"/>
      <c r="K30" s="22"/>
      <c r="L30" s="22"/>
      <c r="M30" s="22"/>
      <c r="N30" s="22"/>
      <c r="O30" s="22"/>
      <c r="P30" s="22"/>
      <c r="Q30" s="22"/>
      <c r="R30" s="22"/>
      <c r="S30" s="22"/>
      <c r="T30" s="22"/>
      <c r="U30" s="22"/>
    </row>
    <row r="31" spans="1:21" x14ac:dyDescent="0.55000000000000004">
      <c r="A31" s="1" t="str">
        <f>'Population Definitions'!$A$3</f>
        <v>Gen 5-14</v>
      </c>
      <c r="B31" s="1" t="s">
        <v>10</v>
      </c>
      <c r="C31" s="12" t="str">
        <f t="shared" si="4"/>
        <v>N.A.</v>
      </c>
      <c r="D31" s="1" t="s">
        <v>16</v>
      </c>
      <c r="E31" s="23">
        <f>0.00185/16.4</f>
        <v>1.1280487804878051E-4</v>
      </c>
      <c r="F31" s="22"/>
      <c r="G31" s="22"/>
      <c r="H31" s="22"/>
      <c r="I31" s="22"/>
      <c r="J31" s="22"/>
      <c r="K31" s="22"/>
      <c r="L31" s="22"/>
      <c r="M31" s="22"/>
      <c r="N31" s="22"/>
      <c r="O31" s="22"/>
      <c r="P31" s="22"/>
      <c r="Q31" s="22"/>
      <c r="R31" s="22"/>
      <c r="S31" s="22"/>
      <c r="T31" s="22"/>
      <c r="U31" s="22"/>
    </row>
    <row r="32" spans="1:21" x14ac:dyDescent="0.55000000000000004">
      <c r="A32" s="1" t="str">
        <f>'Population Definitions'!$A$4</f>
        <v>Gen 15-64</v>
      </c>
      <c r="B32" s="1" t="s">
        <v>10</v>
      </c>
      <c r="C32" s="12" t="str">
        <f t="shared" si="4"/>
        <v>N.A.</v>
      </c>
      <c r="D32" s="1" t="s">
        <v>16</v>
      </c>
      <c r="E32" s="23">
        <f>E31</f>
        <v>1.1280487804878051E-4</v>
      </c>
      <c r="F32" s="22"/>
      <c r="G32" s="22"/>
      <c r="H32" s="22"/>
      <c r="I32" s="22"/>
      <c r="J32" s="22"/>
      <c r="K32" s="22"/>
      <c r="L32" s="22"/>
      <c r="M32" s="22"/>
      <c r="N32" s="22"/>
      <c r="O32" s="22"/>
      <c r="P32" s="22"/>
      <c r="Q32" s="22"/>
      <c r="R32" s="22"/>
      <c r="S32" s="22"/>
      <c r="T32" s="22"/>
      <c r="U32" s="22"/>
    </row>
    <row r="33" spans="1:21" x14ac:dyDescent="0.55000000000000004">
      <c r="A33" s="1" t="str">
        <f>'Population Definitions'!$A$5</f>
        <v>Gen 65+</v>
      </c>
      <c r="B33" s="1" t="s">
        <v>10</v>
      </c>
      <c r="C33" s="12" t="str">
        <f t="shared" si="4"/>
        <v>N.A.</v>
      </c>
      <c r="D33" s="1" t="s">
        <v>16</v>
      </c>
      <c r="E33" s="23">
        <f>E31</f>
        <v>1.1280487804878051E-4</v>
      </c>
      <c r="F33" s="22"/>
      <c r="G33" s="22"/>
      <c r="H33" s="22"/>
      <c r="I33" s="22"/>
      <c r="J33" s="22"/>
      <c r="K33" s="22"/>
      <c r="L33" s="22"/>
      <c r="M33" s="22"/>
      <c r="N33" s="22"/>
      <c r="O33" s="22"/>
      <c r="P33" s="22"/>
      <c r="Q33" s="22"/>
      <c r="R33" s="22"/>
      <c r="S33" s="22"/>
      <c r="T33" s="22"/>
      <c r="U33" s="22"/>
    </row>
    <row r="34" spans="1:21" x14ac:dyDescent="0.55000000000000004">
      <c r="A34" s="1" t="str">
        <f>'Population Definitions'!$A$6</f>
        <v>PLHIV 15-64</v>
      </c>
      <c r="B34" s="1" t="s">
        <v>10</v>
      </c>
      <c r="C34" s="12" t="str">
        <f t="shared" si="4"/>
        <v>N.A.</v>
      </c>
      <c r="D34" s="1" t="s">
        <v>16</v>
      </c>
      <c r="E34" s="23">
        <v>3.7000000000000002E-3</v>
      </c>
      <c r="F34" s="22"/>
      <c r="G34" s="22"/>
      <c r="H34" s="22"/>
      <c r="I34" s="22"/>
      <c r="J34" s="22"/>
      <c r="K34" s="22"/>
      <c r="L34" s="22"/>
      <c r="M34" s="22"/>
      <c r="N34" s="22"/>
      <c r="O34" s="22"/>
      <c r="P34" s="22"/>
      <c r="Q34" s="22"/>
      <c r="R34" s="22"/>
      <c r="S34" s="22"/>
      <c r="T34" s="22"/>
      <c r="U34" s="22"/>
    </row>
    <row r="35" spans="1:21" x14ac:dyDescent="0.55000000000000004">
      <c r="A35" s="1" t="str">
        <f>'Population Definitions'!$A$7</f>
        <v>PLHIV 65+</v>
      </c>
      <c r="B35" s="1" t="s">
        <v>10</v>
      </c>
      <c r="C35" s="12" t="str">
        <f t="shared" si="4"/>
        <v>N.A.</v>
      </c>
      <c r="D35" s="1" t="s">
        <v>16</v>
      </c>
      <c r="E35" s="23">
        <f>E34</f>
        <v>3.7000000000000002E-3</v>
      </c>
      <c r="F35" s="22"/>
      <c r="G35" s="22"/>
      <c r="H35" s="22"/>
      <c r="I35" s="22"/>
      <c r="J35" s="22"/>
      <c r="K35" s="22"/>
      <c r="L35" s="22"/>
      <c r="M35" s="22"/>
      <c r="N35" s="22"/>
      <c r="O35" s="22"/>
      <c r="P35" s="22"/>
      <c r="Q35" s="22"/>
      <c r="R35" s="22"/>
      <c r="S35" s="22"/>
      <c r="T35" s="22"/>
      <c r="U35" s="22"/>
    </row>
    <row r="36" spans="1:21" x14ac:dyDescent="0.55000000000000004">
      <c r="A36" s="1" t="str">
        <f>'Population Definitions'!$A$8</f>
        <v>Prisoners</v>
      </c>
      <c r="B36" s="1" t="s">
        <v>10</v>
      </c>
      <c r="C36" s="12" t="str">
        <f t="shared" si="4"/>
        <v>N.A.</v>
      </c>
      <c r="D36" s="1" t="s">
        <v>16</v>
      </c>
      <c r="E36" s="23">
        <f>E31</f>
        <v>1.1280487804878051E-4</v>
      </c>
      <c r="F36" s="22"/>
      <c r="G36" s="22"/>
      <c r="H36" s="22"/>
      <c r="I36" s="22"/>
      <c r="J36" s="22"/>
      <c r="K36" s="22"/>
      <c r="L36" s="22"/>
      <c r="M36" s="22"/>
      <c r="N36" s="22"/>
      <c r="O36" s="22"/>
      <c r="P36" s="22"/>
      <c r="Q36" s="22"/>
      <c r="R36" s="22"/>
      <c r="S36" s="22"/>
      <c r="T36" s="22"/>
      <c r="U36" s="22"/>
    </row>
    <row r="37" spans="1:21" x14ac:dyDescent="0.55000000000000004">
      <c r="A37" s="1" t="str">
        <f>'Population Definitions'!$A$9</f>
        <v>PLHIV Prisoners</v>
      </c>
      <c r="B37" s="1" t="s">
        <v>10</v>
      </c>
      <c r="C37" s="12" t="str">
        <f t="shared" si="4"/>
        <v>N.A.</v>
      </c>
      <c r="D37" s="1" t="s">
        <v>16</v>
      </c>
      <c r="E37" s="23">
        <f>E34</f>
        <v>3.7000000000000002E-3</v>
      </c>
      <c r="F37" s="22"/>
      <c r="G37" s="22"/>
      <c r="H37" s="22"/>
      <c r="I37" s="22"/>
      <c r="J37" s="22"/>
      <c r="K37" s="22"/>
      <c r="L37" s="22"/>
      <c r="M37" s="22"/>
      <c r="N37" s="22"/>
      <c r="O37" s="22"/>
      <c r="P37" s="22"/>
      <c r="Q37" s="22"/>
      <c r="R37" s="22"/>
      <c r="S37" s="22"/>
      <c r="T37" s="22"/>
      <c r="U37" s="22"/>
    </row>
    <row r="38" spans="1:21" x14ac:dyDescent="0.55000000000000004">
      <c r="A38" s="1" t="str">
        <f>'Population Definitions'!$A$10</f>
        <v>HCW</v>
      </c>
      <c r="B38" s="1" t="s">
        <v>10</v>
      </c>
      <c r="C38" s="12" t="str">
        <f t="shared" si="4"/>
        <v>N.A.</v>
      </c>
      <c r="D38" s="1" t="s">
        <v>16</v>
      </c>
      <c r="E38" s="23">
        <f>E31</f>
        <v>1.1280487804878051E-4</v>
      </c>
      <c r="F38" s="22"/>
      <c r="G38" s="22"/>
      <c r="H38" s="22"/>
      <c r="I38" s="22"/>
      <c r="J38" s="22"/>
      <c r="K38" s="22"/>
      <c r="L38" s="22"/>
      <c r="M38" s="22"/>
      <c r="N38" s="22"/>
      <c r="O38" s="22"/>
      <c r="P38" s="22"/>
      <c r="Q38" s="22"/>
      <c r="R38" s="22"/>
      <c r="S38" s="22"/>
      <c r="T38" s="22"/>
      <c r="U38" s="22"/>
    </row>
    <row r="39" spans="1:21" x14ac:dyDescent="0.55000000000000004">
      <c r="A39" s="1" t="str">
        <f>'Population Definitions'!$A$11</f>
        <v>PLHIV HCW</v>
      </c>
      <c r="B39" s="1" t="s">
        <v>10</v>
      </c>
      <c r="C39" s="12" t="str">
        <f t="shared" si="4"/>
        <v>N.A.</v>
      </c>
      <c r="D39" s="1" t="s">
        <v>16</v>
      </c>
      <c r="E39" s="23">
        <f>E34</f>
        <v>3.7000000000000002E-3</v>
      </c>
      <c r="F39" s="22"/>
      <c r="G39" s="22"/>
      <c r="H39" s="22"/>
      <c r="I39" s="22"/>
      <c r="J39" s="22"/>
      <c r="K39" s="22"/>
      <c r="L39" s="22"/>
      <c r="M39" s="22"/>
      <c r="N39" s="22"/>
      <c r="O39" s="22"/>
      <c r="P39" s="22"/>
      <c r="Q39" s="22"/>
      <c r="R39" s="22"/>
      <c r="S39" s="22"/>
      <c r="T39" s="22"/>
      <c r="U39" s="22"/>
    </row>
    <row r="40" spans="1:21" x14ac:dyDescent="0.55000000000000004">
      <c r="A40" s="1" t="str">
        <f>'Population Definitions'!$A$12</f>
        <v>Miners</v>
      </c>
      <c r="B40" s="1" t="s">
        <v>10</v>
      </c>
      <c r="C40" s="12" t="str">
        <f t="shared" si="4"/>
        <v>N.A.</v>
      </c>
      <c r="D40" s="1" t="s">
        <v>16</v>
      </c>
      <c r="E40" s="23">
        <f>E31</f>
        <v>1.1280487804878051E-4</v>
      </c>
      <c r="F40" s="22"/>
      <c r="G40" s="22"/>
      <c r="H40" s="22"/>
      <c r="I40" s="22"/>
      <c r="J40" s="22"/>
      <c r="K40" s="22"/>
      <c r="L40" s="22"/>
      <c r="M40" s="22"/>
      <c r="N40" s="22"/>
      <c r="O40" s="22"/>
      <c r="P40" s="22"/>
      <c r="Q40" s="22"/>
      <c r="R40" s="22"/>
      <c r="S40" s="22"/>
      <c r="T40" s="22"/>
      <c r="U40" s="22"/>
    </row>
    <row r="41" spans="1:21" x14ac:dyDescent="0.55000000000000004">
      <c r="A41" s="1" t="str">
        <f>'Population Definitions'!$A$13</f>
        <v>PLHIV Miners</v>
      </c>
      <c r="B41" s="1" t="s">
        <v>10</v>
      </c>
      <c r="C41" s="12" t="str">
        <f t="shared" si="4"/>
        <v>N.A.</v>
      </c>
      <c r="D41" s="1" t="s">
        <v>16</v>
      </c>
      <c r="E41" s="23">
        <f>E34</f>
        <v>3.7000000000000002E-3</v>
      </c>
      <c r="F41" s="22"/>
      <c r="G41" s="22"/>
      <c r="H41" s="22"/>
      <c r="I41" s="22"/>
      <c r="J41" s="22"/>
      <c r="K41" s="22"/>
      <c r="L41" s="22"/>
      <c r="M41" s="22"/>
      <c r="N41" s="22"/>
      <c r="O41" s="22"/>
      <c r="P41" s="22"/>
      <c r="Q41" s="22"/>
      <c r="R41" s="22"/>
      <c r="S41" s="22"/>
      <c r="T41" s="22"/>
      <c r="U41" s="22"/>
    </row>
    <row r="43" spans="1:21" x14ac:dyDescent="0.55000000000000004">
      <c r="A43" s="21" t="s">
        <v>141</v>
      </c>
      <c r="B43" s="1" t="s">
        <v>8</v>
      </c>
      <c r="C43" s="1" t="s">
        <v>9</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row>
    <row r="44" spans="1:21" x14ac:dyDescent="0.55000000000000004">
      <c r="A44" s="1" t="str">
        <f>'Population Definitions'!$A$2</f>
        <v>Gen 0-4</v>
      </c>
      <c r="B44" s="1" t="s">
        <v>10</v>
      </c>
      <c r="C44" s="12" t="str">
        <f t="shared" ref="C44:C55" si="5">IF(SUMPRODUCT(--(E44:U44&lt;&gt;""))=0,0.003,"N.A.")</f>
        <v>N.A.</v>
      </c>
      <c r="D44" s="1" t="s">
        <v>16</v>
      </c>
      <c r="E44" s="23">
        <f>E30</f>
        <v>5.5500000000000002E-3</v>
      </c>
      <c r="F44" s="22"/>
      <c r="G44" s="22"/>
      <c r="H44" s="22"/>
      <c r="I44" s="22"/>
      <c r="J44" s="22"/>
      <c r="K44" s="22"/>
      <c r="L44" s="22"/>
      <c r="M44" s="22"/>
      <c r="N44" s="22"/>
      <c r="O44" s="22"/>
      <c r="P44" s="22"/>
      <c r="Q44" s="22"/>
      <c r="R44" s="22"/>
      <c r="S44" s="22"/>
      <c r="T44" s="22"/>
      <c r="U44" s="22"/>
    </row>
    <row r="45" spans="1:21" x14ac:dyDescent="0.55000000000000004">
      <c r="A45" s="1" t="str">
        <f>'Population Definitions'!$A$3</f>
        <v>Gen 5-14</v>
      </c>
      <c r="B45" s="1" t="s">
        <v>10</v>
      </c>
      <c r="C45" s="12" t="str">
        <f t="shared" si="5"/>
        <v>N.A.</v>
      </c>
      <c r="D45" s="1" t="s">
        <v>16</v>
      </c>
      <c r="E45" s="23">
        <f t="shared" ref="E45:E55" si="6">E31</f>
        <v>1.1280487804878051E-4</v>
      </c>
      <c r="F45" s="22"/>
      <c r="G45" s="22"/>
      <c r="H45" s="22"/>
      <c r="I45" s="22"/>
      <c r="J45" s="22"/>
      <c r="K45" s="22"/>
      <c r="L45" s="22"/>
      <c r="M45" s="22"/>
      <c r="N45" s="22"/>
      <c r="O45" s="22"/>
      <c r="P45" s="22"/>
      <c r="Q45" s="22"/>
      <c r="R45" s="22"/>
      <c r="S45" s="22"/>
      <c r="T45" s="22"/>
      <c r="U45" s="22"/>
    </row>
    <row r="46" spans="1:21" x14ac:dyDescent="0.55000000000000004">
      <c r="A46" s="1" t="str">
        <f>'Population Definitions'!$A$4</f>
        <v>Gen 15-64</v>
      </c>
      <c r="B46" s="1" t="s">
        <v>10</v>
      </c>
      <c r="C46" s="12" t="str">
        <f t="shared" si="5"/>
        <v>N.A.</v>
      </c>
      <c r="D46" s="1" t="s">
        <v>16</v>
      </c>
      <c r="E46" s="23">
        <f t="shared" si="6"/>
        <v>1.1280487804878051E-4</v>
      </c>
      <c r="F46" s="22"/>
      <c r="G46" s="22"/>
      <c r="H46" s="22"/>
      <c r="I46" s="22"/>
      <c r="J46" s="22"/>
      <c r="K46" s="22"/>
      <c r="L46" s="22"/>
      <c r="M46" s="22"/>
      <c r="N46" s="22"/>
      <c r="O46" s="22"/>
      <c r="P46" s="22"/>
      <c r="Q46" s="22"/>
      <c r="R46" s="22"/>
      <c r="S46" s="22"/>
      <c r="T46" s="22"/>
      <c r="U46" s="22"/>
    </row>
    <row r="47" spans="1:21" x14ac:dyDescent="0.55000000000000004">
      <c r="A47" s="1" t="str">
        <f>'Population Definitions'!$A$5</f>
        <v>Gen 65+</v>
      </c>
      <c r="B47" s="1" t="s">
        <v>10</v>
      </c>
      <c r="C47" s="12" t="str">
        <f t="shared" si="5"/>
        <v>N.A.</v>
      </c>
      <c r="D47" s="1" t="s">
        <v>16</v>
      </c>
      <c r="E47" s="23">
        <f t="shared" si="6"/>
        <v>1.1280487804878051E-4</v>
      </c>
      <c r="F47" s="22"/>
      <c r="G47" s="22"/>
      <c r="H47" s="22"/>
      <c r="I47" s="22"/>
      <c r="J47" s="22"/>
      <c r="K47" s="22"/>
      <c r="L47" s="22"/>
      <c r="M47" s="22"/>
      <c r="N47" s="22"/>
      <c r="O47" s="22"/>
      <c r="P47" s="22"/>
      <c r="Q47" s="22"/>
      <c r="R47" s="22"/>
      <c r="S47" s="22"/>
      <c r="T47" s="22"/>
      <c r="U47" s="22"/>
    </row>
    <row r="48" spans="1:21" x14ac:dyDescent="0.55000000000000004">
      <c r="A48" s="1" t="str">
        <f>'Population Definitions'!$A$6</f>
        <v>PLHIV 15-64</v>
      </c>
      <c r="B48" s="1" t="s">
        <v>10</v>
      </c>
      <c r="C48" s="12" t="str">
        <f t="shared" si="5"/>
        <v>N.A.</v>
      </c>
      <c r="D48" s="1" t="s">
        <v>16</v>
      </c>
      <c r="E48" s="23">
        <f t="shared" si="6"/>
        <v>3.7000000000000002E-3</v>
      </c>
      <c r="F48" s="22"/>
      <c r="G48" s="22"/>
      <c r="H48" s="22"/>
      <c r="I48" s="22"/>
      <c r="J48" s="22"/>
      <c r="K48" s="22"/>
      <c r="L48" s="22"/>
      <c r="M48" s="22"/>
      <c r="N48" s="22"/>
      <c r="O48" s="22"/>
      <c r="P48" s="22"/>
      <c r="Q48" s="22"/>
      <c r="R48" s="22"/>
      <c r="S48" s="22"/>
      <c r="T48" s="22"/>
      <c r="U48" s="22"/>
    </row>
    <row r="49" spans="1:21" x14ac:dyDescent="0.55000000000000004">
      <c r="A49" s="1" t="str">
        <f>'Population Definitions'!$A$7</f>
        <v>PLHIV 65+</v>
      </c>
      <c r="B49" s="1" t="s">
        <v>10</v>
      </c>
      <c r="C49" s="12" t="str">
        <f t="shared" si="5"/>
        <v>N.A.</v>
      </c>
      <c r="D49" s="1" t="s">
        <v>16</v>
      </c>
      <c r="E49" s="23">
        <f t="shared" si="6"/>
        <v>3.7000000000000002E-3</v>
      </c>
      <c r="F49" s="22"/>
      <c r="G49" s="22"/>
      <c r="H49" s="22"/>
      <c r="I49" s="22"/>
      <c r="J49" s="22"/>
      <c r="K49" s="22"/>
      <c r="L49" s="22"/>
      <c r="M49" s="22"/>
      <c r="N49" s="22"/>
      <c r="O49" s="22"/>
      <c r="P49" s="22"/>
      <c r="Q49" s="22"/>
      <c r="R49" s="22"/>
      <c r="S49" s="22"/>
      <c r="T49" s="22"/>
      <c r="U49" s="22"/>
    </row>
    <row r="50" spans="1:21" x14ac:dyDescent="0.55000000000000004">
      <c r="A50" s="1" t="str">
        <f>'Population Definitions'!$A$8</f>
        <v>Prisoners</v>
      </c>
      <c r="B50" s="1" t="s">
        <v>10</v>
      </c>
      <c r="C50" s="12" t="str">
        <f t="shared" si="5"/>
        <v>N.A.</v>
      </c>
      <c r="D50" s="1" t="s">
        <v>16</v>
      </c>
      <c r="E50" s="23">
        <f t="shared" si="6"/>
        <v>1.1280487804878051E-4</v>
      </c>
      <c r="F50" s="22"/>
      <c r="G50" s="22"/>
      <c r="H50" s="22"/>
      <c r="I50" s="22"/>
      <c r="J50" s="22"/>
      <c r="K50" s="22"/>
      <c r="L50" s="22"/>
      <c r="M50" s="22"/>
      <c r="N50" s="22"/>
      <c r="O50" s="22"/>
      <c r="P50" s="22"/>
      <c r="Q50" s="22"/>
      <c r="R50" s="22"/>
      <c r="S50" s="22"/>
      <c r="T50" s="22"/>
      <c r="U50" s="22"/>
    </row>
    <row r="51" spans="1:21" x14ac:dyDescent="0.55000000000000004">
      <c r="A51" s="1" t="str">
        <f>'Population Definitions'!$A$9</f>
        <v>PLHIV Prisoners</v>
      </c>
      <c r="B51" s="1" t="s">
        <v>10</v>
      </c>
      <c r="C51" s="12" t="str">
        <f t="shared" si="5"/>
        <v>N.A.</v>
      </c>
      <c r="D51" s="1" t="s">
        <v>16</v>
      </c>
      <c r="E51" s="23">
        <f t="shared" si="6"/>
        <v>3.7000000000000002E-3</v>
      </c>
      <c r="F51" s="22"/>
      <c r="G51" s="22"/>
      <c r="H51" s="22"/>
      <c r="I51" s="22"/>
      <c r="J51" s="22"/>
      <c r="K51" s="22"/>
      <c r="L51" s="22"/>
      <c r="M51" s="22"/>
      <c r="N51" s="22"/>
      <c r="O51" s="22"/>
      <c r="P51" s="22"/>
      <c r="Q51" s="22"/>
      <c r="R51" s="22"/>
      <c r="S51" s="22"/>
      <c r="T51" s="22"/>
      <c r="U51" s="22"/>
    </row>
    <row r="52" spans="1:21" x14ac:dyDescent="0.55000000000000004">
      <c r="A52" s="1" t="str">
        <f>'Population Definitions'!$A$10</f>
        <v>HCW</v>
      </c>
      <c r="B52" s="1" t="s">
        <v>10</v>
      </c>
      <c r="C52" s="12" t="str">
        <f t="shared" si="5"/>
        <v>N.A.</v>
      </c>
      <c r="D52" s="1" t="s">
        <v>16</v>
      </c>
      <c r="E52" s="23">
        <f t="shared" si="6"/>
        <v>1.1280487804878051E-4</v>
      </c>
      <c r="F52" s="22"/>
      <c r="G52" s="22"/>
      <c r="H52" s="22"/>
      <c r="I52" s="22"/>
      <c r="J52" s="22"/>
      <c r="K52" s="22"/>
      <c r="L52" s="22"/>
      <c r="M52" s="22"/>
      <c r="N52" s="22"/>
      <c r="O52" s="22"/>
      <c r="P52" s="22"/>
      <c r="Q52" s="22"/>
      <c r="R52" s="22"/>
      <c r="S52" s="22"/>
      <c r="T52" s="22"/>
      <c r="U52" s="22"/>
    </row>
    <row r="53" spans="1:21" x14ac:dyDescent="0.55000000000000004">
      <c r="A53" s="1" t="str">
        <f>'Population Definitions'!$A$11</f>
        <v>PLHIV HCW</v>
      </c>
      <c r="B53" s="1" t="s">
        <v>10</v>
      </c>
      <c r="C53" s="12" t="str">
        <f t="shared" si="5"/>
        <v>N.A.</v>
      </c>
      <c r="D53" s="1" t="s">
        <v>16</v>
      </c>
      <c r="E53" s="23">
        <f t="shared" si="6"/>
        <v>3.7000000000000002E-3</v>
      </c>
      <c r="F53" s="22"/>
      <c r="G53" s="22"/>
      <c r="H53" s="22"/>
      <c r="I53" s="22"/>
      <c r="J53" s="22"/>
      <c r="K53" s="22"/>
      <c r="L53" s="22"/>
      <c r="M53" s="22"/>
      <c r="N53" s="22"/>
      <c r="O53" s="22"/>
      <c r="P53" s="22"/>
      <c r="Q53" s="22"/>
      <c r="R53" s="22"/>
      <c r="S53" s="22"/>
      <c r="T53" s="22"/>
      <c r="U53" s="22"/>
    </row>
    <row r="54" spans="1:21" x14ac:dyDescent="0.55000000000000004">
      <c r="A54" s="1" t="str">
        <f>'Population Definitions'!$A$12</f>
        <v>Miners</v>
      </c>
      <c r="B54" s="1" t="s">
        <v>10</v>
      </c>
      <c r="C54" s="12" t="str">
        <f t="shared" si="5"/>
        <v>N.A.</v>
      </c>
      <c r="D54" s="1" t="s">
        <v>16</v>
      </c>
      <c r="E54" s="23">
        <f t="shared" si="6"/>
        <v>1.1280487804878051E-4</v>
      </c>
      <c r="F54" s="22"/>
      <c r="G54" s="22"/>
      <c r="H54" s="22"/>
      <c r="I54" s="22"/>
      <c r="J54" s="22"/>
      <c r="K54" s="22"/>
      <c r="L54" s="22"/>
      <c r="M54" s="22"/>
      <c r="N54" s="22"/>
      <c r="O54" s="22"/>
      <c r="P54" s="22"/>
      <c r="Q54" s="22"/>
      <c r="R54" s="22"/>
      <c r="S54" s="22"/>
      <c r="T54" s="22"/>
      <c r="U54" s="22"/>
    </row>
    <row r="55" spans="1:21" x14ac:dyDescent="0.55000000000000004">
      <c r="A55" s="1" t="str">
        <f>'Population Definitions'!$A$13</f>
        <v>PLHIV Miners</v>
      </c>
      <c r="B55" s="1" t="s">
        <v>10</v>
      </c>
      <c r="C55" s="12" t="str">
        <f t="shared" si="5"/>
        <v>N.A.</v>
      </c>
      <c r="D55" s="1" t="s">
        <v>16</v>
      </c>
      <c r="E55" s="23">
        <f t="shared" si="6"/>
        <v>3.7000000000000002E-3</v>
      </c>
      <c r="F55" s="22"/>
      <c r="G55" s="22"/>
      <c r="H55" s="22"/>
      <c r="I55" s="22"/>
      <c r="J55" s="22"/>
      <c r="K55" s="22"/>
      <c r="L55" s="22"/>
      <c r="M55" s="22"/>
      <c r="N55" s="22"/>
      <c r="O55" s="22"/>
      <c r="P55" s="22"/>
      <c r="Q55" s="22"/>
      <c r="R55" s="22"/>
      <c r="S55" s="22"/>
      <c r="T55" s="22"/>
      <c r="U55" s="22"/>
    </row>
    <row r="57" spans="1:21" x14ac:dyDescent="0.55000000000000004">
      <c r="A57" s="1" t="s">
        <v>168</v>
      </c>
      <c r="B57" t="s">
        <v>8</v>
      </c>
      <c r="C57" t="s">
        <v>9</v>
      </c>
      <c r="E57">
        <v>2000</v>
      </c>
      <c r="F57">
        <v>2001</v>
      </c>
      <c r="G57">
        <v>2002</v>
      </c>
      <c r="H57">
        <v>2003</v>
      </c>
      <c r="I57">
        <v>2004</v>
      </c>
      <c r="J57">
        <v>2005</v>
      </c>
      <c r="K57">
        <v>2006</v>
      </c>
      <c r="L57">
        <v>2007</v>
      </c>
      <c r="M57">
        <v>2008</v>
      </c>
      <c r="N57">
        <v>2009</v>
      </c>
      <c r="O57">
        <v>2010</v>
      </c>
      <c r="P57">
        <v>2011</v>
      </c>
      <c r="Q57">
        <v>2012</v>
      </c>
      <c r="R57">
        <v>2013</v>
      </c>
      <c r="S57">
        <v>2014</v>
      </c>
      <c r="T57">
        <v>2015</v>
      </c>
      <c r="U57">
        <v>2016</v>
      </c>
    </row>
    <row r="58" spans="1:21" x14ac:dyDescent="0.55000000000000004">
      <c r="A58" s="1" t="str">
        <f>'Population Definitions'!$A$2</f>
        <v>Gen 0-4</v>
      </c>
      <c r="B58" t="s">
        <v>10</v>
      </c>
      <c r="C58" s="12" t="str">
        <f t="shared" ref="C58:C69" si="7">IF(SUMPRODUCT(--(E58:U58&lt;&gt;""))=0,0.003,"N.A.")</f>
        <v>N.A.</v>
      </c>
      <c r="D58" t="s">
        <v>16</v>
      </c>
      <c r="E58" s="23">
        <f>0.177*3</f>
        <v>0.53099999999999992</v>
      </c>
      <c r="F58" s="22"/>
      <c r="G58" s="22"/>
      <c r="H58" s="22"/>
      <c r="I58" s="22"/>
      <c r="J58" s="22"/>
      <c r="K58" s="22"/>
      <c r="L58" s="22"/>
      <c r="M58" s="22"/>
      <c r="N58" s="22"/>
      <c r="O58" s="22"/>
      <c r="P58" s="22"/>
      <c r="Q58" s="22"/>
      <c r="R58" s="22"/>
      <c r="S58" s="22"/>
      <c r="T58" s="22"/>
      <c r="U58" s="22"/>
    </row>
    <row r="59" spans="1:21" x14ac:dyDescent="0.55000000000000004">
      <c r="A59" s="1" t="str">
        <f>'Population Definitions'!$A$3</f>
        <v>Gen 5-14</v>
      </c>
      <c r="B59" t="s">
        <v>10</v>
      </c>
      <c r="C59" s="12" t="str">
        <f t="shared" si="7"/>
        <v>N.A.</v>
      </c>
      <c r="D59" t="s">
        <v>16</v>
      </c>
      <c r="E59" s="23">
        <v>0.17699999999999999</v>
      </c>
      <c r="F59" s="22"/>
      <c r="G59" s="22"/>
      <c r="H59" s="22"/>
      <c r="I59" s="22"/>
      <c r="J59" s="22"/>
      <c r="K59" s="22"/>
      <c r="L59" s="22"/>
      <c r="M59" s="22"/>
      <c r="N59" s="22"/>
      <c r="O59" s="22"/>
      <c r="P59" s="22"/>
      <c r="Q59" s="22"/>
      <c r="R59" s="22"/>
      <c r="S59" s="22"/>
      <c r="T59" s="22"/>
      <c r="U59" s="22"/>
    </row>
    <row r="60" spans="1:21" x14ac:dyDescent="0.55000000000000004">
      <c r="A60" s="1" t="str">
        <f>'Population Definitions'!$A$4</f>
        <v>Gen 15-64</v>
      </c>
      <c r="B60" t="s">
        <v>10</v>
      </c>
      <c r="C60" s="12" t="str">
        <f t="shared" si="7"/>
        <v>N.A.</v>
      </c>
      <c r="D60" t="s">
        <v>16</v>
      </c>
      <c r="E60" s="23">
        <v>0.17699999999999999</v>
      </c>
      <c r="F60" s="22"/>
      <c r="G60" s="22"/>
      <c r="H60" s="22"/>
      <c r="I60" s="22"/>
      <c r="J60" s="22"/>
      <c r="K60" s="22"/>
      <c r="L60" s="22"/>
      <c r="M60" s="22"/>
      <c r="N60" s="22"/>
      <c r="O60" s="22"/>
      <c r="P60" s="22"/>
      <c r="Q60" s="22"/>
      <c r="R60" s="22"/>
      <c r="S60" s="22"/>
      <c r="T60" s="22"/>
      <c r="U60" s="22"/>
    </row>
    <row r="61" spans="1:21" x14ac:dyDescent="0.55000000000000004">
      <c r="A61" s="1" t="str">
        <f>'Population Definitions'!$A$5</f>
        <v>Gen 65+</v>
      </c>
      <c r="B61" t="s">
        <v>10</v>
      </c>
      <c r="C61" s="12" t="str">
        <f t="shared" si="7"/>
        <v>N.A.</v>
      </c>
      <c r="D61" t="s">
        <v>16</v>
      </c>
      <c r="E61" s="23">
        <v>0.17699999999999999</v>
      </c>
      <c r="F61" s="22"/>
      <c r="G61" s="22"/>
      <c r="H61" s="22"/>
      <c r="I61" s="22"/>
      <c r="J61" s="22"/>
      <c r="K61" s="22"/>
      <c r="L61" s="22"/>
      <c r="M61" s="22"/>
      <c r="N61" s="22"/>
      <c r="O61" s="22"/>
      <c r="P61" s="22"/>
      <c r="Q61" s="22"/>
      <c r="R61" s="22"/>
      <c r="S61" s="22"/>
      <c r="T61" s="22"/>
      <c r="U61" s="22"/>
    </row>
    <row r="62" spans="1:21" x14ac:dyDescent="0.55000000000000004">
      <c r="A62" s="1" t="str">
        <f>'Population Definitions'!$A$6</f>
        <v>PLHIV 15-64</v>
      </c>
      <c r="B62" t="s">
        <v>10</v>
      </c>
      <c r="C62" s="12" t="str">
        <f t="shared" si="7"/>
        <v>N.A.</v>
      </c>
      <c r="D62" t="s">
        <v>16</v>
      </c>
      <c r="E62" s="23">
        <v>0.93</v>
      </c>
      <c r="F62" s="22"/>
      <c r="G62" s="22"/>
      <c r="H62" s="22"/>
      <c r="I62" s="22"/>
      <c r="J62" s="22"/>
      <c r="K62" s="22"/>
      <c r="L62" s="22"/>
      <c r="M62" s="22"/>
      <c r="N62" s="22"/>
      <c r="O62" s="22"/>
      <c r="P62" s="22"/>
      <c r="Q62" s="22"/>
      <c r="R62" s="22"/>
      <c r="S62" s="22"/>
      <c r="T62" s="22"/>
      <c r="U62" s="22"/>
    </row>
    <row r="63" spans="1:21" x14ac:dyDescent="0.55000000000000004">
      <c r="A63" s="1" t="str">
        <f>'Population Definitions'!$A$7</f>
        <v>PLHIV 65+</v>
      </c>
      <c r="B63" t="s">
        <v>10</v>
      </c>
      <c r="C63" s="12" t="str">
        <f t="shared" si="7"/>
        <v>N.A.</v>
      </c>
      <c r="D63" t="s">
        <v>16</v>
      </c>
      <c r="E63" s="23">
        <f>E62</f>
        <v>0.93</v>
      </c>
      <c r="F63" s="22"/>
      <c r="G63" s="22"/>
      <c r="H63" s="22"/>
      <c r="I63" s="22"/>
      <c r="J63" s="22"/>
      <c r="K63" s="22"/>
      <c r="L63" s="22"/>
      <c r="M63" s="22"/>
      <c r="N63" s="22"/>
      <c r="O63" s="22"/>
      <c r="P63" s="22"/>
      <c r="Q63" s="22"/>
      <c r="R63" s="22"/>
      <c r="S63" s="22"/>
      <c r="T63" s="22"/>
      <c r="U63" s="22"/>
    </row>
    <row r="64" spans="1:21" x14ac:dyDescent="0.55000000000000004">
      <c r="A64" s="1" t="str">
        <f>'Population Definitions'!$A$8</f>
        <v>Prisoners</v>
      </c>
      <c r="B64" t="s">
        <v>10</v>
      </c>
      <c r="C64" s="12" t="str">
        <f t="shared" si="7"/>
        <v>N.A.</v>
      </c>
      <c r="D64" t="s">
        <v>16</v>
      </c>
      <c r="E64" s="23">
        <v>0.17699999999999999</v>
      </c>
      <c r="F64" s="22"/>
      <c r="G64" s="22"/>
      <c r="H64" s="22"/>
      <c r="I64" s="22"/>
      <c r="J64" s="22"/>
      <c r="K64" s="22"/>
      <c r="L64" s="22"/>
      <c r="M64" s="22"/>
      <c r="N64" s="22"/>
      <c r="O64" s="22"/>
      <c r="P64" s="22"/>
      <c r="Q64" s="22"/>
      <c r="R64" s="22"/>
      <c r="S64" s="22"/>
      <c r="T64" s="22"/>
      <c r="U64" s="22"/>
    </row>
    <row r="65" spans="1:21" x14ac:dyDescent="0.55000000000000004">
      <c r="A65" s="1" t="str">
        <f>'Population Definitions'!$A$9</f>
        <v>PLHIV Prisoners</v>
      </c>
      <c r="B65" t="s">
        <v>10</v>
      </c>
      <c r="C65" s="12" t="str">
        <f t="shared" si="7"/>
        <v>N.A.</v>
      </c>
      <c r="D65" t="s">
        <v>16</v>
      </c>
      <c r="E65" s="23">
        <f>E62</f>
        <v>0.93</v>
      </c>
      <c r="F65" s="22"/>
      <c r="G65" s="22"/>
      <c r="H65" s="22"/>
      <c r="I65" s="22"/>
      <c r="J65" s="22"/>
      <c r="K65" s="22"/>
      <c r="L65" s="22"/>
      <c r="M65" s="22"/>
      <c r="N65" s="22"/>
      <c r="O65" s="22"/>
      <c r="P65" s="22"/>
      <c r="Q65" s="22"/>
      <c r="R65" s="22"/>
      <c r="S65" s="22"/>
      <c r="T65" s="22"/>
      <c r="U65" s="22"/>
    </row>
    <row r="66" spans="1:21" x14ac:dyDescent="0.55000000000000004">
      <c r="A66" s="1" t="str">
        <f>'Population Definitions'!$A$10</f>
        <v>HCW</v>
      </c>
      <c r="B66" t="s">
        <v>10</v>
      </c>
      <c r="C66" s="12" t="str">
        <f t="shared" si="7"/>
        <v>N.A.</v>
      </c>
      <c r="D66" t="s">
        <v>16</v>
      </c>
      <c r="E66" s="23">
        <v>0.17699999999999999</v>
      </c>
      <c r="F66" s="22"/>
      <c r="G66" s="22"/>
      <c r="H66" s="22"/>
      <c r="I66" s="22"/>
      <c r="J66" s="22"/>
      <c r="K66" s="22"/>
      <c r="L66" s="22"/>
      <c r="M66" s="22"/>
      <c r="N66" s="22"/>
      <c r="O66" s="22"/>
      <c r="P66" s="22"/>
      <c r="Q66" s="22"/>
      <c r="R66" s="22"/>
      <c r="S66" s="22"/>
      <c r="T66" s="22"/>
      <c r="U66" s="22"/>
    </row>
    <row r="67" spans="1:21" x14ac:dyDescent="0.55000000000000004">
      <c r="A67" s="1" t="str">
        <f>'Population Definitions'!$A$11</f>
        <v>PLHIV HCW</v>
      </c>
      <c r="B67" t="s">
        <v>10</v>
      </c>
      <c r="C67" s="12" t="str">
        <f t="shared" si="7"/>
        <v>N.A.</v>
      </c>
      <c r="D67" t="s">
        <v>16</v>
      </c>
      <c r="E67" s="23">
        <f>E62</f>
        <v>0.93</v>
      </c>
      <c r="F67" s="22"/>
      <c r="G67" s="22"/>
      <c r="H67" s="22"/>
      <c r="I67" s="22"/>
      <c r="J67" s="22"/>
      <c r="K67" s="22"/>
      <c r="L67" s="22"/>
      <c r="M67" s="22"/>
      <c r="N67" s="22"/>
      <c r="O67" s="22"/>
      <c r="P67" s="22"/>
      <c r="Q67" s="22"/>
      <c r="R67" s="22"/>
      <c r="S67" s="22"/>
      <c r="T67" s="22"/>
      <c r="U67" s="22"/>
    </row>
    <row r="68" spans="1:21" x14ac:dyDescent="0.55000000000000004">
      <c r="A68" s="1" t="str">
        <f>'Population Definitions'!$A$12</f>
        <v>Miners</v>
      </c>
      <c r="B68" t="s">
        <v>10</v>
      </c>
      <c r="C68" s="12" t="str">
        <f t="shared" si="7"/>
        <v>N.A.</v>
      </c>
      <c r="D68" t="s">
        <v>16</v>
      </c>
      <c r="E68" s="23">
        <v>0.17699999999999999</v>
      </c>
      <c r="F68" s="22"/>
      <c r="G68" s="22"/>
      <c r="H68" s="22"/>
      <c r="I68" s="22"/>
      <c r="J68" s="22"/>
      <c r="K68" s="22"/>
      <c r="L68" s="22"/>
      <c r="M68" s="22"/>
      <c r="N68" s="22"/>
      <c r="O68" s="22"/>
      <c r="P68" s="22"/>
      <c r="Q68" s="22"/>
      <c r="R68" s="22"/>
      <c r="S68" s="22"/>
      <c r="T68" s="22"/>
      <c r="U68" s="22"/>
    </row>
    <row r="69" spans="1:21" x14ac:dyDescent="0.55000000000000004">
      <c r="A69" s="1" t="str">
        <f>'Population Definitions'!$A$13</f>
        <v>PLHIV Miners</v>
      </c>
      <c r="B69" t="s">
        <v>10</v>
      </c>
      <c r="C69" s="12" t="str">
        <f t="shared" si="7"/>
        <v>N.A.</v>
      </c>
      <c r="D69" t="s">
        <v>16</v>
      </c>
      <c r="E69" s="23">
        <f>E62</f>
        <v>0.93</v>
      </c>
      <c r="F69" s="22"/>
      <c r="G69" s="22"/>
      <c r="H69" s="22"/>
      <c r="I69" s="22"/>
      <c r="J69" s="22"/>
      <c r="K69" s="22"/>
      <c r="L69" s="22"/>
      <c r="M69" s="22"/>
      <c r="N69" s="22"/>
      <c r="O69" s="22"/>
      <c r="P69" s="22"/>
      <c r="Q69" s="22"/>
      <c r="R69" s="22"/>
      <c r="S69" s="22"/>
      <c r="T69" s="22"/>
      <c r="U69" s="22"/>
    </row>
    <row r="71" spans="1:21" x14ac:dyDescent="0.55000000000000004">
      <c r="A71" s="1" t="s">
        <v>169</v>
      </c>
      <c r="B71" t="s">
        <v>8</v>
      </c>
      <c r="C71" t="s">
        <v>9</v>
      </c>
      <c r="E71">
        <v>2000</v>
      </c>
      <c r="F71">
        <v>2001</v>
      </c>
      <c r="G71">
        <v>2002</v>
      </c>
      <c r="H71">
        <v>2003</v>
      </c>
      <c r="I71">
        <v>2004</v>
      </c>
      <c r="J71">
        <v>2005</v>
      </c>
      <c r="K71">
        <v>2006</v>
      </c>
      <c r="L71">
        <v>2007</v>
      </c>
      <c r="M71">
        <v>2008</v>
      </c>
      <c r="N71">
        <v>2009</v>
      </c>
      <c r="O71">
        <v>2010</v>
      </c>
      <c r="P71">
        <v>2011</v>
      </c>
      <c r="Q71">
        <v>2012</v>
      </c>
      <c r="R71">
        <v>2013</v>
      </c>
      <c r="S71">
        <v>2014</v>
      </c>
      <c r="T71">
        <v>2015</v>
      </c>
      <c r="U71">
        <v>2016</v>
      </c>
    </row>
    <row r="72" spans="1:21" x14ac:dyDescent="0.55000000000000004">
      <c r="A72" s="1" t="str">
        <f>'Population Definitions'!$A$2</f>
        <v>Gen 0-4</v>
      </c>
      <c r="B72" t="s">
        <v>10</v>
      </c>
      <c r="C72" s="12" t="str">
        <f t="shared" ref="C72:C83" si="8">IF(SUMPRODUCT(--(E72:U72&lt;&gt;""))=0,0.003,"N.A.")</f>
        <v>N.A.</v>
      </c>
      <c r="D72" t="s">
        <v>16</v>
      </c>
      <c r="E72" s="23">
        <f>0.177*3</f>
        <v>0.53099999999999992</v>
      </c>
      <c r="F72" s="22"/>
      <c r="G72" s="22"/>
      <c r="H72" s="22"/>
      <c r="I72" s="22"/>
      <c r="J72" s="22"/>
      <c r="K72" s="22"/>
      <c r="L72" s="22"/>
      <c r="M72" s="22"/>
      <c r="N72" s="22"/>
      <c r="O72" s="22"/>
      <c r="P72" s="22"/>
      <c r="Q72" s="22"/>
      <c r="R72" s="22"/>
      <c r="S72" s="22"/>
      <c r="T72" s="22"/>
      <c r="U72" s="22"/>
    </row>
    <row r="73" spans="1:21" x14ac:dyDescent="0.55000000000000004">
      <c r="A73" s="1" t="str">
        <f>'Population Definitions'!$A$3</f>
        <v>Gen 5-14</v>
      </c>
      <c r="B73" t="s">
        <v>10</v>
      </c>
      <c r="C73" s="12" t="str">
        <f t="shared" si="8"/>
        <v>N.A.</v>
      </c>
      <c r="D73" t="s">
        <v>16</v>
      </c>
      <c r="E73" s="23">
        <v>0.17699999999999999</v>
      </c>
      <c r="F73" s="22"/>
      <c r="G73" s="22"/>
      <c r="H73" s="22"/>
      <c r="I73" s="22"/>
      <c r="J73" s="22"/>
      <c r="K73" s="22"/>
      <c r="L73" s="22"/>
      <c r="M73" s="22"/>
      <c r="N73" s="22"/>
      <c r="O73" s="22"/>
      <c r="P73" s="22"/>
      <c r="Q73" s="22"/>
      <c r="R73" s="22"/>
      <c r="S73" s="22"/>
      <c r="T73" s="22"/>
      <c r="U73" s="22"/>
    </row>
    <row r="74" spans="1:21" x14ac:dyDescent="0.55000000000000004">
      <c r="A74" s="1" t="str">
        <f>'Population Definitions'!$A$4</f>
        <v>Gen 15-64</v>
      </c>
      <c r="B74" t="s">
        <v>10</v>
      </c>
      <c r="C74" s="12" t="str">
        <f t="shared" si="8"/>
        <v>N.A.</v>
      </c>
      <c r="D74" t="s">
        <v>16</v>
      </c>
      <c r="E74" s="23">
        <v>0.17699999999999999</v>
      </c>
      <c r="F74" s="22"/>
      <c r="G74" s="22"/>
      <c r="H74" s="22"/>
      <c r="I74" s="22"/>
      <c r="J74" s="22"/>
      <c r="K74" s="22"/>
      <c r="L74" s="22"/>
      <c r="M74" s="22"/>
      <c r="N74" s="22"/>
      <c r="O74" s="22"/>
      <c r="P74" s="22"/>
      <c r="Q74" s="22"/>
      <c r="R74" s="22"/>
      <c r="S74" s="22"/>
      <c r="T74" s="22"/>
      <c r="U74" s="22"/>
    </row>
    <row r="75" spans="1:21" x14ac:dyDescent="0.55000000000000004">
      <c r="A75" s="1" t="str">
        <f>'Population Definitions'!$A$5</f>
        <v>Gen 65+</v>
      </c>
      <c r="B75" t="s">
        <v>10</v>
      </c>
      <c r="C75" s="12" t="str">
        <f t="shared" si="8"/>
        <v>N.A.</v>
      </c>
      <c r="D75" t="s">
        <v>16</v>
      </c>
      <c r="E75" s="23">
        <v>0.17699999999999999</v>
      </c>
      <c r="F75" s="22"/>
      <c r="G75" s="22"/>
      <c r="H75" s="22"/>
      <c r="I75" s="22"/>
      <c r="J75" s="22"/>
      <c r="K75" s="22"/>
      <c r="L75" s="22"/>
      <c r="M75" s="22"/>
      <c r="N75" s="22"/>
      <c r="O75" s="22"/>
      <c r="P75" s="22"/>
      <c r="Q75" s="22"/>
      <c r="R75" s="22"/>
      <c r="S75" s="22"/>
      <c r="T75" s="22"/>
      <c r="U75" s="22"/>
    </row>
    <row r="76" spans="1:21" x14ac:dyDescent="0.55000000000000004">
      <c r="A76" s="1" t="str">
        <f>'Population Definitions'!$A$6</f>
        <v>PLHIV 15-64</v>
      </c>
      <c r="B76" t="s">
        <v>10</v>
      </c>
      <c r="C76" s="12" t="str">
        <f t="shared" si="8"/>
        <v>N.A.</v>
      </c>
      <c r="D76" t="s">
        <v>16</v>
      </c>
      <c r="E76" s="23">
        <v>0.35399999999999998</v>
      </c>
      <c r="F76" s="22"/>
      <c r="G76" s="22"/>
      <c r="H76" s="22"/>
      <c r="I76" s="22"/>
      <c r="J76" s="22"/>
      <c r="K76" s="22"/>
      <c r="L76" s="22"/>
      <c r="M76" s="22"/>
      <c r="N76" s="22"/>
      <c r="O76" s="22"/>
      <c r="P76" s="22"/>
      <c r="Q76" s="22"/>
      <c r="R76" s="22"/>
      <c r="S76" s="22"/>
      <c r="T76" s="22"/>
      <c r="U76" s="22"/>
    </row>
    <row r="77" spans="1:21" x14ac:dyDescent="0.55000000000000004">
      <c r="A77" s="1" t="str">
        <f>'Population Definitions'!$A$7</f>
        <v>PLHIV 65+</v>
      </c>
      <c r="B77" t="s">
        <v>10</v>
      </c>
      <c r="C77" s="12" t="str">
        <f t="shared" si="8"/>
        <v>N.A.</v>
      </c>
      <c r="D77" t="s">
        <v>16</v>
      </c>
      <c r="E77" s="23">
        <v>0.35399999999999998</v>
      </c>
      <c r="F77" s="22"/>
      <c r="G77" s="22"/>
      <c r="H77" s="22"/>
      <c r="I77" s="22"/>
      <c r="J77" s="22"/>
      <c r="K77" s="22"/>
      <c r="L77" s="22"/>
      <c r="M77" s="22"/>
      <c r="N77" s="22"/>
      <c r="O77" s="22"/>
      <c r="P77" s="22"/>
      <c r="Q77" s="22"/>
      <c r="R77" s="22"/>
      <c r="S77" s="22"/>
      <c r="T77" s="22"/>
      <c r="U77" s="22"/>
    </row>
    <row r="78" spans="1:21" x14ac:dyDescent="0.55000000000000004">
      <c r="A78" s="1" t="str">
        <f>'Population Definitions'!$A$8</f>
        <v>Prisoners</v>
      </c>
      <c r="B78" t="s">
        <v>10</v>
      </c>
      <c r="C78" s="12" t="str">
        <f t="shared" si="8"/>
        <v>N.A.</v>
      </c>
      <c r="D78" t="s">
        <v>16</v>
      </c>
      <c r="E78" s="23">
        <v>0.17699999999999999</v>
      </c>
      <c r="F78" s="22"/>
      <c r="G78" s="22"/>
      <c r="H78" s="22"/>
      <c r="I78" s="22"/>
      <c r="J78" s="22"/>
      <c r="K78" s="22"/>
      <c r="L78" s="22"/>
      <c r="M78" s="22"/>
      <c r="N78" s="22"/>
      <c r="O78" s="22"/>
      <c r="P78" s="22"/>
      <c r="Q78" s="22"/>
      <c r="R78" s="22"/>
      <c r="S78" s="22"/>
      <c r="T78" s="22"/>
      <c r="U78" s="22"/>
    </row>
    <row r="79" spans="1:21" x14ac:dyDescent="0.55000000000000004">
      <c r="A79" s="1" t="str">
        <f>'Population Definitions'!$A$9</f>
        <v>PLHIV Prisoners</v>
      </c>
      <c r="B79" t="s">
        <v>10</v>
      </c>
      <c r="C79" s="12" t="str">
        <f t="shared" si="8"/>
        <v>N.A.</v>
      </c>
      <c r="D79" t="s">
        <v>16</v>
      </c>
      <c r="E79" s="23">
        <v>0.35399999999999998</v>
      </c>
      <c r="F79" s="22"/>
      <c r="G79" s="22"/>
      <c r="H79" s="22"/>
      <c r="I79" s="22"/>
      <c r="J79" s="22"/>
      <c r="K79" s="22"/>
      <c r="L79" s="22"/>
      <c r="M79" s="22"/>
      <c r="N79" s="22"/>
      <c r="O79" s="22"/>
      <c r="P79" s="22"/>
      <c r="Q79" s="22"/>
      <c r="R79" s="22"/>
      <c r="S79" s="22"/>
      <c r="T79" s="22"/>
      <c r="U79" s="22"/>
    </row>
    <row r="80" spans="1:21" x14ac:dyDescent="0.55000000000000004">
      <c r="A80" s="1" t="str">
        <f>'Population Definitions'!$A$10</f>
        <v>HCW</v>
      </c>
      <c r="B80" t="s">
        <v>10</v>
      </c>
      <c r="C80" s="12" t="str">
        <f t="shared" si="8"/>
        <v>N.A.</v>
      </c>
      <c r="D80" t="s">
        <v>16</v>
      </c>
      <c r="E80" s="23">
        <v>0.17699999999999999</v>
      </c>
      <c r="F80" s="22"/>
      <c r="G80" s="22"/>
      <c r="H80" s="22"/>
      <c r="I80" s="22"/>
      <c r="J80" s="22"/>
      <c r="K80" s="22"/>
      <c r="L80" s="22"/>
      <c r="M80" s="22"/>
      <c r="N80" s="22"/>
      <c r="O80" s="22"/>
      <c r="P80" s="22"/>
      <c r="Q80" s="22"/>
      <c r="R80" s="22"/>
      <c r="S80" s="22"/>
      <c r="T80" s="22"/>
      <c r="U80" s="22"/>
    </row>
    <row r="81" spans="1:21" x14ac:dyDescent="0.55000000000000004">
      <c r="A81" s="1" t="str">
        <f>'Population Definitions'!$A$11</f>
        <v>PLHIV HCW</v>
      </c>
      <c r="B81" t="s">
        <v>10</v>
      </c>
      <c r="C81" s="12" t="str">
        <f t="shared" si="8"/>
        <v>N.A.</v>
      </c>
      <c r="D81" t="s">
        <v>16</v>
      </c>
      <c r="E81" s="23">
        <v>0.35399999999999998</v>
      </c>
      <c r="F81" s="22"/>
      <c r="G81" s="22"/>
      <c r="H81" s="22"/>
      <c r="I81" s="22"/>
      <c r="J81" s="22"/>
      <c r="K81" s="22"/>
      <c r="L81" s="22"/>
      <c r="M81" s="22"/>
      <c r="N81" s="22"/>
      <c r="O81" s="22"/>
      <c r="P81" s="22"/>
      <c r="Q81" s="22"/>
      <c r="R81" s="22"/>
      <c r="S81" s="22"/>
      <c r="T81" s="22"/>
      <c r="U81" s="22"/>
    </row>
    <row r="82" spans="1:21" x14ac:dyDescent="0.55000000000000004">
      <c r="A82" s="1" t="str">
        <f>'Population Definitions'!$A$12</f>
        <v>Miners</v>
      </c>
      <c r="B82" t="s">
        <v>10</v>
      </c>
      <c r="C82" s="12" t="str">
        <f t="shared" si="8"/>
        <v>N.A.</v>
      </c>
      <c r="D82" t="s">
        <v>16</v>
      </c>
      <c r="E82" s="23">
        <v>0.17699999999999999</v>
      </c>
      <c r="F82" s="22"/>
      <c r="G82" s="22"/>
      <c r="H82" s="22"/>
      <c r="I82" s="22"/>
      <c r="J82" s="22"/>
      <c r="K82" s="22"/>
      <c r="L82" s="22"/>
      <c r="M82" s="22"/>
      <c r="N82" s="22"/>
      <c r="O82" s="22"/>
      <c r="P82" s="22"/>
      <c r="Q82" s="22"/>
      <c r="R82" s="22"/>
      <c r="S82" s="22"/>
      <c r="T82" s="22"/>
      <c r="U82" s="22"/>
    </row>
    <row r="83" spans="1:21" x14ac:dyDescent="0.55000000000000004">
      <c r="A83" s="1" t="str">
        <f>'Population Definitions'!$A$13</f>
        <v>PLHIV Miners</v>
      </c>
      <c r="B83" t="s">
        <v>10</v>
      </c>
      <c r="C83" s="12" t="str">
        <f t="shared" si="8"/>
        <v>N.A.</v>
      </c>
      <c r="D83" t="s">
        <v>16</v>
      </c>
      <c r="E83" s="23">
        <v>0.35399999999999998</v>
      </c>
      <c r="F83" s="22"/>
      <c r="G83" s="22"/>
      <c r="H83" s="22"/>
      <c r="I83" s="22"/>
      <c r="J83" s="22"/>
      <c r="K83" s="22"/>
      <c r="L83" s="22"/>
      <c r="M83" s="22"/>
      <c r="N83" s="22"/>
      <c r="O83" s="22"/>
      <c r="P83" s="22"/>
      <c r="Q83" s="22"/>
      <c r="R83" s="22"/>
      <c r="S83" s="22"/>
      <c r="T83" s="22"/>
      <c r="U83" s="22"/>
    </row>
  </sheetData>
  <dataValidations count="1">
    <dataValidation type="list" showInputMessage="1" showErrorMessage="1" sqref="B44:B55 B30:B41 B16:B27 B2:B13 B72:B83 B58:B69">
      <formula1>"Fraction,Number"</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36"/>
  <sheetViews>
    <sheetView topLeftCell="A41" zoomScale="85" zoomScaleNormal="85" zoomScalePageLayoutView="85" workbookViewId="0">
      <selection activeCell="A358" sqref="A358"/>
    </sheetView>
  </sheetViews>
  <sheetFormatPr defaultColWidth="8.83984375" defaultRowHeight="14.4" x14ac:dyDescent="0.55000000000000004"/>
  <cols>
    <col min="1" max="1" width="60.68359375" customWidth="1"/>
    <col min="2" max="3" width="10.68359375" customWidth="1"/>
  </cols>
  <sheetData>
    <row r="1" spans="1:21" x14ac:dyDescent="0.55000000000000004">
      <c r="A1" s="21" t="s">
        <v>24</v>
      </c>
      <c r="B1" s="41" t="s">
        <v>8</v>
      </c>
      <c r="C1" s="41" t="s">
        <v>9</v>
      </c>
      <c r="D1" s="41"/>
      <c r="E1" s="41">
        <v>2000</v>
      </c>
      <c r="F1" s="41">
        <v>2001</v>
      </c>
      <c r="G1" s="41">
        <v>2002</v>
      </c>
      <c r="H1" s="41">
        <v>2003</v>
      </c>
      <c r="I1" s="41">
        <v>2004</v>
      </c>
      <c r="J1" s="41">
        <v>2005</v>
      </c>
      <c r="K1" s="41">
        <v>2006</v>
      </c>
      <c r="L1" s="41">
        <v>2007</v>
      </c>
      <c r="M1" s="41">
        <v>2008</v>
      </c>
      <c r="N1" s="41">
        <v>2009</v>
      </c>
      <c r="O1" s="41">
        <v>2010</v>
      </c>
      <c r="P1" s="41">
        <v>2011</v>
      </c>
      <c r="Q1" s="41">
        <v>2012</v>
      </c>
      <c r="R1" s="41">
        <v>2013</v>
      </c>
      <c r="S1" s="41">
        <v>2014</v>
      </c>
      <c r="T1" s="41">
        <v>2015</v>
      </c>
      <c r="U1" s="41">
        <v>2016</v>
      </c>
    </row>
    <row r="2" spans="1:21" x14ac:dyDescent="0.55000000000000004">
      <c r="A2" s="41" t="str">
        <f>'Population Definitions'!$A$2</f>
        <v>Gen 0-4</v>
      </c>
      <c r="B2" s="41" t="s">
        <v>10</v>
      </c>
      <c r="C2" s="12" t="str">
        <f t="shared" ref="C2:C13" si="0">IF(SUMPRODUCT(--(E2:U2&lt;&gt;""))=0,0.59,"N.A.")</f>
        <v>N.A.</v>
      </c>
      <c r="D2" s="41" t="s">
        <v>16</v>
      </c>
      <c r="E2" s="47"/>
      <c r="F2" s="22"/>
      <c r="G2" s="22">
        <f>'[4]Notified Cases'!G2/'[4]Active TB Prevalence'!G30</f>
        <v>0.52728187130444959</v>
      </c>
      <c r="H2" s="22">
        <f>'[4]Notified Cases'!H2/'[4]Active TB Prevalence'!H30</f>
        <v>0.60126751446492466</v>
      </c>
      <c r="I2" s="22">
        <f>'[4]Notified Cases'!I2/'[4]Active TB Prevalence'!I30</f>
        <v>0.6185431743629175</v>
      </c>
      <c r="J2" s="22">
        <f>'[4]Notified Cases'!J2/'[4]Active TB Prevalence'!J30</f>
        <v>0.6544774870160196</v>
      </c>
      <c r="K2" s="22"/>
      <c r="L2" s="22">
        <f>'[4]Notified Cases'!L2/'[4]Active TB Prevalence'!L30</f>
        <v>0.54895144774638782</v>
      </c>
      <c r="M2" s="22">
        <f>'[4]Notified Cases'!M2/'[4]Active TB Prevalence'!M30</f>
        <v>0.68417739899250785</v>
      </c>
      <c r="N2" s="22">
        <f>'[4]Notified Cases'!N2/'[4]Active TB Prevalence'!N30</f>
        <v>0.72738972022399784</v>
      </c>
      <c r="O2" s="22">
        <f>'[4]Notified Cases'!O2/'[4]Active TB Prevalence'!O30</f>
        <v>0.73016553054937605</v>
      </c>
      <c r="P2" s="22"/>
      <c r="Q2" s="22">
        <f>'[4]Notified Cases'!Q2/'[4]Active TB Prevalence'!Q30</f>
        <v>0.71294256594431826</v>
      </c>
      <c r="R2" s="22"/>
      <c r="S2" s="22">
        <f>'[4]Notified Cases'!S2/'[4]Active TB Prevalence'!S30</f>
        <v>0.65602333797001322</v>
      </c>
      <c r="T2" s="22"/>
      <c r="U2" s="22"/>
    </row>
    <row r="3" spans="1:21" x14ac:dyDescent="0.55000000000000004">
      <c r="A3" s="41" t="str">
        <f>'Population Definitions'!$A$3</f>
        <v>Gen 5-14</v>
      </c>
      <c r="B3" s="41" t="s">
        <v>10</v>
      </c>
      <c r="C3" s="12" t="str">
        <f t="shared" si="0"/>
        <v>N.A.</v>
      </c>
      <c r="D3" s="41" t="s">
        <v>16</v>
      </c>
      <c r="E3" s="47"/>
      <c r="F3" s="22"/>
      <c r="G3" s="22">
        <f>'[4]Notified Cases'!G3/'[4]Active TB Prevalence'!G31</f>
        <v>0.52761265523770429</v>
      </c>
      <c r="H3" s="22">
        <f>'[4]Notified Cases'!H3/'[4]Active TB Prevalence'!H31</f>
        <v>0.6017651657491071</v>
      </c>
      <c r="I3" s="22">
        <f>'[4]Notified Cases'!I3/'[4]Active TB Prevalence'!I31</f>
        <v>0.61917910676356847</v>
      </c>
      <c r="J3" s="22">
        <f>'[4]Notified Cases'!J3/'[4]Active TB Prevalence'!J31</f>
        <v>0.65528162143823487</v>
      </c>
      <c r="K3" s="22">
        <f>'[4]Notified Cases'!K3/'[4]Active TB Prevalence'!K31</f>
        <v>0.65443320943362138</v>
      </c>
      <c r="L3" s="22">
        <f>'[4]Notified Cases'!L3/'[4]Active TB Prevalence'!L31</f>
        <v>0.62653996484003982</v>
      </c>
      <c r="M3" s="22">
        <f>'[4]Notified Cases'!M3/'[4]Active TB Prevalence'!M31</f>
        <v>0.68417739888878804</v>
      </c>
      <c r="N3" s="22">
        <f>'[4]Notified Cases'!N3/'[4]Active TB Prevalence'!N31</f>
        <v>0.72592662047665379</v>
      </c>
      <c r="O3" s="22">
        <f>'[4]Notified Cases'!O3/'[4]Active TB Prevalence'!O31</f>
        <v>0.73016553025898712</v>
      </c>
      <c r="P3" s="22">
        <f>'[4]Notified Cases'!P3/'[4]Active TB Prevalence'!P31</f>
        <v>0.78137559754285613</v>
      </c>
      <c r="Q3" s="22">
        <f>'[4]Notified Cases'!Q3/'[4]Active TB Prevalence'!Q31</f>
        <v>0.71294256626806429</v>
      </c>
      <c r="R3" s="22">
        <f>'[4]Notified Cases'!R3/'[4]Active TB Prevalence'!R31</f>
        <v>0.68381977228723001</v>
      </c>
      <c r="S3" s="22">
        <f>'[4]Notified Cases'!S3/'[4]Active TB Prevalence'!S31</f>
        <v>0.65651957338707012</v>
      </c>
      <c r="T3" s="22"/>
      <c r="U3" s="22"/>
    </row>
    <row r="4" spans="1:21" x14ac:dyDescent="0.55000000000000004">
      <c r="A4" s="41" t="str">
        <f>'Population Definitions'!$A$4</f>
        <v>Gen 15-64</v>
      </c>
      <c r="B4" s="41" t="s">
        <v>10</v>
      </c>
      <c r="C4" s="12" t="str">
        <f t="shared" si="0"/>
        <v>N.A.</v>
      </c>
      <c r="D4" s="41" t="s">
        <v>16</v>
      </c>
      <c r="E4" s="47"/>
      <c r="F4" s="22"/>
      <c r="G4" s="22">
        <f>'[4]Notified Cases'!G4/'[4]Active TB Prevalence'!G32</f>
        <v>0.55067449706655269</v>
      </c>
      <c r="H4" s="22">
        <f>'[4]Notified Cases'!H4/'[4]Active TB Prevalence'!H32</f>
        <v>0.62555791776644842</v>
      </c>
      <c r="I4" s="22">
        <f>'[4]Notified Cases'!I4/'[4]Active TB Prevalence'!I32</f>
        <v>0.64086681698974046</v>
      </c>
      <c r="J4" s="22">
        <f>'[4]Notified Cases'!J4/'[4]Active TB Prevalence'!J32</f>
        <v>0.67436241142338693</v>
      </c>
      <c r="K4" s="22"/>
      <c r="L4" s="22">
        <f>'[4]Notified Cases'!L4/'[4]Active TB Prevalence'!L32</f>
        <v>0.62653996506090293</v>
      </c>
      <c r="M4" s="22"/>
      <c r="N4" s="22">
        <f>'[4]Notified Cases'!N4/'[4]Active TB Prevalence'!N32</f>
        <v>0.72745783122423247</v>
      </c>
      <c r="O4" s="22">
        <f>'[4]Notified Cases'!O4/'[4]Active TB Prevalence'!O32</f>
        <v>0.73848508537969926</v>
      </c>
      <c r="P4" s="22">
        <f>'[4]Notified Cases'!P4/'[4]Active TB Prevalence'!P32</f>
        <v>0.781375597733036</v>
      </c>
      <c r="Q4" s="22">
        <f>'[4]Notified Cases'!Q4/'[4]Active TB Prevalence'!Q32</f>
        <v>0.71294256593975247</v>
      </c>
      <c r="R4" s="22">
        <f>'[4]Notified Cases'!R4/'[4]Active TB Prevalence'!R32</f>
        <v>0.68381977222841184</v>
      </c>
      <c r="S4" s="22">
        <f>'[4]Notified Cases'!S4/'[4]Active TB Prevalence'!S32</f>
        <v>0.65602333785137079</v>
      </c>
      <c r="T4" s="22"/>
      <c r="U4" s="22"/>
    </row>
    <row r="5" spans="1:21" x14ac:dyDescent="0.55000000000000004">
      <c r="A5" s="41" t="str">
        <f>'Population Definitions'!$A$5</f>
        <v>Gen 65+</v>
      </c>
      <c r="B5" s="41" t="s">
        <v>10</v>
      </c>
      <c r="C5" s="12" t="str">
        <f t="shared" si="0"/>
        <v>N.A.</v>
      </c>
      <c r="D5" s="41" t="s">
        <v>16</v>
      </c>
      <c r="E5" s="47"/>
      <c r="F5" s="22"/>
      <c r="G5" s="22">
        <f>'[4]Notified Cases'!G5/'[4]Active TB Prevalence'!G33</f>
        <v>0.52845628744387418</v>
      </c>
      <c r="H5" s="22">
        <f>'[4]Notified Cases'!H5/'[4]Active TB Prevalence'!H33</f>
        <v>0.60272649992205973</v>
      </c>
      <c r="I5" s="22">
        <f>'[4]Notified Cases'!I5/'[4]Active TB Prevalence'!I33</f>
        <v>0.62016736933887728</v>
      </c>
      <c r="J5" s="22">
        <f>'[4]Notified Cases'!J5/'[4]Active TB Prevalence'!J33</f>
        <v>0.65632656370426856</v>
      </c>
      <c r="K5" s="22">
        <f>'[4]Notified Cases'!K5/'[4]Active TB Prevalence'!K33</f>
        <v>0.65547585659263452</v>
      </c>
      <c r="L5" s="22">
        <f>'[4]Notified Cases'!L5/'[4]Active TB Prevalence'!L33</f>
        <v>0.62907914517819674</v>
      </c>
      <c r="M5" s="22">
        <f>'[4]Notified Cases'!M5/'[4]Active TB Prevalence'!M33</f>
        <v>0.68417739902122576</v>
      </c>
      <c r="N5" s="22">
        <f>'[4]Notified Cases'!N5/'[4]Active TB Prevalence'!N33</f>
        <v>0.72592662048618972</v>
      </c>
      <c r="O5" s="22"/>
      <c r="P5" s="22">
        <f>'[4]Notified Cases'!P5/'[4]Active TB Prevalence'!P33</f>
        <v>0.78137559781853583</v>
      </c>
      <c r="Q5" s="22">
        <f>'[4]Notified Cases'!Q5/'[4]Active TB Prevalence'!Q33</f>
        <v>0.71294256602280948</v>
      </c>
      <c r="R5" s="22">
        <f>'[4]Notified Cases'!R5/'[4]Active TB Prevalence'!R33</f>
        <v>0.6838197722454622</v>
      </c>
      <c r="S5" s="22">
        <f>'[4]Notified Cases'!S5/'[4]Active TB Prevalence'!S33</f>
        <v>0.65602333785953382</v>
      </c>
      <c r="T5" s="22"/>
      <c r="U5" s="22"/>
    </row>
    <row r="6" spans="1:21" x14ac:dyDescent="0.55000000000000004">
      <c r="A6" s="41" t="str">
        <f>'Population Definitions'!$A$6</f>
        <v>PLHIV 15-64</v>
      </c>
      <c r="B6" s="41" t="s">
        <v>10</v>
      </c>
      <c r="C6" s="12" t="str">
        <f t="shared" si="0"/>
        <v>N.A.</v>
      </c>
      <c r="D6" s="41" t="s">
        <v>16</v>
      </c>
      <c r="E6" s="47"/>
      <c r="F6" s="22"/>
      <c r="G6" s="22">
        <f>'[4]Notified Cases'!G6/'[4]Active TB Prevalence'!G34</f>
        <v>0.53045361362447518</v>
      </c>
      <c r="H6" s="22">
        <f>'[4]Notified Cases'!H6/'[4]Active TB Prevalence'!H34</f>
        <v>0.60516367855763931</v>
      </c>
      <c r="I6" s="22">
        <f>'[4]Notified Cases'!I6/'[4]Active TB Prevalence'!I34</f>
        <v>0.62284297262724009</v>
      </c>
      <c r="J6" s="22">
        <f>'[4]Notified Cases'!J6/'[4]Active TB Prevalence'!J34</f>
        <v>0.65936045820325317</v>
      </c>
      <c r="K6" s="22">
        <f>'[4]Notified Cases'!K6/'[4]Active TB Prevalence'!K34</f>
        <v>0.565506340560194</v>
      </c>
      <c r="L6" s="22">
        <f>'[4]Notified Cases'!L6/'[4]Active TB Prevalence'!L34</f>
        <v>0.63206374301910362</v>
      </c>
      <c r="M6" s="22">
        <f>'[4]Notified Cases'!M6/'[4]Active TB Prevalence'!M34</f>
        <v>0.76964007850794369</v>
      </c>
      <c r="N6" s="22">
        <f>'[4]Notified Cases'!N6/'[4]Active TB Prevalence'!N34</f>
        <v>0.72660518192436707</v>
      </c>
      <c r="O6" s="22">
        <f>'[4]Notified Cases'!O6/'[4]Active TB Prevalence'!O34</f>
        <v>0.73782441629676121</v>
      </c>
      <c r="P6" s="22">
        <f>'[4]Notified Cases'!P6/'[4]Active TB Prevalence'!P34</f>
        <v>0.78193517968808746</v>
      </c>
      <c r="Q6" s="22">
        <f>'[4]Notified Cases'!Q6/'[4]Active TB Prevalence'!Q34</f>
        <v>0.71340975748522106</v>
      </c>
      <c r="R6" s="22">
        <f>'[4]Notified Cases'!R6/'[4]Active TB Prevalence'!R34</f>
        <v>0.68404139567522904</v>
      </c>
      <c r="S6" s="22">
        <f>'[4]Notified Cases'!S6/'[4]Active TB Prevalence'!S34</f>
        <v>0.65661033668624535</v>
      </c>
      <c r="T6" s="22"/>
      <c r="U6" s="22"/>
    </row>
    <row r="7" spans="1:21" x14ac:dyDescent="0.55000000000000004">
      <c r="A7" s="41" t="str">
        <f>'Population Definitions'!$A$7</f>
        <v>PLHIV 65+</v>
      </c>
      <c r="B7" s="41" t="s">
        <v>10</v>
      </c>
      <c r="C7" s="12" t="str">
        <f t="shared" si="0"/>
        <v>N.A.</v>
      </c>
      <c r="D7" s="41" t="s">
        <v>16</v>
      </c>
      <c r="E7" s="47"/>
      <c r="F7" s="22"/>
      <c r="G7" s="22">
        <f>'[4]Notified Cases'!G7/'[4]Active TB Prevalence'!G35</f>
        <v>0.52838965188452258</v>
      </c>
      <c r="H7" s="22">
        <f>'[4]Notified Cases'!H7/'[4]Active TB Prevalence'!H35</f>
        <v>0.60256726743249001</v>
      </c>
      <c r="I7" s="22">
        <f>'[4]Notified Cases'!I7/'[4]Active TB Prevalence'!I35</f>
        <v>0.61991786553615713</v>
      </c>
      <c r="J7" s="22">
        <f>'[4]Notified Cases'!J7/'[4]Active TB Prevalence'!J35</f>
        <v>0.65597182946713306</v>
      </c>
      <c r="K7" s="22">
        <f>'[4]Notified Cases'!K7/'[4]Active TB Prevalence'!K35</f>
        <v>0.65503099227854578</v>
      </c>
      <c r="L7" s="22"/>
      <c r="M7" s="22">
        <f>'[4]Notified Cases'!M7/'[4]Active TB Prevalence'!M35</f>
        <v>0.68417739898711749</v>
      </c>
      <c r="N7" s="22">
        <f>'[4]Notified Cases'!N7/'[4]Active TB Prevalence'!N35</f>
        <v>0.73295096659773573</v>
      </c>
      <c r="O7" s="22"/>
      <c r="P7" s="22">
        <f>'[4]Notified Cases'!P7/'[4]Active TB Prevalence'!P35</f>
        <v>0.78137559787202193</v>
      </c>
      <c r="Q7" s="22">
        <f>'[4]Notified Cases'!Q7/'[4]Active TB Prevalence'!Q35</f>
        <v>0.71294256598294636</v>
      </c>
      <c r="R7" s="22">
        <f>'[4]Notified Cases'!R7/'[4]Active TB Prevalence'!R35</f>
        <v>0.6838197720766066</v>
      </c>
      <c r="S7" s="22">
        <f>'[4]Notified Cases'!S7/'[4]Active TB Prevalence'!S35</f>
        <v>0.67314841143825577</v>
      </c>
      <c r="T7" s="22"/>
      <c r="U7" s="22"/>
    </row>
    <row r="8" spans="1:21" x14ac:dyDescent="0.55000000000000004">
      <c r="A8" s="41" t="str">
        <f>'Population Definitions'!$A$8</f>
        <v>Prisoners</v>
      </c>
      <c r="B8" s="41" t="s">
        <v>10</v>
      </c>
      <c r="C8" s="12" t="str">
        <f t="shared" si="0"/>
        <v>N.A.</v>
      </c>
      <c r="D8" s="41" t="s">
        <v>16</v>
      </c>
      <c r="E8" s="47"/>
      <c r="F8" s="22"/>
      <c r="G8" s="22">
        <f>'[4]Notified Cases'!G8/'[4]Active TB Prevalence'!G36</f>
        <v>0.5270438588019648</v>
      </c>
      <c r="H8" s="22">
        <f>'[4]Notified Cases'!H8/'[4]Active TB Prevalence'!H36</f>
        <v>0.46364079802937885</v>
      </c>
      <c r="I8" s="22">
        <f>'[4]Notified Cases'!I8/'[4]Active TB Prevalence'!I36</f>
        <v>0.61817155646575495</v>
      </c>
      <c r="J8" s="22">
        <f>'[4]Notified Cases'!J8/'[4]Active TB Prevalence'!J36</f>
        <v>0.65403539027450919</v>
      </c>
      <c r="K8" s="22">
        <f>'[4]Notified Cases'!K8/'[4]Active TB Prevalence'!K36</f>
        <v>0.65300889165040166</v>
      </c>
      <c r="L8" s="22"/>
      <c r="M8" s="22">
        <f>'[4]Notified Cases'!M8/'[4]Active TB Prevalence'!M36</f>
        <v>0.68417739889979223</v>
      </c>
      <c r="N8" s="22">
        <f>'[4]Notified Cases'!N8/'[4]Active TB Prevalence'!N36</f>
        <v>0.7259266203066973</v>
      </c>
      <c r="O8" s="22">
        <f>'[4]Notified Cases'!O8/'[4]Active TB Prevalence'!O36</f>
        <v>0.73016553044905463</v>
      </c>
      <c r="P8" s="22">
        <f>'[4]Notified Cases'!P8/'[4]Active TB Prevalence'!P36</f>
        <v>0.78137559792763511</v>
      </c>
      <c r="Q8" s="22">
        <f>'[4]Notified Cases'!Q8/'[4]Active TB Prevalence'!Q36</f>
        <v>0.71294256602521744</v>
      </c>
      <c r="R8" s="22">
        <f>'[4]Notified Cases'!R8/'[4]Active TB Prevalence'!R36</f>
        <v>0.68381977240266867</v>
      </c>
      <c r="S8" s="22">
        <f>'[4]Notified Cases'!S8/'[4]Active TB Prevalence'!S36</f>
        <v>0.65602333786113276</v>
      </c>
      <c r="T8" s="22"/>
      <c r="U8" s="22"/>
    </row>
    <row r="9" spans="1:21" x14ac:dyDescent="0.55000000000000004">
      <c r="A9" s="41" t="str">
        <f>'Population Definitions'!$A$9</f>
        <v>PLHIV Prisoners</v>
      </c>
      <c r="B9" s="41" t="s">
        <v>10</v>
      </c>
      <c r="C9" s="12" t="str">
        <f t="shared" si="0"/>
        <v>N.A.</v>
      </c>
      <c r="D9" s="41" t="s">
        <v>16</v>
      </c>
      <c r="E9" s="47"/>
      <c r="F9" s="22"/>
      <c r="G9" s="22">
        <f>'[4]Notified Cases'!G9/'[4]Active TB Prevalence'!G37</f>
        <v>0.52704385877126847</v>
      </c>
      <c r="H9" s="22">
        <f>'[4]Notified Cases'!H9/'[4]Active TB Prevalence'!H37</f>
        <v>0.52980922439436529</v>
      </c>
      <c r="I9" s="22">
        <f>'[4]Notified Cases'!I9/'[4]Active TB Prevalence'!I37</f>
        <v>0.61817155627866849</v>
      </c>
      <c r="J9" s="22">
        <f>'[4]Notified Cases'!J9/'[4]Active TB Prevalence'!J37</f>
        <v>0.65403539030765889</v>
      </c>
      <c r="K9" s="22">
        <f>'[4]Notified Cases'!K9/'[4]Active TB Prevalence'!K37</f>
        <v>0.68487264055179264</v>
      </c>
      <c r="L9" s="22">
        <f>'[4]Notified Cases'!L9/'[4]Active TB Prevalence'!L37</f>
        <v>0.71809133807644876</v>
      </c>
      <c r="M9" s="22">
        <f>'[4]Notified Cases'!M9/'[4]Active TB Prevalence'!M37</f>
        <v>0.68417739908977482</v>
      </c>
      <c r="N9" s="22">
        <f>'[4]Notified Cases'!N9/'[4]Active TB Prevalence'!N37</f>
        <v>0.72592662044277956</v>
      </c>
      <c r="O9" s="22">
        <f>'[4]Notified Cases'!O9/'[4]Active TB Prevalence'!O37</f>
        <v>0.73016553038445808</v>
      </c>
      <c r="P9" s="22">
        <f>'[4]Notified Cases'!P9/'[4]Active TB Prevalence'!P37</f>
        <v>0.78137559786281374</v>
      </c>
      <c r="Q9" s="22">
        <f>'[4]Notified Cases'!Q9/'[4]Active TB Prevalence'!Q37</f>
        <v>0.71294256605192141</v>
      </c>
      <c r="R9" s="22">
        <f>'[4]Notified Cases'!R9/'[4]Active TB Prevalence'!R37</f>
        <v>0.68381977229616697</v>
      </c>
      <c r="S9" s="22">
        <f>'[4]Notified Cases'!S9/'[4]Active TB Prevalence'!S37</f>
        <v>0.65602333797124845</v>
      </c>
      <c r="T9" s="22"/>
      <c r="U9" s="22"/>
    </row>
    <row r="10" spans="1:21" x14ac:dyDescent="0.55000000000000004">
      <c r="A10" s="41" t="str">
        <f>'Population Definitions'!$A$10</f>
        <v>HCW</v>
      </c>
      <c r="B10" s="41" t="s">
        <v>10</v>
      </c>
      <c r="C10" s="12">
        <f t="shared" si="0"/>
        <v>0.59</v>
      </c>
      <c r="D10" s="41" t="s">
        <v>16</v>
      </c>
      <c r="E10" s="47"/>
      <c r="F10" s="22"/>
      <c r="G10" s="22"/>
      <c r="H10" s="22"/>
      <c r="I10" s="22"/>
      <c r="J10" s="22"/>
      <c r="K10" s="22"/>
      <c r="L10" s="22"/>
      <c r="M10" s="22"/>
      <c r="N10" s="22"/>
      <c r="O10" s="22"/>
      <c r="P10" s="22"/>
      <c r="Q10" s="22"/>
      <c r="R10" s="22"/>
      <c r="S10" s="22"/>
      <c r="T10" s="22"/>
      <c r="U10" s="22"/>
    </row>
    <row r="11" spans="1:21" x14ac:dyDescent="0.55000000000000004">
      <c r="A11" s="41" t="str">
        <f>'Population Definitions'!$A$11</f>
        <v>PLHIV HCW</v>
      </c>
      <c r="B11" s="41" t="s">
        <v>10</v>
      </c>
      <c r="C11" s="12">
        <f t="shared" si="0"/>
        <v>0.59</v>
      </c>
      <c r="D11" s="41" t="s">
        <v>16</v>
      </c>
      <c r="E11" s="47"/>
      <c r="F11" s="22"/>
      <c r="G11" s="22"/>
      <c r="H11" s="22"/>
      <c r="I11" s="22"/>
      <c r="J11" s="22"/>
      <c r="K11" s="22"/>
      <c r="L11" s="22"/>
      <c r="M11" s="22"/>
      <c r="N11" s="22"/>
      <c r="O11" s="22"/>
      <c r="P11" s="22"/>
      <c r="Q11" s="22"/>
      <c r="R11" s="22"/>
      <c r="S11" s="22"/>
      <c r="T11" s="22"/>
      <c r="U11" s="22"/>
    </row>
    <row r="12" spans="1:21" x14ac:dyDescent="0.55000000000000004">
      <c r="A12" s="41" t="str">
        <f>'Population Definitions'!$A$12</f>
        <v>Miners</v>
      </c>
      <c r="B12" s="41" t="s">
        <v>10</v>
      </c>
      <c r="C12" s="12" t="str">
        <f t="shared" si="0"/>
        <v>N.A.</v>
      </c>
      <c r="D12" s="41" t="s">
        <v>16</v>
      </c>
      <c r="E12" s="47"/>
      <c r="F12" s="22"/>
      <c r="G12" s="22"/>
      <c r="H12" s="22"/>
      <c r="I12" s="22"/>
      <c r="J12" s="22"/>
      <c r="K12" s="22"/>
      <c r="L12" s="22"/>
      <c r="M12" s="22"/>
      <c r="N12" s="22"/>
      <c r="O12" s="22"/>
      <c r="P12" s="22"/>
      <c r="Q12" s="22"/>
      <c r="R12" s="22"/>
      <c r="S12" s="22"/>
      <c r="T12" s="22">
        <f>0.8</f>
        <v>0.8</v>
      </c>
      <c r="U12" s="22"/>
    </row>
    <row r="13" spans="1:21" x14ac:dyDescent="0.55000000000000004">
      <c r="A13" s="41" t="str">
        <f>'Population Definitions'!$A$13</f>
        <v>PLHIV Miners</v>
      </c>
      <c r="B13" s="41" t="s">
        <v>10</v>
      </c>
      <c r="C13" s="12" t="str">
        <f t="shared" si="0"/>
        <v>N.A.</v>
      </c>
      <c r="D13" s="41" t="s">
        <v>16</v>
      </c>
      <c r="E13" s="47"/>
      <c r="F13" s="22"/>
      <c r="G13" s="22"/>
      <c r="H13" s="22"/>
      <c r="I13" s="22"/>
      <c r="J13" s="22"/>
      <c r="K13" s="22"/>
      <c r="L13" s="22"/>
      <c r="M13" s="22"/>
      <c r="N13" s="22"/>
      <c r="O13" s="22"/>
      <c r="P13" s="22"/>
      <c r="Q13" s="22"/>
      <c r="R13" s="22"/>
      <c r="S13" s="22"/>
      <c r="T13" s="22">
        <f>0.8</f>
        <v>0.8</v>
      </c>
      <c r="U13" s="22"/>
    </row>
    <row r="14" spans="1:21" x14ac:dyDescent="0.55000000000000004">
      <c r="E14" s="37"/>
      <c r="F14" s="37"/>
      <c r="G14" s="37"/>
      <c r="H14" s="37"/>
      <c r="I14" s="37"/>
      <c r="J14" s="37"/>
      <c r="K14" s="37"/>
      <c r="L14" s="37"/>
      <c r="M14" s="37"/>
      <c r="N14" s="37"/>
      <c r="O14" s="37"/>
      <c r="P14" s="37"/>
      <c r="Q14" s="37"/>
      <c r="R14" s="37"/>
      <c r="S14" s="37"/>
      <c r="T14" s="37"/>
      <c r="U14" s="37"/>
    </row>
    <row r="15" spans="1:21" x14ac:dyDescent="0.55000000000000004">
      <c r="A15" s="21" t="s">
        <v>32</v>
      </c>
      <c r="B15" s="41" t="s">
        <v>8</v>
      </c>
      <c r="C15" s="41" t="s">
        <v>9</v>
      </c>
      <c r="D15" s="41"/>
      <c r="E15" s="41">
        <v>2000</v>
      </c>
      <c r="F15" s="41">
        <v>2001</v>
      </c>
      <c r="G15" s="41">
        <v>2002</v>
      </c>
      <c r="H15" s="41">
        <v>2003</v>
      </c>
      <c r="I15" s="41">
        <v>2004</v>
      </c>
      <c r="J15" s="41">
        <v>2005</v>
      </c>
      <c r="K15" s="41">
        <v>2006</v>
      </c>
      <c r="L15" s="41">
        <v>2007</v>
      </c>
      <c r="M15" s="41">
        <v>2008</v>
      </c>
      <c r="N15" s="41">
        <v>2009</v>
      </c>
      <c r="O15" s="41">
        <v>2010</v>
      </c>
      <c r="P15" s="41">
        <v>2011</v>
      </c>
      <c r="Q15" s="41">
        <v>2012</v>
      </c>
      <c r="R15" s="41">
        <v>2013</v>
      </c>
      <c r="S15" s="41">
        <v>2014</v>
      </c>
      <c r="T15" s="41">
        <v>2015</v>
      </c>
      <c r="U15" s="41">
        <v>2016</v>
      </c>
    </row>
    <row r="16" spans="1:21" x14ac:dyDescent="0.55000000000000004">
      <c r="A16" s="41" t="str">
        <f>'Population Definitions'!$A$2</f>
        <v>Gen 0-4</v>
      </c>
      <c r="B16" s="41" t="s">
        <v>10</v>
      </c>
      <c r="C16" s="12" t="str">
        <f t="shared" ref="C16:C27" si="1">IF(SUMPRODUCT(--(E16:U16&lt;&gt;""))=0,0.59,"N.A.")</f>
        <v>N.A.</v>
      </c>
      <c r="D16" s="41" t="s">
        <v>16</v>
      </c>
      <c r="E16" s="47"/>
      <c r="F16" s="22"/>
      <c r="G16" s="22">
        <v>0.82399999999999995</v>
      </c>
      <c r="H16" s="22"/>
      <c r="I16" s="22"/>
      <c r="J16" s="22"/>
      <c r="K16" s="22"/>
      <c r="L16" s="22"/>
      <c r="M16" s="22"/>
      <c r="N16" s="22"/>
      <c r="O16" s="22">
        <v>0.82399999999999995</v>
      </c>
      <c r="P16" s="22">
        <v>0.871</v>
      </c>
      <c r="Q16" s="22">
        <v>0.68300000000000005</v>
      </c>
      <c r="R16" s="22"/>
      <c r="S16" s="22">
        <v>0.90300000000000002</v>
      </c>
      <c r="T16" s="22">
        <v>0.9</v>
      </c>
      <c r="U16" s="22"/>
    </row>
    <row r="17" spans="1:22" x14ac:dyDescent="0.55000000000000004">
      <c r="A17" s="41" t="str">
        <f>'Population Definitions'!$A$3</f>
        <v>Gen 5-14</v>
      </c>
      <c r="B17" s="41" t="s">
        <v>10</v>
      </c>
      <c r="C17" s="12" t="str">
        <f t="shared" si="1"/>
        <v>N.A.</v>
      </c>
      <c r="D17" s="41" t="s">
        <v>16</v>
      </c>
      <c r="E17" s="47"/>
      <c r="F17" s="22"/>
      <c r="G17" s="22">
        <v>0.82399999999999995</v>
      </c>
      <c r="H17" s="22"/>
      <c r="I17" s="22"/>
      <c r="J17" s="22"/>
      <c r="K17" s="22"/>
      <c r="L17" s="22"/>
      <c r="M17" s="22"/>
      <c r="N17" s="22"/>
      <c r="O17" s="22">
        <v>0.82399999999999995</v>
      </c>
      <c r="P17" s="22">
        <v>0.871</v>
      </c>
      <c r="Q17" s="22">
        <v>0.68300000000000005</v>
      </c>
      <c r="R17" s="22"/>
      <c r="S17" s="22">
        <v>0.90300000000000002</v>
      </c>
      <c r="T17" s="22">
        <v>0.9</v>
      </c>
      <c r="U17" s="22"/>
    </row>
    <row r="18" spans="1:22" x14ac:dyDescent="0.55000000000000004">
      <c r="A18" s="41" t="str">
        <f>'Population Definitions'!$A$4</f>
        <v>Gen 15-64</v>
      </c>
      <c r="B18" s="41" t="s">
        <v>10</v>
      </c>
      <c r="C18" s="12" t="str">
        <f t="shared" si="1"/>
        <v>N.A.</v>
      </c>
      <c r="D18" s="41" t="s">
        <v>16</v>
      </c>
      <c r="E18" s="47"/>
      <c r="F18" s="22"/>
      <c r="G18" s="22">
        <v>0.82399999999999995</v>
      </c>
      <c r="H18" s="22"/>
      <c r="I18" s="22"/>
      <c r="J18" s="22"/>
      <c r="K18" s="22"/>
      <c r="L18" s="22"/>
      <c r="M18" s="22"/>
      <c r="N18" s="22"/>
      <c r="O18" s="22">
        <v>0.82399999999999995</v>
      </c>
      <c r="P18" s="22">
        <v>0.871</v>
      </c>
      <c r="Q18" s="22">
        <v>0.68300000000000005</v>
      </c>
      <c r="R18" s="22"/>
      <c r="S18" s="22">
        <v>0.90300000000000002</v>
      </c>
      <c r="T18" s="22">
        <v>0.9</v>
      </c>
      <c r="U18" s="22"/>
    </row>
    <row r="19" spans="1:22" x14ac:dyDescent="0.55000000000000004">
      <c r="A19" s="41" t="str">
        <f>'Population Definitions'!$A$5</f>
        <v>Gen 65+</v>
      </c>
      <c r="B19" s="41" t="s">
        <v>10</v>
      </c>
      <c r="C19" s="12" t="str">
        <f t="shared" si="1"/>
        <v>N.A.</v>
      </c>
      <c r="D19" s="41" t="s">
        <v>16</v>
      </c>
      <c r="E19" s="47"/>
      <c r="F19" s="22"/>
      <c r="G19" s="22">
        <v>0.82399999999999995</v>
      </c>
      <c r="H19" s="22"/>
      <c r="I19" s="22"/>
      <c r="J19" s="22"/>
      <c r="K19" s="22"/>
      <c r="L19" s="22"/>
      <c r="M19" s="22"/>
      <c r="N19" s="22"/>
      <c r="O19" s="22">
        <v>0.82399999999999995</v>
      </c>
      <c r="P19" s="22">
        <v>0.871</v>
      </c>
      <c r="Q19" s="22">
        <v>0.68300000000000005</v>
      </c>
      <c r="R19" s="22"/>
      <c r="S19" s="22">
        <v>0.90300000000000002</v>
      </c>
      <c r="T19" s="22">
        <v>0.9</v>
      </c>
      <c r="U19" s="22"/>
    </row>
    <row r="20" spans="1:22" x14ac:dyDescent="0.55000000000000004">
      <c r="A20" s="41" t="str">
        <f>'Population Definitions'!$A$6</f>
        <v>PLHIV 15-64</v>
      </c>
      <c r="B20" s="41" t="s">
        <v>10</v>
      </c>
      <c r="C20" s="12" t="str">
        <f t="shared" si="1"/>
        <v>N.A.</v>
      </c>
      <c r="D20" s="41" t="s">
        <v>16</v>
      </c>
      <c r="E20" s="47"/>
      <c r="F20" s="22"/>
      <c r="G20" s="22">
        <v>0.82399999999999995</v>
      </c>
      <c r="H20" s="22"/>
      <c r="I20" s="22"/>
      <c r="J20" s="22"/>
      <c r="K20" s="22"/>
      <c r="L20" s="22"/>
      <c r="M20" s="22"/>
      <c r="N20" s="22"/>
      <c r="O20" s="22">
        <v>0.82399999999999995</v>
      </c>
      <c r="P20" s="22">
        <v>0.871</v>
      </c>
      <c r="Q20" s="22">
        <v>0.68300000000000005</v>
      </c>
      <c r="R20" s="22"/>
      <c r="S20" s="22">
        <v>0.90300000000000002</v>
      </c>
      <c r="T20" s="22">
        <v>0.9</v>
      </c>
      <c r="U20" s="22"/>
    </row>
    <row r="21" spans="1:22" x14ac:dyDescent="0.55000000000000004">
      <c r="A21" s="41" t="str">
        <f>'Population Definitions'!$A$7</f>
        <v>PLHIV 65+</v>
      </c>
      <c r="B21" s="41" t="s">
        <v>10</v>
      </c>
      <c r="C21" s="12" t="str">
        <f t="shared" si="1"/>
        <v>N.A.</v>
      </c>
      <c r="D21" s="41" t="s">
        <v>16</v>
      </c>
      <c r="E21" s="47"/>
      <c r="F21" s="22"/>
      <c r="G21" s="22">
        <v>0.82399999999999995</v>
      </c>
      <c r="H21" s="22"/>
      <c r="I21" s="22"/>
      <c r="J21" s="22"/>
      <c r="K21" s="22"/>
      <c r="L21" s="22"/>
      <c r="M21" s="22"/>
      <c r="N21" s="22"/>
      <c r="O21" s="22">
        <v>0.82399999999999995</v>
      </c>
      <c r="P21" s="22">
        <v>0.871</v>
      </c>
      <c r="Q21" s="22">
        <v>0.68300000000000005</v>
      </c>
      <c r="R21" s="22"/>
      <c r="S21" s="22">
        <v>0.90300000000000002</v>
      </c>
      <c r="T21" s="22">
        <v>0.9</v>
      </c>
      <c r="U21" s="22"/>
    </row>
    <row r="22" spans="1:22" x14ac:dyDescent="0.55000000000000004">
      <c r="A22" s="41" t="str">
        <f>'Population Definitions'!$A$8</f>
        <v>Prisoners</v>
      </c>
      <c r="B22" s="41" t="s">
        <v>10</v>
      </c>
      <c r="C22" s="12" t="str">
        <f t="shared" si="1"/>
        <v>N.A.</v>
      </c>
      <c r="D22" s="41" t="s">
        <v>16</v>
      </c>
      <c r="E22" s="47"/>
      <c r="F22" s="22"/>
      <c r="G22" s="22">
        <v>0.82399999999999995</v>
      </c>
      <c r="H22" s="22"/>
      <c r="I22" s="22"/>
      <c r="J22" s="22"/>
      <c r="K22" s="22"/>
      <c r="L22" s="22"/>
      <c r="M22" s="22"/>
      <c r="N22" s="22"/>
      <c r="O22" s="22">
        <v>0.82399999999999995</v>
      </c>
      <c r="P22" s="22">
        <v>0.871</v>
      </c>
      <c r="Q22" s="22">
        <v>0.68300000000000005</v>
      </c>
      <c r="R22" s="22"/>
      <c r="S22" s="22">
        <v>0.90300000000000002</v>
      </c>
      <c r="T22" s="22">
        <v>0.9</v>
      </c>
      <c r="U22" s="22"/>
    </row>
    <row r="23" spans="1:22" x14ac:dyDescent="0.55000000000000004">
      <c r="A23" s="41" t="str">
        <f>'Population Definitions'!$A$9</f>
        <v>PLHIV Prisoners</v>
      </c>
      <c r="B23" s="41" t="s">
        <v>10</v>
      </c>
      <c r="C23" s="12" t="str">
        <f t="shared" si="1"/>
        <v>N.A.</v>
      </c>
      <c r="D23" s="41" t="s">
        <v>16</v>
      </c>
      <c r="E23" s="47"/>
      <c r="F23" s="22"/>
      <c r="G23" s="22">
        <v>0.82399999999999995</v>
      </c>
      <c r="H23" s="22"/>
      <c r="I23" s="22"/>
      <c r="J23" s="22"/>
      <c r="K23" s="22"/>
      <c r="L23" s="22"/>
      <c r="M23" s="22"/>
      <c r="N23" s="22"/>
      <c r="O23" s="22">
        <v>0.82399999999999995</v>
      </c>
      <c r="P23" s="22">
        <v>0.871</v>
      </c>
      <c r="Q23" s="22">
        <v>0.68300000000000005</v>
      </c>
      <c r="R23" s="22"/>
      <c r="S23" s="22">
        <v>0.90300000000000002</v>
      </c>
      <c r="T23" s="22">
        <v>0.9</v>
      </c>
      <c r="U23" s="22"/>
    </row>
    <row r="24" spans="1:22" x14ac:dyDescent="0.55000000000000004">
      <c r="A24" s="41" t="str">
        <f>'Population Definitions'!$A$10</f>
        <v>HCW</v>
      </c>
      <c r="B24" s="41" t="s">
        <v>10</v>
      </c>
      <c r="C24" s="12">
        <f t="shared" si="1"/>
        <v>0.59</v>
      </c>
      <c r="D24" s="41" t="s">
        <v>16</v>
      </c>
      <c r="E24" s="47"/>
      <c r="F24" s="22"/>
      <c r="G24" s="22"/>
      <c r="H24" s="22"/>
      <c r="I24" s="22"/>
      <c r="J24" s="22"/>
      <c r="K24" s="22"/>
      <c r="L24" s="22"/>
      <c r="M24" s="22"/>
      <c r="N24" s="22"/>
      <c r="O24" s="22"/>
      <c r="P24" s="22"/>
      <c r="Q24" s="22"/>
      <c r="R24" s="22"/>
      <c r="S24" s="22"/>
      <c r="T24" s="22"/>
      <c r="U24" s="22"/>
    </row>
    <row r="25" spans="1:22" x14ac:dyDescent="0.55000000000000004">
      <c r="A25" s="41" t="str">
        <f>'Population Definitions'!$A$11</f>
        <v>PLHIV HCW</v>
      </c>
      <c r="B25" s="41" t="s">
        <v>10</v>
      </c>
      <c r="C25" s="12">
        <f t="shared" si="1"/>
        <v>0.59</v>
      </c>
      <c r="D25" s="41" t="s">
        <v>16</v>
      </c>
      <c r="E25" s="47"/>
      <c r="F25" s="22"/>
      <c r="G25" s="22"/>
      <c r="H25" s="22"/>
      <c r="I25" s="22"/>
      <c r="J25" s="22"/>
      <c r="K25" s="22"/>
      <c r="L25" s="22"/>
      <c r="M25" s="22"/>
      <c r="N25" s="22"/>
      <c r="O25" s="22"/>
      <c r="P25" s="22"/>
      <c r="Q25" s="22"/>
      <c r="R25" s="22"/>
      <c r="S25" s="22"/>
      <c r="T25" s="22"/>
      <c r="U25" s="22"/>
    </row>
    <row r="26" spans="1:22" x14ac:dyDescent="0.55000000000000004">
      <c r="A26" s="41" t="str">
        <f>'Population Definitions'!$A$12</f>
        <v>Miners</v>
      </c>
      <c r="B26" s="41" t="s">
        <v>10</v>
      </c>
      <c r="C26" s="12" t="str">
        <f t="shared" si="1"/>
        <v>N.A.</v>
      </c>
      <c r="D26" s="41" t="s">
        <v>16</v>
      </c>
      <c r="E26" s="47"/>
      <c r="F26" s="22"/>
      <c r="G26" s="22"/>
      <c r="H26" s="22"/>
      <c r="I26" s="22"/>
      <c r="J26" s="22"/>
      <c r="K26" s="22"/>
      <c r="L26" s="22"/>
      <c r="M26" s="22"/>
      <c r="N26" s="22"/>
      <c r="O26" s="22"/>
      <c r="P26" s="22"/>
      <c r="Q26" s="22"/>
      <c r="R26" s="22"/>
      <c r="S26" s="22"/>
      <c r="T26" s="48">
        <v>0.93759999999999999</v>
      </c>
      <c r="U26" s="22"/>
    </row>
    <row r="27" spans="1:22" x14ac:dyDescent="0.55000000000000004">
      <c r="A27" s="41" t="str">
        <f>'Population Definitions'!$A$13</f>
        <v>PLHIV Miners</v>
      </c>
      <c r="B27" s="41" t="s">
        <v>10</v>
      </c>
      <c r="C27" s="12" t="str">
        <f t="shared" si="1"/>
        <v>N.A.</v>
      </c>
      <c r="D27" s="41" t="s">
        <v>16</v>
      </c>
      <c r="E27" s="47"/>
      <c r="F27" s="22"/>
      <c r="G27" s="22"/>
      <c r="H27" s="22"/>
      <c r="I27" s="22"/>
      <c r="J27" s="22"/>
      <c r="K27" s="22"/>
      <c r="L27" s="22"/>
      <c r="M27" s="22"/>
      <c r="N27" s="22"/>
      <c r="O27" s="22"/>
      <c r="P27" s="22"/>
      <c r="Q27" s="22"/>
      <c r="R27" s="22"/>
      <c r="S27" s="22"/>
      <c r="T27" s="22">
        <v>0.93759999999999999</v>
      </c>
      <c r="U27" s="22"/>
    </row>
    <row r="28" spans="1:22" x14ac:dyDescent="0.55000000000000004">
      <c r="A28" s="37"/>
      <c r="B28" s="37"/>
      <c r="C28" s="37"/>
      <c r="D28" s="37"/>
      <c r="E28" s="37"/>
      <c r="F28" s="37"/>
      <c r="G28" s="37"/>
      <c r="H28" s="37"/>
      <c r="I28" s="37"/>
      <c r="J28" s="37"/>
      <c r="K28" s="37"/>
      <c r="L28" s="37"/>
      <c r="M28" s="37"/>
      <c r="N28" s="37"/>
      <c r="O28" s="37"/>
      <c r="P28" s="37"/>
      <c r="Q28" s="37"/>
      <c r="R28" s="37"/>
      <c r="S28" s="37"/>
      <c r="T28" s="37"/>
      <c r="U28" s="37"/>
    </row>
    <row r="29" spans="1:22" x14ac:dyDescent="0.55000000000000004">
      <c r="A29" s="21" t="s">
        <v>38</v>
      </c>
      <c r="B29" s="41" t="s">
        <v>8</v>
      </c>
      <c r="C29" s="41" t="s">
        <v>9</v>
      </c>
      <c r="D29" s="41"/>
      <c r="E29" s="41">
        <v>2000</v>
      </c>
      <c r="F29" s="41">
        <v>2001</v>
      </c>
      <c r="G29" s="41">
        <v>2002</v>
      </c>
      <c r="H29" s="41">
        <v>2003</v>
      </c>
      <c r="I29" s="41">
        <v>2004</v>
      </c>
      <c r="J29" s="41">
        <v>2005</v>
      </c>
      <c r="K29" s="41">
        <v>2006</v>
      </c>
      <c r="L29" s="41">
        <v>2007</v>
      </c>
      <c r="M29" s="41">
        <v>2008</v>
      </c>
      <c r="N29" s="41">
        <v>2009</v>
      </c>
      <c r="O29" s="41">
        <v>2010</v>
      </c>
      <c r="P29" s="41">
        <v>2011</v>
      </c>
      <c r="Q29" s="41">
        <v>2012</v>
      </c>
      <c r="R29" s="41">
        <v>2013</v>
      </c>
      <c r="S29" s="41">
        <v>2014</v>
      </c>
      <c r="T29" s="41">
        <v>2015</v>
      </c>
      <c r="U29" s="41">
        <v>2016</v>
      </c>
    </row>
    <row r="30" spans="1:22" x14ac:dyDescent="0.55000000000000004">
      <c r="A30" s="41" t="str">
        <f>'Population Definitions'!$A$2</f>
        <v>Gen 0-4</v>
      </c>
      <c r="B30" s="41" t="s">
        <v>10</v>
      </c>
      <c r="C30" s="12" t="str">
        <f t="shared" ref="C30:C41" si="2">IF(SUMPRODUCT(--(E30:U30&lt;&gt;""))=0,0.05,"N.A.")</f>
        <v>N.A.</v>
      </c>
      <c r="D30" s="41" t="s">
        <v>16</v>
      </c>
      <c r="E30" s="47"/>
      <c r="F30" s="22"/>
      <c r="G30" s="22"/>
      <c r="H30" s="22">
        <v>0.12690191000323731</v>
      </c>
      <c r="I30" s="22">
        <v>0.1290866194809572</v>
      </c>
      <c r="J30" s="22"/>
      <c r="K30" s="22"/>
      <c r="L30" s="22">
        <v>0.11751930501930502</v>
      </c>
      <c r="M30" s="22"/>
      <c r="N30" s="22">
        <v>8.7855297157622733E-2</v>
      </c>
      <c r="O30" s="22">
        <v>8.0291970802919707E-2</v>
      </c>
      <c r="P30" s="22">
        <v>4.9977688531905401E-2</v>
      </c>
      <c r="Q30" s="22">
        <v>5.0980392156862744E-2</v>
      </c>
      <c r="R30" s="22">
        <v>5.4147772739397172E-2</v>
      </c>
      <c r="S30" s="22">
        <v>5.0324675324675328E-2</v>
      </c>
      <c r="T30" s="22">
        <v>4.1752224503764541E-2</v>
      </c>
      <c r="U30" s="22"/>
    </row>
    <row r="31" spans="1:22" x14ac:dyDescent="0.55000000000000004">
      <c r="A31" s="41" t="str">
        <f>'Population Definitions'!$A$3</f>
        <v>Gen 5-14</v>
      </c>
      <c r="B31" s="41" t="s">
        <v>10</v>
      </c>
      <c r="C31" s="12" t="str">
        <f t="shared" si="2"/>
        <v>N.A.</v>
      </c>
      <c r="D31" s="41" t="s">
        <v>16</v>
      </c>
      <c r="E31" s="47"/>
      <c r="F31" s="22"/>
      <c r="G31" s="22"/>
      <c r="H31" s="22">
        <v>0.1133879781420765</v>
      </c>
      <c r="I31" s="22">
        <v>0.11237298266586969</v>
      </c>
      <c r="J31" s="22"/>
      <c r="K31" s="22"/>
      <c r="L31" s="22">
        <v>8.8495575221238937E-2</v>
      </c>
      <c r="M31" s="22"/>
      <c r="N31" s="22">
        <v>8.75405280222325E-2</v>
      </c>
      <c r="O31" s="22"/>
      <c r="P31" s="22">
        <v>4.1591320072332731E-2</v>
      </c>
      <c r="Q31" s="22">
        <v>3.834355828220859E-2</v>
      </c>
      <c r="R31" s="22">
        <v>4.4099378881987575E-2</v>
      </c>
      <c r="S31" s="22">
        <v>3.9321511179645337E-2</v>
      </c>
      <c r="T31" s="22">
        <v>3.5859820700896494E-2</v>
      </c>
      <c r="U31" s="22"/>
    </row>
    <row r="32" spans="1:22" x14ac:dyDescent="0.55000000000000004">
      <c r="A32" s="41" t="str">
        <f>'Population Definitions'!$A$4</f>
        <v>Gen 15-64</v>
      </c>
      <c r="B32" s="41" t="s">
        <v>10</v>
      </c>
      <c r="C32" s="12" t="str">
        <f t="shared" si="2"/>
        <v>N.A.</v>
      </c>
      <c r="D32" s="41" t="s">
        <v>16</v>
      </c>
      <c r="E32" s="47"/>
      <c r="F32" s="22"/>
      <c r="G32" s="22"/>
      <c r="H32" s="22">
        <v>0.15780842091170763</v>
      </c>
      <c r="I32" s="22">
        <v>0.13122721749696234</v>
      </c>
      <c r="J32" s="22"/>
      <c r="K32" s="22"/>
      <c r="L32" s="22">
        <v>0.12801951420260921</v>
      </c>
      <c r="M32" s="22"/>
      <c r="N32" s="22">
        <v>0.11693734518564772</v>
      </c>
      <c r="O32" s="22"/>
      <c r="P32" s="22"/>
      <c r="Q32" s="22">
        <v>8.7488316109183964E-2</v>
      </c>
      <c r="R32" s="22">
        <v>7.6886747284385951E-2</v>
      </c>
      <c r="S32" s="22">
        <v>6.9641955504940248E-2</v>
      </c>
      <c r="T32" s="22">
        <v>6.9810943466733361E-2</v>
      </c>
      <c r="U32" s="22"/>
      <c r="V32" s="53"/>
    </row>
    <row r="33" spans="1:23" x14ac:dyDescent="0.55000000000000004">
      <c r="A33" s="41" t="str">
        <f>'Population Definitions'!$A$5</f>
        <v>Gen 65+</v>
      </c>
      <c r="B33" s="41" t="s">
        <v>10</v>
      </c>
      <c r="C33" s="12" t="str">
        <f t="shared" si="2"/>
        <v>N.A.</v>
      </c>
      <c r="D33" s="41" t="s">
        <v>16</v>
      </c>
      <c r="E33" s="47"/>
      <c r="F33" s="22"/>
      <c r="G33" s="22"/>
      <c r="H33" s="22">
        <v>0.1333333333333333</v>
      </c>
      <c r="I33" s="22">
        <v>0.10920770877944322</v>
      </c>
      <c r="J33" s="22"/>
      <c r="K33" s="22">
        <v>0.10461538461538462</v>
      </c>
      <c r="L33" s="22">
        <v>0.10574765626588756</v>
      </c>
      <c r="M33" s="22"/>
      <c r="N33" s="22">
        <v>0.10023373932599088</v>
      </c>
      <c r="O33" s="22"/>
      <c r="P33" s="22">
        <v>7.9566258273482598E-2</v>
      </c>
      <c r="Q33" s="22">
        <v>6.3890405467977918E-2</v>
      </c>
      <c r="R33" s="22">
        <v>7.7663265401036199E-2</v>
      </c>
      <c r="S33" s="22">
        <v>6.7228847400140485E-2</v>
      </c>
      <c r="T33" s="22">
        <v>4.3518375341477247E-2</v>
      </c>
      <c r="U33" s="22"/>
      <c r="V33" s="54"/>
    </row>
    <row r="34" spans="1:23" x14ac:dyDescent="0.55000000000000004">
      <c r="A34" s="41" t="str">
        <f>'Population Definitions'!$A$6</f>
        <v>PLHIV 15-64</v>
      </c>
      <c r="B34" s="41" t="s">
        <v>10</v>
      </c>
      <c r="C34" s="12" t="str">
        <f t="shared" si="2"/>
        <v>N.A.</v>
      </c>
      <c r="D34" s="41" t="s">
        <v>16</v>
      </c>
      <c r="E34" s="47"/>
      <c r="F34" s="22"/>
      <c r="G34" s="22"/>
      <c r="H34" s="22">
        <v>0.15783623078369768</v>
      </c>
      <c r="I34" s="22">
        <v>0.13125925929346685</v>
      </c>
      <c r="J34" s="22">
        <v>0.11387649433581779</v>
      </c>
      <c r="K34" s="22">
        <v>0.11538287201108939</v>
      </c>
      <c r="L34" s="22">
        <v>0.12754313300908782</v>
      </c>
      <c r="M34" s="22">
        <v>0.10388573183873054</v>
      </c>
      <c r="N34" s="22">
        <v>0.11895971196237486</v>
      </c>
      <c r="O34" s="22">
        <v>0.12344685515806607</v>
      </c>
      <c r="P34" s="22">
        <v>0.10868301378108965</v>
      </c>
      <c r="Q34" s="22">
        <v>9.560733710659218E-2</v>
      </c>
      <c r="R34" s="22">
        <v>8.213988447690064E-2</v>
      </c>
      <c r="S34" s="22">
        <v>7.1167404435899306E-2</v>
      </c>
      <c r="T34" s="22">
        <v>6.8420760896606897E-2</v>
      </c>
      <c r="U34" s="22"/>
    </row>
    <row r="35" spans="1:23" x14ac:dyDescent="0.55000000000000004">
      <c r="A35" s="41" t="str">
        <f>'Population Definitions'!$A$7</f>
        <v>PLHIV 65+</v>
      </c>
      <c r="B35" s="41" t="s">
        <v>10</v>
      </c>
      <c r="C35" s="12" t="str">
        <f t="shared" si="2"/>
        <v>N.A.</v>
      </c>
      <c r="D35" s="41" t="s">
        <v>16</v>
      </c>
      <c r="E35" s="47"/>
      <c r="F35" s="22"/>
      <c r="G35" s="22"/>
      <c r="H35" s="22">
        <v>0.13333333333333333</v>
      </c>
      <c r="I35" s="22">
        <v>0.10920770877944325</v>
      </c>
      <c r="J35" s="22">
        <v>8.2812499999999997E-2</v>
      </c>
      <c r="K35" s="22">
        <v>0.10461538461538464</v>
      </c>
      <c r="L35" s="22">
        <v>0.10877457573095552</v>
      </c>
      <c r="M35" s="22">
        <v>5.8973365187897579E-2</v>
      </c>
      <c r="N35" s="22">
        <v>0.11554136323801989</v>
      </c>
      <c r="O35" s="22">
        <v>9.1344647246847113E-2</v>
      </c>
      <c r="P35" s="22">
        <v>7.3647333952645708E-2</v>
      </c>
      <c r="Q35" s="22">
        <v>7.6155286776611444E-2</v>
      </c>
      <c r="R35" s="22">
        <v>5.856099540167703E-2</v>
      </c>
      <c r="S35" s="22">
        <v>6.5839305482724458E-2</v>
      </c>
      <c r="T35" s="22">
        <v>4.8122548616253875E-2</v>
      </c>
      <c r="U35" s="22"/>
    </row>
    <row r="36" spans="1:23" x14ac:dyDescent="0.55000000000000004">
      <c r="A36" s="41" t="str">
        <f>'Population Definitions'!$A$8</f>
        <v>Prisoners</v>
      </c>
      <c r="B36" s="41" t="s">
        <v>10</v>
      </c>
      <c r="C36" s="12" t="str">
        <f t="shared" si="2"/>
        <v>N.A.</v>
      </c>
      <c r="D36" s="41" t="s">
        <v>16</v>
      </c>
      <c r="E36" s="47"/>
      <c r="F36" s="22"/>
      <c r="G36" s="22"/>
      <c r="H36" s="22">
        <v>0.38012958963282939</v>
      </c>
      <c r="I36" s="22">
        <v>0.34711964549483015</v>
      </c>
      <c r="J36" s="22"/>
      <c r="K36" s="22"/>
      <c r="L36" s="22">
        <v>0.10393258426966293</v>
      </c>
      <c r="M36" s="22"/>
      <c r="N36" s="22"/>
      <c r="O36" s="22"/>
      <c r="P36" s="22">
        <v>4.0316346554082186E-2</v>
      </c>
      <c r="Q36" s="22">
        <v>4.98776268039497E-2</v>
      </c>
      <c r="R36" s="22"/>
      <c r="S36" s="22">
        <v>4.8024732147071314E-2</v>
      </c>
      <c r="T36" s="22">
        <v>3.4267026873311526E-2</v>
      </c>
      <c r="U36" s="22"/>
    </row>
    <row r="37" spans="1:23" x14ac:dyDescent="0.55000000000000004">
      <c r="A37" s="41" t="str">
        <f>'Population Definitions'!$A$9</f>
        <v>PLHIV Prisoners</v>
      </c>
      <c r="B37" s="41" t="s">
        <v>10</v>
      </c>
      <c r="C37" s="12" t="str">
        <f t="shared" si="2"/>
        <v>N.A.</v>
      </c>
      <c r="D37" s="41" t="s">
        <v>16</v>
      </c>
      <c r="E37" s="47"/>
      <c r="F37" s="22"/>
      <c r="G37" s="22"/>
      <c r="H37" s="22">
        <v>0.38012958963282939</v>
      </c>
      <c r="I37" s="22">
        <v>0.3471196454948301</v>
      </c>
      <c r="J37" s="22"/>
      <c r="K37" s="22"/>
      <c r="L37" s="22"/>
      <c r="M37" s="22">
        <v>0.17735495168108789</v>
      </c>
      <c r="N37" s="22">
        <v>0.11118230299264784</v>
      </c>
      <c r="O37" s="22">
        <v>0.1021170703273874</v>
      </c>
      <c r="P37" s="22"/>
      <c r="Q37" s="22"/>
      <c r="R37" s="22"/>
      <c r="S37" s="22">
        <v>9.3275464708036271E-2</v>
      </c>
      <c r="T37" s="22">
        <v>4.5643939393939396E-2</v>
      </c>
      <c r="U37" s="22"/>
      <c r="W37" s="53"/>
    </row>
    <row r="38" spans="1:23" x14ac:dyDescent="0.55000000000000004">
      <c r="A38" s="41" t="str">
        <f>'Population Definitions'!$A$10</f>
        <v>HCW</v>
      </c>
      <c r="B38" s="41" t="s">
        <v>10</v>
      </c>
      <c r="C38" s="12">
        <f t="shared" si="2"/>
        <v>0.05</v>
      </c>
      <c r="D38" s="41" t="s">
        <v>16</v>
      </c>
      <c r="E38" s="47"/>
      <c r="F38" s="22"/>
      <c r="G38" s="22"/>
      <c r="H38" s="22"/>
      <c r="I38" s="22"/>
      <c r="J38" s="22"/>
      <c r="K38" s="22"/>
      <c r="L38" s="22"/>
      <c r="M38" s="22"/>
      <c r="N38" s="22"/>
      <c r="O38" s="22"/>
      <c r="P38" s="22"/>
      <c r="Q38" s="22"/>
      <c r="R38" s="22"/>
      <c r="S38" s="22"/>
      <c r="T38" s="22"/>
      <c r="U38" s="22"/>
      <c r="W38" s="53"/>
    </row>
    <row r="39" spans="1:23" x14ac:dyDescent="0.55000000000000004">
      <c r="A39" s="41" t="str">
        <f>'Population Definitions'!$A$11</f>
        <v>PLHIV HCW</v>
      </c>
      <c r="B39" s="41" t="s">
        <v>10</v>
      </c>
      <c r="C39" s="12">
        <f t="shared" si="2"/>
        <v>0.05</v>
      </c>
      <c r="D39" s="41" t="s">
        <v>16</v>
      </c>
      <c r="E39" s="47"/>
      <c r="F39" s="22"/>
      <c r="G39" s="22"/>
      <c r="H39" s="22"/>
      <c r="I39" s="22"/>
      <c r="J39" s="22"/>
      <c r="K39" s="22"/>
      <c r="L39" s="22"/>
      <c r="M39" s="22"/>
      <c r="N39" s="22"/>
      <c r="O39" s="22"/>
      <c r="P39" s="22"/>
      <c r="Q39" s="22"/>
      <c r="R39" s="22"/>
      <c r="S39" s="22"/>
      <c r="T39" s="22"/>
      <c r="U39" s="22"/>
    </row>
    <row r="40" spans="1:23" x14ac:dyDescent="0.55000000000000004">
      <c r="A40" s="41" t="str">
        <f>'Population Definitions'!$A$12</f>
        <v>Miners</v>
      </c>
      <c r="B40" s="41" t="s">
        <v>10</v>
      </c>
      <c r="C40" s="12">
        <f t="shared" si="2"/>
        <v>0.05</v>
      </c>
      <c r="D40" s="41" t="s">
        <v>16</v>
      </c>
      <c r="E40" s="47"/>
      <c r="F40" s="22"/>
      <c r="G40" s="22"/>
      <c r="H40" s="22"/>
      <c r="I40" s="22"/>
      <c r="J40" s="22"/>
      <c r="K40" s="22"/>
      <c r="L40" s="22"/>
      <c r="M40" s="22"/>
      <c r="N40" s="22"/>
      <c r="O40" s="22"/>
      <c r="P40" s="22"/>
      <c r="Q40" s="22"/>
      <c r="R40" s="22"/>
      <c r="S40" s="22"/>
      <c r="T40" s="22"/>
      <c r="U40" s="22"/>
    </row>
    <row r="41" spans="1:23" x14ac:dyDescent="0.55000000000000004">
      <c r="A41" s="41" t="str">
        <f>'Population Definitions'!$A$13</f>
        <v>PLHIV Miners</v>
      </c>
      <c r="B41" s="41" t="s">
        <v>10</v>
      </c>
      <c r="C41" s="12">
        <f t="shared" si="2"/>
        <v>0.05</v>
      </c>
      <c r="D41" s="41" t="s">
        <v>16</v>
      </c>
      <c r="E41" s="47"/>
      <c r="F41" s="22"/>
      <c r="G41" s="22"/>
      <c r="H41" s="22"/>
      <c r="I41" s="22"/>
      <c r="J41" s="22"/>
      <c r="K41" s="22"/>
      <c r="L41" s="22"/>
      <c r="M41" s="22"/>
      <c r="N41" s="22"/>
      <c r="O41" s="22"/>
      <c r="P41" s="22"/>
      <c r="Q41" s="22"/>
      <c r="R41" s="22"/>
      <c r="S41" s="22"/>
      <c r="T41" s="22"/>
      <c r="U41" s="22"/>
    </row>
    <row r="42" spans="1:23" x14ac:dyDescent="0.55000000000000004">
      <c r="A42" s="37"/>
      <c r="B42" s="37"/>
      <c r="C42" s="37"/>
      <c r="D42" s="37"/>
      <c r="E42" s="37"/>
      <c r="F42" s="37"/>
      <c r="G42" s="37"/>
      <c r="H42" s="37"/>
      <c r="I42" s="37"/>
      <c r="J42" s="37"/>
      <c r="K42" s="37"/>
      <c r="L42" s="37"/>
      <c r="M42" s="37"/>
      <c r="N42" s="37"/>
      <c r="O42" s="37"/>
      <c r="P42" s="37"/>
      <c r="Q42" s="37"/>
      <c r="R42" s="37"/>
      <c r="S42" s="37"/>
      <c r="T42" s="37"/>
      <c r="U42" s="37"/>
    </row>
    <row r="43" spans="1:23" x14ac:dyDescent="0.55000000000000004">
      <c r="A43" s="21" t="s">
        <v>45</v>
      </c>
      <c r="B43" s="41" t="s">
        <v>8</v>
      </c>
      <c r="C43" s="41" t="s">
        <v>9</v>
      </c>
      <c r="D43" s="41"/>
      <c r="E43" s="41">
        <v>2000</v>
      </c>
      <c r="F43" s="41">
        <v>2001</v>
      </c>
      <c r="G43" s="41">
        <v>2002</v>
      </c>
      <c r="H43" s="41">
        <v>2003</v>
      </c>
      <c r="I43" s="41">
        <v>2004</v>
      </c>
      <c r="J43" s="41">
        <v>2005</v>
      </c>
      <c r="K43" s="41">
        <v>2006</v>
      </c>
      <c r="L43" s="41">
        <v>2007</v>
      </c>
      <c r="M43" s="41">
        <v>2008</v>
      </c>
      <c r="N43" s="41">
        <v>2009</v>
      </c>
      <c r="O43" s="41">
        <v>2010</v>
      </c>
      <c r="P43" s="41">
        <v>2011</v>
      </c>
      <c r="Q43" s="41">
        <v>2012</v>
      </c>
      <c r="R43" s="41">
        <v>2013</v>
      </c>
      <c r="S43" s="41">
        <v>2014</v>
      </c>
      <c r="T43" s="41">
        <v>2015</v>
      </c>
      <c r="U43" s="41">
        <v>2016</v>
      </c>
    </row>
    <row r="44" spans="1:23" x14ac:dyDescent="0.55000000000000004">
      <c r="A44" s="41" t="str">
        <f>'Population Definitions'!$A$2</f>
        <v>Gen 0-4</v>
      </c>
      <c r="B44" s="41" t="s">
        <v>10</v>
      </c>
      <c r="C44" s="12" t="str">
        <f t="shared" ref="C44:C55" si="3">IF(SUMPRODUCT(--(E44:U44&lt;&gt;""))=0,0.83,"N.A.")</f>
        <v>N.A.</v>
      </c>
      <c r="D44" s="41" t="s">
        <v>16</v>
      </c>
      <c r="E44" s="47"/>
      <c r="F44" s="22"/>
      <c r="G44" s="22"/>
      <c r="H44" s="22">
        <v>0.83004208481709296</v>
      </c>
      <c r="I44" s="22">
        <v>0.82002022244691608</v>
      </c>
      <c r="J44" s="22">
        <v>0.88652482269503541</v>
      </c>
      <c r="K44" s="22">
        <v>0.87963843958135113</v>
      </c>
      <c r="L44" s="22">
        <v>0.84242277992277992</v>
      </c>
      <c r="M44" s="22">
        <v>0.89597086273617121</v>
      </c>
      <c r="N44" s="22">
        <v>0.88771435283063194</v>
      </c>
      <c r="O44" s="22">
        <v>0.90208910143468413</v>
      </c>
      <c r="P44" s="22">
        <v>0.93596608656849622</v>
      </c>
      <c r="Q44" s="22">
        <v>0.93568627450980391</v>
      </c>
      <c r="R44" s="22">
        <v>0.93331555081355033</v>
      </c>
      <c r="S44" s="22">
        <v>0.93733766233766236</v>
      </c>
      <c r="T44" s="22">
        <v>0.94558521560574949</v>
      </c>
      <c r="U44" s="22"/>
    </row>
    <row r="45" spans="1:23" x14ac:dyDescent="0.55000000000000004">
      <c r="A45" s="41" t="str">
        <f>'Population Definitions'!$A$3</f>
        <v>Gen 5-14</v>
      </c>
      <c r="B45" s="41" t="s">
        <v>10</v>
      </c>
      <c r="C45" s="12" t="str">
        <f t="shared" si="3"/>
        <v>N.A.</v>
      </c>
      <c r="D45" s="41" t="s">
        <v>16</v>
      </c>
      <c r="E45" s="47"/>
      <c r="F45" s="22"/>
      <c r="G45" s="22"/>
      <c r="H45" s="22">
        <v>0.85314207650273222</v>
      </c>
      <c r="I45" s="22">
        <v>0.83263598326359833</v>
      </c>
      <c r="J45" s="22">
        <v>0.89219330855018586</v>
      </c>
      <c r="K45" s="22">
        <v>0.873269435569755</v>
      </c>
      <c r="L45" s="22">
        <v>0.87610619469026552</v>
      </c>
      <c r="M45" s="22">
        <v>0.90651307044749663</v>
      </c>
      <c r="N45" s="22">
        <v>0.88559518295507178</v>
      </c>
      <c r="O45" s="22">
        <v>0.89358528095474887</v>
      </c>
      <c r="P45" s="22">
        <v>0.93761301989150092</v>
      </c>
      <c r="Q45" s="22">
        <v>0.94734151329243355</v>
      </c>
      <c r="R45" s="22">
        <v>0.94099378881987583</v>
      </c>
      <c r="S45" s="22">
        <v>0.93754818812644569</v>
      </c>
      <c r="T45" s="22">
        <v>0.93887530562347188</v>
      </c>
      <c r="U45" s="22"/>
    </row>
    <row r="46" spans="1:23" x14ac:dyDescent="0.55000000000000004">
      <c r="A46" s="41" t="str">
        <f>'Population Definitions'!$A$4</f>
        <v>Gen 15-64</v>
      </c>
      <c r="B46" s="41" t="s">
        <v>10</v>
      </c>
      <c r="C46" s="12" t="str">
        <f t="shared" si="3"/>
        <v>N.A.</v>
      </c>
      <c r="D46" s="41" t="s">
        <v>16</v>
      </c>
      <c r="E46" s="47"/>
      <c r="F46" s="22"/>
      <c r="G46" s="22"/>
      <c r="H46" s="22">
        <v>0.72421179463150154</v>
      </c>
      <c r="I46" s="22">
        <v>0.74295261239368171</v>
      </c>
      <c r="J46" s="22">
        <v>0.75441127224955573</v>
      </c>
      <c r="K46" s="22">
        <v>0.76850747270232711</v>
      </c>
      <c r="L46" s="22">
        <v>0.76313932399588613</v>
      </c>
      <c r="M46" s="22">
        <v>0.81120008641523145</v>
      </c>
      <c r="N46" s="22">
        <v>0.81736360284413834</v>
      </c>
      <c r="O46" s="22">
        <v>0.82369956980646253</v>
      </c>
      <c r="P46" s="22">
        <v>0.83941445019082661</v>
      </c>
      <c r="Q46" s="22">
        <v>0.87059440009749156</v>
      </c>
      <c r="R46" s="22">
        <v>0.88368562949790774</v>
      </c>
      <c r="S46" s="22">
        <v>0.89042121466047164</v>
      </c>
      <c r="T46" s="22">
        <v>0.89233197402238951</v>
      </c>
      <c r="U46" s="22"/>
    </row>
    <row r="47" spans="1:23" x14ac:dyDescent="0.55000000000000004">
      <c r="A47" s="41" t="str">
        <f>'Population Definitions'!$A$5</f>
        <v>Gen 65+</v>
      </c>
      <c r="B47" s="41" t="s">
        <v>10</v>
      </c>
      <c r="C47" s="12" t="str">
        <f t="shared" si="3"/>
        <v>N.A.</v>
      </c>
      <c r="D47" s="41" t="s">
        <v>16</v>
      </c>
      <c r="E47" s="47"/>
      <c r="F47" s="22"/>
      <c r="G47" s="22"/>
      <c r="H47" s="22">
        <v>0.62666666666666659</v>
      </c>
      <c r="I47" s="22">
        <v>0.65952890792291208</v>
      </c>
      <c r="J47" s="22">
        <v>0.69531250000000011</v>
      </c>
      <c r="K47" s="22">
        <v>0.66</v>
      </c>
      <c r="L47" s="22">
        <v>0.67997098718148585</v>
      </c>
      <c r="M47" s="22">
        <v>0.73061564869581486</v>
      </c>
      <c r="N47" s="22">
        <v>0.69669415894621212</v>
      </c>
      <c r="O47" s="22">
        <v>0.72554870627036794</v>
      </c>
      <c r="P47" s="22">
        <v>0.73314310383437098</v>
      </c>
      <c r="Q47" s="22">
        <v>0.76062737997332364</v>
      </c>
      <c r="R47" s="22">
        <v>0.73594458758491521</v>
      </c>
      <c r="S47" s="22">
        <v>0.7235599778025279</v>
      </c>
      <c r="T47" s="22">
        <v>0.78871192206587293</v>
      </c>
      <c r="U47" s="22"/>
      <c r="V47" s="53"/>
    </row>
    <row r="48" spans="1:23" x14ac:dyDescent="0.55000000000000004">
      <c r="A48" s="41" t="str">
        <f>'Population Definitions'!$A$6</f>
        <v>PLHIV 15-64</v>
      </c>
      <c r="B48" s="41" t="s">
        <v>10</v>
      </c>
      <c r="C48" s="12" t="str">
        <f t="shared" si="3"/>
        <v>N.A.</v>
      </c>
      <c r="D48" s="41" t="s">
        <v>16</v>
      </c>
      <c r="E48" s="47"/>
      <c r="F48" s="22"/>
      <c r="G48" s="22"/>
      <c r="H48" s="22">
        <v>0.72419357296361586</v>
      </c>
      <c r="I48" s="22">
        <v>0.74292521105595766</v>
      </c>
      <c r="J48" s="22">
        <v>0.75440303995861979</v>
      </c>
      <c r="K48" s="22">
        <v>0.76836350816045251</v>
      </c>
      <c r="L48" s="22">
        <v>0.75982423581627967</v>
      </c>
      <c r="M48" s="22">
        <v>0.78878984775300964</v>
      </c>
      <c r="N48" s="22">
        <v>0.78917336691740736</v>
      </c>
      <c r="O48" s="22">
        <v>0.79504524336435856</v>
      </c>
      <c r="P48" s="22">
        <v>0.80837059964261437</v>
      </c>
      <c r="Q48" s="22">
        <v>0.82161975483086058</v>
      </c>
      <c r="R48" s="22">
        <v>0.84111640809153621</v>
      </c>
      <c r="S48" s="22">
        <v>0.85684661068530654</v>
      </c>
      <c r="T48" s="22">
        <v>0.85642224443745063</v>
      </c>
      <c r="U48" s="22"/>
      <c r="V48" s="53"/>
    </row>
    <row r="49" spans="1:21" x14ac:dyDescent="0.55000000000000004">
      <c r="A49" s="41" t="str">
        <f>'Population Definitions'!$A$7</f>
        <v>PLHIV 65+</v>
      </c>
      <c r="B49" s="41" t="s">
        <v>10</v>
      </c>
      <c r="C49" s="12" t="str">
        <f t="shared" si="3"/>
        <v>N.A.</v>
      </c>
      <c r="D49" s="41" t="s">
        <v>16</v>
      </c>
      <c r="E49" s="47"/>
      <c r="F49" s="22"/>
      <c r="G49" s="22"/>
      <c r="H49" s="22">
        <v>0.62666666666666671</v>
      </c>
      <c r="I49" s="22">
        <v>0.65952890792291208</v>
      </c>
      <c r="J49" s="22">
        <v>0.6953125</v>
      </c>
      <c r="K49" s="22">
        <v>0.66000000000000014</v>
      </c>
      <c r="L49" s="22">
        <v>0.66054848548454392</v>
      </c>
      <c r="M49" s="22">
        <v>0.70566344071715192</v>
      </c>
      <c r="N49" s="22">
        <v>0.69205385325298785</v>
      </c>
      <c r="O49" s="22">
        <v>0.74366116755687717</v>
      </c>
      <c r="P49" s="22">
        <v>0.74516682149476132</v>
      </c>
      <c r="Q49" s="22">
        <v>0.69956836600533523</v>
      </c>
      <c r="R49" s="22">
        <v>0.71486299292628741</v>
      </c>
      <c r="S49" s="22">
        <v>0.6988538467300921</v>
      </c>
      <c r="T49" s="22">
        <v>0.70846704517403114</v>
      </c>
      <c r="U49" s="22"/>
    </row>
    <row r="50" spans="1:21" x14ac:dyDescent="0.55000000000000004">
      <c r="A50" s="41" t="str">
        <f>'Population Definitions'!$A$8</f>
        <v>Prisoners</v>
      </c>
      <c r="B50" s="41" t="s">
        <v>10</v>
      </c>
      <c r="C50" s="12" t="str">
        <f t="shared" si="3"/>
        <v>N.A.</v>
      </c>
      <c r="D50" s="41" t="s">
        <v>16</v>
      </c>
      <c r="E50" s="47"/>
      <c r="F50" s="22"/>
      <c r="G50" s="22"/>
      <c r="H50" s="22">
        <v>0.54211663066954641</v>
      </c>
      <c r="I50" s="22">
        <v>0.55391432791728212</v>
      </c>
      <c r="J50" s="22"/>
      <c r="K50" s="22"/>
      <c r="L50" s="22"/>
      <c r="M50" s="22">
        <v>0.71724951656779534</v>
      </c>
      <c r="N50" s="22"/>
      <c r="O50" s="22">
        <v>0.87209982452719825</v>
      </c>
      <c r="P50" s="22">
        <v>0.93607658916572534</v>
      </c>
      <c r="Q50" s="22">
        <v>0.92117478268208308</v>
      </c>
      <c r="R50" s="22"/>
      <c r="S50" s="22">
        <v>0.95197526785292863</v>
      </c>
      <c r="T50" s="22">
        <v>0.95205933930518016</v>
      </c>
      <c r="U50" s="22"/>
    </row>
    <row r="51" spans="1:21" x14ac:dyDescent="0.55000000000000004">
      <c r="A51" s="41" t="str">
        <f>'Population Definitions'!$A$9</f>
        <v>PLHIV Prisoners</v>
      </c>
      <c r="B51" s="41" t="s">
        <v>10</v>
      </c>
      <c r="C51" s="12" t="str">
        <f t="shared" si="3"/>
        <v>N.A.</v>
      </c>
      <c r="D51" s="41" t="s">
        <v>16</v>
      </c>
      <c r="E51" s="47"/>
      <c r="F51" s="22"/>
      <c r="G51" s="22"/>
      <c r="H51" s="22">
        <v>0.54211663066954652</v>
      </c>
      <c r="I51" s="22">
        <v>0.55391432791728201</v>
      </c>
      <c r="J51" s="22"/>
      <c r="K51" s="22"/>
      <c r="L51" s="22"/>
      <c r="M51" s="22">
        <v>0.71572068078746287</v>
      </c>
      <c r="N51" s="22">
        <v>0.79472144558351454</v>
      </c>
      <c r="O51" s="22">
        <v>0.82275047266042423</v>
      </c>
      <c r="P51" s="22">
        <v>0.84013077386714397</v>
      </c>
      <c r="Q51" s="22">
        <v>0.85820257562805047</v>
      </c>
      <c r="R51" s="22"/>
      <c r="S51" s="22">
        <v>0.85324272513838928</v>
      </c>
      <c r="T51" s="22">
        <v>0.9064078282828284</v>
      </c>
      <c r="U51" s="22"/>
    </row>
    <row r="52" spans="1:21" x14ac:dyDescent="0.55000000000000004">
      <c r="A52" s="41" t="str">
        <f>'Population Definitions'!$A$10</f>
        <v>HCW</v>
      </c>
      <c r="B52" s="41" t="s">
        <v>10</v>
      </c>
      <c r="C52" s="12">
        <f t="shared" si="3"/>
        <v>0.83</v>
      </c>
      <c r="D52" s="41" t="s">
        <v>16</v>
      </c>
      <c r="E52" s="47"/>
      <c r="F52" s="22"/>
      <c r="G52" s="22"/>
      <c r="H52" s="22"/>
      <c r="I52" s="22"/>
      <c r="J52" s="22"/>
      <c r="K52" s="22"/>
      <c r="L52" s="22"/>
      <c r="M52" s="22"/>
      <c r="N52" s="22"/>
      <c r="O52" s="22"/>
      <c r="P52" s="22"/>
      <c r="Q52" s="22"/>
      <c r="R52" s="22"/>
      <c r="S52" s="22"/>
      <c r="T52" s="22"/>
      <c r="U52" s="22"/>
    </row>
    <row r="53" spans="1:21" x14ac:dyDescent="0.55000000000000004">
      <c r="A53" s="41" t="str">
        <f>'Population Definitions'!$A$11</f>
        <v>PLHIV HCW</v>
      </c>
      <c r="B53" s="41" t="s">
        <v>10</v>
      </c>
      <c r="C53" s="12">
        <f t="shared" si="3"/>
        <v>0.83</v>
      </c>
      <c r="D53" s="41" t="s">
        <v>16</v>
      </c>
      <c r="E53" s="47"/>
      <c r="F53" s="22"/>
      <c r="G53" s="22"/>
      <c r="H53" s="22"/>
      <c r="I53" s="22"/>
      <c r="J53" s="22"/>
      <c r="K53" s="22"/>
      <c r="L53" s="22"/>
      <c r="M53" s="22"/>
      <c r="N53" s="22"/>
      <c r="O53" s="22"/>
      <c r="P53" s="22"/>
      <c r="Q53" s="22"/>
      <c r="R53" s="22"/>
      <c r="S53" s="22"/>
      <c r="T53" s="22"/>
      <c r="U53" s="22"/>
    </row>
    <row r="54" spans="1:21" x14ac:dyDescent="0.55000000000000004">
      <c r="A54" s="41" t="str">
        <f>'Population Definitions'!$A$12</f>
        <v>Miners</v>
      </c>
      <c r="B54" s="41" t="s">
        <v>10</v>
      </c>
      <c r="C54" s="12">
        <f t="shared" si="3"/>
        <v>0.83</v>
      </c>
      <c r="D54" s="41" t="s">
        <v>16</v>
      </c>
      <c r="E54" s="47"/>
      <c r="F54" s="22"/>
      <c r="G54" s="22"/>
      <c r="H54" s="22"/>
      <c r="I54" s="22"/>
      <c r="J54" s="22"/>
      <c r="K54" s="22"/>
      <c r="L54" s="22"/>
      <c r="M54" s="22"/>
      <c r="N54" s="22"/>
      <c r="O54" s="22"/>
      <c r="P54" s="22"/>
      <c r="Q54" s="22"/>
      <c r="R54" s="22"/>
      <c r="S54" s="22"/>
      <c r="T54" s="22"/>
      <c r="U54" s="22"/>
    </row>
    <row r="55" spans="1:21" x14ac:dyDescent="0.55000000000000004">
      <c r="A55" s="41" t="str">
        <f>'Population Definitions'!$A$13</f>
        <v>PLHIV Miners</v>
      </c>
      <c r="B55" s="41" t="s">
        <v>10</v>
      </c>
      <c r="C55" s="12">
        <f t="shared" si="3"/>
        <v>0.83</v>
      </c>
      <c r="D55" s="41" t="s">
        <v>16</v>
      </c>
      <c r="E55" s="47"/>
      <c r="F55" s="22"/>
      <c r="G55" s="22"/>
      <c r="H55" s="22"/>
      <c r="I55" s="22"/>
      <c r="J55" s="22"/>
      <c r="K55" s="22"/>
      <c r="L55" s="22"/>
      <c r="M55" s="22"/>
      <c r="N55" s="22"/>
      <c r="O55" s="22"/>
      <c r="P55" s="22"/>
      <c r="Q55" s="22"/>
      <c r="R55" s="22"/>
      <c r="S55" s="22"/>
      <c r="T55" s="22"/>
      <c r="U55" s="22"/>
    </row>
    <row r="56" spans="1:21" x14ac:dyDescent="0.55000000000000004">
      <c r="A56" s="37"/>
      <c r="B56" s="37"/>
      <c r="C56" s="37"/>
      <c r="D56" s="37"/>
      <c r="E56" s="37"/>
      <c r="F56" s="37"/>
      <c r="G56" s="37"/>
      <c r="H56" s="37"/>
      <c r="I56" s="37"/>
      <c r="J56" s="37"/>
      <c r="K56" s="37"/>
      <c r="L56" s="37"/>
      <c r="M56" s="37"/>
      <c r="N56" s="37"/>
      <c r="O56" s="37"/>
      <c r="P56" s="37"/>
      <c r="Q56" s="37"/>
      <c r="R56" s="37"/>
      <c r="S56" s="37"/>
      <c r="T56" s="37"/>
      <c r="U56" s="37"/>
    </row>
    <row r="57" spans="1:21" x14ac:dyDescent="0.55000000000000004">
      <c r="A57" s="21" t="s">
        <v>52</v>
      </c>
      <c r="B57" s="41" t="s">
        <v>8</v>
      </c>
      <c r="C57" s="41" t="s">
        <v>9</v>
      </c>
      <c r="D57" s="41"/>
      <c r="E57" s="41">
        <v>2000</v>
      </c>
      <c r="F57" s="41">
        <v>2001</v>
      </c>
      <c r="G57" s="41">
        <v>2002</v>
      </c>
      <c r="H57" s="41">
        <v>2003</v>
      </c>
      <c r="I57" s="41">
        <v>2004</v>
      </c>
      <c r="J57" s="41">
        <v>2005</v>
      </c>
      <c r="K57" s="41">
        <v>2006</v>
      </c>
      <c r="L57" s="41">
        <v>2007</v>
      </c>
      <c r="M57" s="41">
        <v>2008</v>
      </c>
      <c r="N57" s="41">
        <v>2009</v>
      </c>
      <c r="O57" s="41">
        <v>2010</v>
      </c>
      <c r="P57" s="41">
        <v>2011</v>
      </c>
      <c r="Q57" s="41">
        <v>2012</v>
      </c>
      <c r="R57" s="41">
        <v>2013</v>
      </c>
      <c r="S57" s="41">
        <v>2014</v>
      </c>
      <c r="T57" s="41">
        <v>2015</v>
      </c>
      <c r="U57" s="41">
        <v>2016</v>
      </c>
    </row>
    <row r="58" spans="1:21" x14ac:dyDescent="0.55000000000000004">
      <c r="A58" s="41" t="str">
        <f>'Population Definitions'!$A$2</f>
        <v>Gen 0-4</v>
      </c>
      <c r="B58" s="41" t="s">
        <v>10</v>
      </c>
      <c r="C58" s="12" t="str">
        <f t="shared" ref="C58:C69" si="4">IF(SUMPRODUCT(--(E58:U58&lt;&gt;""))=0,0.59,"N.A.")</f>
        <v>N.A.</v>
      </c>
      <c r="D58" s="41" t="s">
        <v>16</v>
      </c>
      <c r="E58" s="47">
        <v>0.54900000000000004</v>
      </c>
      <c r="F58" s="22"/>
      <c r="G58" s="22"/>
      <c r="H58" s="22"/>
      <c r="I58" s="22"/>
      <c r="J58" s="22"/>
      <c r="K58" s="22"/>
      <c r="L58" s="22"/>
      <c r="M58" s="22">
        <f>'[4]Notified Cases'!M16/'[4]Active TB Prevalence'!M44</f>
        <v>0.68417739916270781</v>
      </c>
      <c r="N58" s="22"/>
      <c r="O58" s="22">
        <f>'[4]Notified Cases'!O16/'[4]Active TB Prevalence'!O44</f>
        <v>0.73016553029983899</v>
      </c>
      <c r="P58" s="22">
        <f>'[4]Notified Cases'!P16/'[4]Active TB Prevalence'!P44</f>
        <v>0.78137559788628941</v>
      </c>
      <c r="Q58" s="22">
        <f>'[4]Notified Cases'!Q16/'[4]Active TB Prevalence'!Q44</f>
        <v>0.71294256599845918</v>
      </c>
      <c r="R58" s="22"/>
      <c r="S58" s="22">
        <f>'[4]Notified Cases'!S16/'[4]Active TB Prevalence'!S44</f>
        <v>0.65602333784067923</v>
      </c>
      <c r="T58" s="22"/>
      <c r="U58" s="22"/>
    </row>
    <row r="59" spans="1:21" x14ac:dyDescent="0.55000000000000004">
      <c r="A59" s="41" t="str">
        <f>'Population Definitions'!$A$3</f>
        <v>Gen 5-14</v>
      </c>
      <c r="B59" s="41" t="s">
        <v>10</v>
      </c>
      <c r="C59" s="12" t="str">
        <f t="shared" si="4"/>
        <v>N.A.</v>
      </c>
      <c r="D59" s="41" t="s">
        <v>16</v>
      </c>
      <c r="E59" s="47">
        <v>0.627</v>
      </c>
      <c r="F59" s="22"/>
      <c r="G59" s="22"/>
      <c r="H59" s="22"/>
      <c r="I59" s="22"/>
      <c r="J59" s="22"/>
      <c r="K59" s="22"/>
      <c r="L59" s="22">
        <f>'[4]Notified Cases'!L17/'[4]Active TB Prevalence'!L45</f>
        <v>0.62653996496501718</v>
      </c>
      <c r="M59" s="22">
        <f>'[4]Notified Cases'!M17/'[4]Active TB Prevalence'!M45</f>
        <v>0.68417739889461482</v>
      </c>
      <c r="N59" s="22">
        <f>'[4]Notified Cases'!N17/'[4]Active TB Prevalence'!N45</f>
        <v>0.72592662034733069</v>
      </c>
      <c r="O59" s="22">
        <f>'[4]Notified Cases'!O17/'[4]Active TB Prevalence'!O45</f>
        <v>0.73016553032383003</v>
      </c>
      <c r="P59" s="22">
        <f>'[4]Notified Cases'!P17/'[4]Active TB Prevalence'!P45</f>
        <v>0.78137559788628952</v>
      </c>
      <c r="Q59" s="22">
        <f>'[4]Notified Cases'!Q17/'[4]Active TB Prevalence'!Q45</f>
        <v>0.71294256614550144</v>
      </c>
      <c r="R59" s="22">
        <f>'[4]Notified Cases'!R17/'[4]Active TB Prevalence'!R45</f>
        <v>0.68381977226304091</v>
      </c>
      <c r="S59" s="22">
        <f>'[4]Notified Cases'!S17/'[4]Active TB Prevalence'!S45</f>
        <v>0.65651957350207557</v>
      </c>
      <c r="T59" s="22"/>
      <c r="U59" s="22"/>
    </row>
    <row r="60" spans="1:21" x14ac:dyDescent="0.55000000000000004">
      <c r="A60" s="41" t="str">
        <f>'Population Definitions'!$A$4</f>
        <v>Gen 15-64</v>
      </c>
      <c r="B60" s="41" t="s">
        <v>10</v>
      </c>
      <c r="C60" s="12" t="str">
        <f t="shared" si="4"/>
        <v>N.A.</v>
      </c>
      <c r="D60" s="41" t="s">
        <v>16</v>
      </c>
      <c r="E60" s="47">
        <v>0.627</v>
      </c>
      <c r="F60" s="22"/>
      <c r="G60" s="22"/>
      <c r="H60" s="22"/>
      <c r="I60" s="22"/>
      <c r="J60" s="22"/>
      <c r="K60" s="22"/>
      <c r="L60" s="22">
        <f>'[4]Notified Cases'!L18/'[4]Active TB Prevalence'!L46</f>
        <v>0.62653996494768227</v>
      </c>
      <c r="M60" s="22">
        <f>'[4]Notified Cases'!M18/'[4]Active TB Prevalence'!M46</f>
        <v>0.67642863579586343</v>
      </c>
      <c r="N60" s="22">
        <f>'[4]Notified Cases'!N18/'[4]Active TB Prevalence'!N46</f>
        <v>0.72592662042842393</v>
      </c>
      <c r="O60" s="22"/>
      <c r="P60" s="22">
        <f>'[4]Notified Cases'!P18/'[4]Active TB Prevalence'!P46</f>
        <v>0.78137559766926901</v>
      </c>
      <c r="Q60" s="22">
        <f>'[4]Notified Cases'!Q18/'[4]Active TB Prevalence'!Q46</f>
        <v>0.71294256616434137</v>
      </c>
      <c r="R60" s="22">
        <f>'[4]Notified Cases'!R18/'[4]Active TB Prevalence'!R46</f>
        <v>0.68381977230199043</v>
      </c>
      <c r="S60" s="22">
        <f>'[4]Notified Cases'!S18/'[4]Active TB Prevalence'!S46</f>
        <v>0.65602333777983546</v>
      </c>
      <c r="T60" s="22"/>
      <c r="U60" s="22"/>
    </row>
    <row r="61" spans="1:21" x14ac:dyDescent="0.55000000000000004">
      <c r="A61" s="41" t="str">
        <f>'Population Definitions'!$A$5</f>
        <v>Gen 65+</v>
      </c>
      <c r="B61" s="41" t="s">
        <v>10</v>
      </c>
      <c r="C61" s="12" t="str">
        <f t="shared" si="4"/>
        <v>N.A.</v>
      </c>
      <c r="D61" s="41" t="s">
        <v>16</v>
      </c>
      <c r="E61" s="47">
        <v>0.68400000000000005</v>
      </c>
      <c r="F61" s="22"/>
      <c r="G61" s="22"/>
      <c r="H61" s="22"/>
      <c r="I61" s="22"/>
      <c r="J61" s="22"/>
      <c r="K61" s="22"/>
      <c r="L61" s="22"/>
      <c r="M61" s="22">
        <f>'[4]Notified Cases'!M19/'[4]Active TB Prevalence'!M47</f>
        <v>0.68417739900210539</v>
      </c>
      <c r="N61" s="22">
        <f>'[4]Notified Cases'!N19/'[4]Active TB Prevalence'!N47</f>
        <v>0.72592662041508416</v>
      </c>
      <c r="O61" s="22"/>
      <c r="P61" s="22">
        <f>'[4]Notified Cases'!P19/'[4]Active TB Prevalence'!P47</f>
        <v>0.78137559820028568</v>
      </c>
      <c r="Q61" s="22">
        <f>'[4]Notified Cases'!Q19/'[4]Active TB Prevalence'!Q47</f>
        <v>0.71294256550856849</v>
      </c>
      <c r="R61" s="22">
        <f>'[4]Notified Cases'!R19/'[4]Active TB Prevalence'!R47</f>
        <v>0.68381977214411982</v>
      </c>
      <c r="S61" s="22">
        <f>'[4]Notified Cases'!S19/'[4]Active TB Prevalence'!S47</f>
        <v>0.65602333766361409</v>
      </c>
      <c r="T61" s="22"/>
      <c r="U61" s="22"/>
    </row>
    <row r="62" spans="1:21" x14ac:dyDescent="0.55000000000000004">
      <c r="A62" s="41" t="str">
        <f>'Population Definitions'!$A$6</f>
        <v>PLHIV 15-64</v>
      </c>
      <c r="B62" s="41" t="s">
        <v>10</v>
      </c>
      <c r="C62" s="12" t="str">
        <f t="shared" si="4"/>
        <v>N.A.</v>
      </c>
      <c r="D62" s="41" t="s">
        <v>16</v>
      </c>
      <c r="E62" s="47">
        <v>4.0000000000000001E-3</v>
      </c>
      <c r="F62" s="22"/>
      <c r="G62" s="22"/>
      <c r="H62" s="22"/>
      <c r="I62" s="22"/>
      <c r="J62" s="22"/>
      <c r="K62" s="22"/>
      <c r="L62" s="22"/>
      <c r="M62" s="22"/>
      <c r="N62" s="22">
        <f>'[4]Notified Cases'!N20/'[4]Active TB Prevalence'!N48</f>
        <v>0.7266051819731294</v>
      </c>
      <c r="O62" s="22"/>
      <c r="P62" s="22">
        <f>'[4]Notified Cases'!P20/'[4]Active TB Prevalence'!P48</f>
        <v>0.78193517970597248</v>
      </c>
      <c r="Q62" s="22">
        <f>'[4]Notified Cases'!Q20/'[4]Active TB Prevalence'!Q48</f>
        <v>0.71340975749681868</v>
      </c>
      <c r="R62" s="22">
        <f>'[4]Notified Cases'!R20/'[4]Active TB Prevalence'!R48</f>
        <v>0.68404139574834943</v>
      </c>
      <c r="S62" s="22">
        <f>'[4]Notified Cases'!S20/'[4]Active TB Prevalence'!S48</f>
        <v>0.65661033689651993</v>
      </c>
      <c r="T62" s="22"/>
      <c r="U62" s="22"/>
    </row>
    <row r="63" spans="1:21" x14ac:dyDescent="0.55000000000000004">
      <c r="A63" s="41" t="str">
        <f>'Population Definitions'!$A$7</f>
        <v>PLHIV 65+</v>
      </c>
      <c r="B63" s="41" t="s">
        <v>10</v>
      </c>
      <c r="C63" s="12" t="str">
        <f t="shared" si="4"/>
        <v>N.A.</v>
      </c>
      <c r="D63" s="41" t="s">
        <v>16</v>
      </c>
      <c r="E63" s="47">
        <v>0.68400000000000005</v>
      </c>
      <c r="F63" s="22"/>
      <c r="G63" s="22"/>
      <c r="H63" s="22"/>
      <c r="I63" s="22"/>
      <c r="J63" s="22"/>
      <c r="K63" s="22"/>
      <c r="L63" s="22"/>
      <c r="M63" s="22">
        <f>'[4]Notified Cases'!M21/'[4]Active TB Prevalence'!M49</f>
        <v>0.68417739886238338</v>
      </c>
      <c r="N63" s="22"/>
      <c r="O63" s="22"/>
      <c r="P63" s="22">
        <f>'[4]Notified Cases'!P21/'[4]Active TB Prevalence'!P49</f>
        <v>0.78137559770002041</v>
      </c>
      <c r="Q63" s="22">
        <f>'[4]Notified Cases'!Q21/'[4]Active TB Prevalence'!Q49</f>
        <v>0.71294256588409466</v>
      </c>
      <c r="R63" s="22">
        <f>'[4]Notified Cases'!R21/'[4]Active TB Prevalence'!R49</f>
        <v>0.68381977222141721</v>
      </c>
      <c r="S63" s="22"/>
      <c r="T63" s="22"/>
      <c r="U63" s="22"/>
    </row>
    <row r="64" spans="1:21" x14ac:dyDescent="0.55000000000000004">
      <c r="A64" s="41" t="str">
        <f>'Population Definitions'!$A$8</f>
        <v>Prisoners</v>
      </c>
      <c r="B64" s="41" t="s">
        <v>10</v>
      </c>
      <c r="C64" s="12">
        <f t="shared" si="4"/>
        <v>0.59</v>
      </c>
      <c r="D64" s="41" t="s">
        <v>16</v>
      </c>
      <c r="E64" s="47"/>
      <c r="F64" s="22"/>
      <c r="G64" s="22"/>
      <c r="H64" s="22"/>
      <c r="I64" s="22"/>
      <c r="J64" s="22"/>
      <c r="K64" s="22"/>
      <c r="L64" s="22"/>
      <c r="M64" s="22"/>
      <c r="N64" s="22"/>
      <c r="O64" s="22"/>
      <c r="P64" s="22"/>
      <c r="Q64" s="22"/>
      <c r="R64" s="22"/>
      <c r="S64" s="22"/>
      <c r="T64" s="22"/>
      <c r="U64" s="22"/>
    </row>
    <row r="65" spans="1:21" x14ac:dyDescent="0.55000000000000004">
      <c r="A65" s="41" t="str">
        <f>'Population Definitions'!$A$9</f>
        <v>PLHIV Prisoners</v>
      </c>
      <c r="B65" s="41" t="s">
        <v>10</v>
      </c>
      <c r="C65" s="12">
        <f t="shared" si="4"/>
        <v>0.59</v>
      </c>
      <c r="D65" s="41" t="s">
        <v>16</v>
      </c>
      <c r="E65" s="47"/>
      <c r="F65" s="22"/>
      <c r="G65" s="22"/>
      <c r="H65" s="22"/>
      <c r="I65" s="22"/>
      <c r="J65" s="22"/>
      <c r="K65" s="22"/>
      <c r="L65" s="22"/>
      <c r="M65" s="22"/>
      <c r="N65" s="22"/>
      <c r="O65" s="22"/>
      <c r="P65" s="22"/>
      <c r="Q65" s="22"/>
      <c r="R65" s="22"/>
      <c r="S65" s="22"/>
      <c r="T65" s="22"/>
      <c r="U65" s="22"/>
    </row>
    <row r="66" spans="1:21" x14ac:dyDescent="0.55000000000000004">
      <c r="A66" s="41" t="str">
        <f>'Population Definitions'!$A$10</f>
        <v>HCW</v>
      </c>
      <c r="B66" s="41" t="s">
        <v>10</v>
      </c>
      <c r="C66" s="12">
        <f t="shared" si="4"/>
        <v>0.59</v>
      </c>
      <c r="D66" s="41" t="s">
        <v>16</v>
      </c>
      <c r="E66" s="47"/>
      <c r="F66" s="22"/>
      <c r="G66" s="22"/>
      <c r="H66" s="22"/>
      <c r="I66" s="22"/>
      <c r="J66" s="22"/>
      <c r="K66" s="22"/>
      <c r="L66" s="22"/>
      <c r="M66" s="22"/>
      <c r="N66" s="22"/>
      <c r="O66" s="22"/>
      <c r="P66" s="22"/>
      <c r="Q66" s="22"/>
      <c r="R66" s="22"/>
      <c r="S66" s="22"/>
      <c r="T66" s="22"/>
      <c r="U66" s="22"/>
    </row>
    <row r="67" spans="1:21" x14ac:dyDescent="0.55000000000000004">
      <c r="A67" s="41" t="str">
        <f>'Population Definitions'!$A$11</f>
        <v>PLHIV HCW</v>
      </c>
      <c r="B67" s="41" t="s">
        <v>10</v>
      </c>
      <c r="C67" s="12">
        <f t="shared" si="4"/>
        <v>0.59</v>
      </c>
      <c r="D67" s="41" t="s">
        <v>16</v>
      </c>
      <c r="E67" s="47"/>
      <c r="F67" s="22"/>
      <c r="G67" s="22"/>
      <c r="H67" s="22"/>
      <c r="I67" s="22"/>
      <c r="J67" s="22"/>
      <c r="K67" s="22"/>
      <c r="L67" s="22"/>
      <c r="M67" s="22"/>
      <c r="N67" s="22"/>
      <c r="O67" s="22"/>
      <c r="P67" s="22"/>
      <c r="Q67" s="22"/>
      <c r="R67" s="22"/>
      <c r="S67" s="22"/>
      <c r="T67" s="22"/>
      <c r="U67" s="22"/>
    </row>
    <row r="68" spans="1:21" x14ac:dyDescent="0.55000000000000004">
      <c r="A68" s="41" t="str">
        <f>'Population Definitions'!$A$12</f>
        <v>Miners</v>
      </c>
      <c r="B68" s="41" t="s">
        <v>10</v>
      </c>
      <c r="C68" s="12" t="str">
        <f t="shared" si="4"/>
        <v>N.A.</v>
      </c>
      <c r="D68" s="41" t="s">
        <v>16</v>
      </c>
      <c r="E68" s="47"/>
      <c r="F68" s="22"/>
      <c r="G68" s="22"/>
      <c r="H68" s="22"/>
      <c r="I68" s="22"/>
      <c r="J68" s="22"/>
      <c r="K68" s="22"/>
      <c r="L68" s="22"/>
      <c r="M68" s="22"/>
      <c r="N68" s="22"/>
      <c r="O68" s="22"/>
      <c r="P68" s="22"/>
      <c r="Q68" s="22"/>
      <c r="R68" s="22"/>
      <c r="S68" s="22"/>
      <c r="T68" s="22">
        <v>0.8</v>
      </c>
      <c r="U68" s="22"/>
    </row>
    <row r="69" spans="1:21" x14ac:dyDescent="0.55000000000000004">
      <c r="A69" s="41" t="str">
        <f>'Population Definitions'!$A$13</f>
        <v>PLHIV Miners</v>
      </c>
      <c r="B69" s="41" t="s">
        <v>10</v>
      </c>
      <c r="C69" s="12" t="str">
        <f t="shared" si="4"/>
        <v>N.A.</v>
      </c>
      <c r="D69" s="41" t="s">
        <v>16</v>
      </c>
      <c r="E69" s="47"/>
      <c r="F69" s="22"/>
      <c r="G69" s="22"/>
      <c r="H69" s="22"/>
      <c r="I69" s="22"/>
      <c r="J69" s="22"/>
      <c r="K69" s="22"/>
      <c r="L69" s="22"/>
      <c r="M69" s="22"/>
      <c r="N69" s="22"/>
      <c r="O69" s="22"/>
      <c r="P69" s="22"/>
      <c r="Q69" s="22"/>
      <c r="R69" s="22"/>
      <c r="S69" s="22"/>
      <c r="T69" s="22">
        <v>0.8</v>
      </c>
      <c r="U69" s="22"/>
    </row>
    <row r="70" spans="1:21" x14ac:dyDescent="0.55000000000000004">
      <c r="A70" s="37"/>
      <c r="B70" s="37"/>
      <c r="C70" s="37"/>
      <c r="D70" s="37"/>
      <c r="E70" s="37"/>
      <c r="F70" s="37"/>
      <c r="G70" s="37"/>
      <c r="H70" s="37"/>
      <c r="I70" s="37"/>
      <c r="J70" s="37"/>
      <c r="K70" s="37"/>
      <c r="L70" s="37"/>
      <c r="M70" s="37"/>
      <c r="N70" s="37"/>
      <c r="O70" s="37"/>
      <c r="P70" s="37"/>
      <c r="Q70" s="37"/>
      <c r="R70" s="37"/>
      <c r="S70" s="37"/>
      <c r="T70" s="37"/>
      <c r="U70" s="37"/>
    </row>
    <row r="71" spans="1:21" x14ac:dyDescent="0.55000000000000004">
      <c r="A71" s="21" t="s">
        <v>59</v>
      </c>
      <c r="B71" s="41" t="s">
        <v>8</v>
      </c>
      <c r="C71" s="41" t="s">
        <v>9</v>
      </c>
      <c r="D71" s="41"/>
      <c r="E71" s="41">
        <v>2000</v>
      </c>
      <c r="F71" s="41">
        <v>2001</v>
      </c>
      <c r="G71" s="41">
        <v>2002</v>
      </c>
      <c r="H71" s="41">
        <v>2003</v>
      </c>
      <c r="I71" s="41">
        <v>2004</v>
      </c>
      <c r="J71" s="41">
        <v>2005</v>
      </c>
      <c r="K71" s="41">
        <v>2006</v>
      </c>
      <c r="L71" s="41">
        <v>2007</v>
      </c>
      <c r="M71" s="41">
        <v>2008</v>
      </c>
      <c r="N71" s="41">
        <v>2009</v>
      </c>
      <c r="O71" s="41">
        <v>2010</v>
      </c>
      <c r="P71" s="41">
        <v>2010</v>
      </c>
      <c r="Q71" s="41">
        <v>2012</v>
      </c>
      <c r="R71" s="41">
        <v>2013</v>
      </c>
      <c r="S71" s="41">
        <v>2014</v>
      </c>
      <c r="T71" s="41">
        <v>2015</v>
      </c>
      <c r="U71" s="41">
        <v>2016</v>
      </c>
    </row>
    <row r="72" spans="1:21" x14ac:dyDescent="0.55000000000000004">
      <c r="A72" s="41" t="str">
        <f>'Population Definitions'!$A$2</f>
        <v>Gen 0-4</v>
      </c>
      <c r="B72" s="41" t="s">
        <v>10</v>
      </c>
      <c r="C72" s="12" t="str">
        <f t="shared" ref="C72:C83" si="5">IF(SUMPRODUCT(--(E72:U72&lt;&gt;""))=0,0.37,"N.A.")</f>
        <v>N.A.</v>
      </c>
      <c r="D72" s="41" t="s">
        <v>16</v>
      </c>
      <c r="E72" s="47"/>
      <c r="F72" s="22"/>
      <c r="G72" s="22"/>
      <c r="H72" s="22"/>
      <c r="I72" s="22"/>
      <c r="J72" s="22"/>
      <c r="K72" s="22"/>
      <c r="L72" s="22"/>
      <c r="M72" s="22"/>
      <c r="N72" s="22"/>
      <c r="O72" s="22"/>
      <c r="P72" s="22">
        <v>0.61699999999999999</v>
      </c>
      <c r="Q72" s="22">
        <v>0.55800000000000005</v>
      </c>
      <c r="R72" s="22">
        <v>0.57399999999999995</v>
      </c>
      <c r="S72" s="22"/>
      <c r="T72" s="22"/>
      <c r="U72" s="22"/>
    </row>
    <row r="73" spans="1:21" x14ac:dyDescent="0.55000000000000004">
      <c r="A73" s="41" t="str">
        <f>'Population Definitions'!$A$3</f>
        <v>Gen 5-14</v>
      </c>
      <c r="B73" s="41" t="s">
        <v>10</v>
      </c>
      <c r="C73" s="12" t="str">
        <f t="shared" si="5"/>
        <v>N.A.</v>
      </c>
      <c r="D73" s="41" t="s">
        <v>16</v>
      </c>
      <c r="E73" s="47"/>
      <c r="F73" s="22"/>
      <c r="G73" s="22"/>
      <c r="H73" s="22"/>
      <c r="I73" s="22"/>
      <c r="J73" s="22"/>
      <c r="K73" s="22"/>
      <c r="L73" s="22"/>
      <c r="M73" s="22"/>
      <c r="N73" s="22"/>
      <c r="O73" s="22"/>
      <c r="P73" s="22">
        <v>0.61699999999999999</v>
      </c>
      <c r="Q73" s="22">
        <v>0.55800000000000005</v>
      </c>
      <c r="R73" s="22">
        <v>0.57399999999999995</v>
      </c>
      <c r="S73" s="22"/>
      <c r="T73" s="22"/>
      <c r="U73" s="22"/>
    </row>
    <row r="74" spans="1:21" x14ac:dyDescent="0.55000000000000004">
      <c r="A74" s="41" t="str">
        <f>'Population Definitions'!$A$4</f>
        <v>Gen 15-64</v>
      </c>
      <c r="B74" s="41" t="s">
        <v>10</v>
      </c>
      <c r="C74" s="12" t="str">
        <f t="shared" si="5"/>
        <v>N.A.</v>
      </c>
      <c r="D74" s="41" t="s">
        <v>16</v>
      </c>
      <c r="E74" s="47"/>
      <c r="F74" s="22"/>
      <c r="G74" s="22"/>
      <c r="H74" s="22"/>
      <c r="I74" s="22"/>
      <c r="J74" s="22"/>
      <c r="K74" s="22"/>
      <c r="L74" s="22"/>
      <c r="M74" s="22"/>
      <c r="N74" s="22"/>
      <c r="O74" s="22"/>
      <c r="P74" s="22">
        <v>0.61699999999999999</v>
      </c>
      <c r="Q74" s="22">
        <v>0.55800000000000005</v>
      </c>
      <c r="R74" s="22">
        <v>0.57399999999999995</v>
      </c>
      <c r="S74" s="22"/>
      <c r="T74" s="22"/>
      <c r="U74" s="22"/>
    </row>
    <row r="75" spans="1:21" x14ac:dyDescent="0.55000000000000004">
      <c r="A75" s="41" t="str">
        <f>'Population Definitions'!$A$5</f>
        <v>Gen 65+</v>
      </c>
      <c r="B75" s="41" t="s">
        <v>10</v>
      </c>
      <c r="C75" s="12" t="str">
        <f t="shared" si="5"/>
        <v>N.A.</v>
      </c>
      <c r="D75" s="41" t="s">
        <v>16</v>
      </c>
      <c r="E75" s="47"/>
      <c r="F75" s="22"/>
      <c r="G75" s="22"/>
      <c r="H75" s="22"/>
      <c r="I75" s="22"/>
      <c r="J75" s="22"/>
      <c r="K75" s="22"/>
      <c r="L75" s="22"/>
      <c r="M75" s="22"/>
      <c r="N75" s="22"/>
      <c r="O75" s="22"/>
      <c r="P75" s="22">
        <v>0.61699999999999999</v>
      </c>
      <c r="Q75" s="22">
        <v>0.55800000000000005</v>
      </c>
      <c r="R75" s="22">
        <v>0.57399999999999995</v>
      </c>
      <c r="S75" s="22"/>
      <c r="T75" s="22"/>
      <c r="U75" s="22"/>
    </row>
    <row r="76" spans="1:21" x14ac:dyDescent="0.55000000000000004">
      <c r="A76" s="41" t="str">
        <f>'Population Definitions'!$A$6</f>
        <v>PLHIV 15-64</v>
      </c>
      <c r="B76" s="41" t="s">
        <v>10</v>
      </c>
      <c r="C76" s="12" t="str">
        <f t="shared" si="5"/>
        <v>N.A.</v>
      </c>
      <c r="D76" s="41" t="s">
        <v>16</v>
      </c>
      <c r="E76" s="47"/>
      <c r="F76" s="22"/>
      <c r="G76" s="22"/>
      <c r="H76" s="22"/>
      <c r="I76" s="22"/>
      <c r="J76" s="22"/>
      <c r="K76" s="22"/>
      <c r="L76" s="22"/>
      <c r="M76" s="22"/>
      <c r="N76" s="22"/>
      <c r="O76" s="22"/>
      <c r="P76" s="22">
        <v>0.61699999999999999</v>
      </c>
      <c r="Q76" s="22">
        <v>0.55800000000000005</v>
      </c>
      <c r="R76" s="22">
        <v>0.57399999999999995</v>
      </c>
      <c r="S76" s="22"/>
      <c r="T76" s="22"/>
      <c r="U76" s="22"/>
    </row>
    <row r="77" spans="1:21" x14ac:dyDescent="0.55000000000000004">
      <c r="A77" s="41" t="str">
        <f>'Population Definitions'!$A$7</f>
        <v>PLHIV 65+</v>
      </c>
      <c r="B77" s="41" t="s">
        <v>10</v>
      </c>
      <c r="C77" s="12" t="str">
        <f t="shared" si="5"/>
        <v>N.A.</v>
      </c>
      <c r="D77" s="41" t="s">
        <v>16</v>
      </c>
      <c r="E77" s="47"/>
      <c r="F77" s="22"/>
      <c r="G77" s="22"/>
      <c r="H77" s="22"/>
      <c r="I77" s="22"/>
      <c r="J77" s="22"/>
      <c r="K77" s="22"/>
      <c r="L77" s="22"/>
      <c r="M77" s="22"/>
      <c r="N77" s="22"/>
      <c r="O77" s="22"/>
      <c r="P77" s="22">
        <v>0.61699999999999999</v>
      </c>
      <c r="Q77" s="22">
        <v>0.55800000000000005</v>
      </c>
      <c r="R77" s="22">
        <v>0.57399999999999995</v>
      </c>
      <c r="S77" s="22"/>
      <c r="T77" s="22"/>
      <c r="U77" s="22"/>
    </row>
    <row r="78" spans="1:21" x14ac:dyDescent="0.55000000000000004">
      <c r="A78" s="41" t="str">
        <f>'Population Definitions'!$A$8</f>
        <v>Prisoners</v>
      </c>
      <c r="B78" s="41" t="s">
        <v>10</v>
      </c>
      <c r="C78" s="12">
        <f t="shared" si="5"/>
        <v>0.37</v>
      </c>
      <c r="D78" s="41" t="s">
        <v>16</v>
      </c>
      <c r="E78" s="47"/>
      <c r="F78" s="22"/>
      <c r="G78" s="22"/>
      <c r="H78" s="22"/>
      <c r="I78" s="22"/>
      <c r="J78" s="22"/>
      <c r="K78" s="22"/>
      <c r="L78" s="22"/>
      <c r="M78" s="22"/>
      <c r="N78" s="22"/>
      <c r="O78" s="22"/>
      <c r="P78" s="22"/>
      <c r="Q78" s="22"/>
      <c r="R78" s="22"/>
      <c r="S78" s="22"/>
      <c r="T78" s="22"/>
      <c r="U78" s="22"/>
    </row>
    <row r="79" spans="1:21" x14ac:dyDescent="0.55000000000000004">
      <c r="A79" s="41" t="str">
        <f>'Population Definitions'!$A$9</f>
        <v>PLHIV Prisoners</v>
      </c>
      <c r="B79" s="41" t="s">
        <v>10</v>
      </c>
      <c r="C79" s="12">
        <f t="shared" si="5"/>
        <v>0.37</v>
      </c>
      <c r="D79" s="41" t="s">
        <v>16</v>
      </c>
      <c r="E79" s="47"/>
      <c r="F79" s="22"/>
      <c r="G79" s="22"/>
      <c r="H79" s="22"/>
      <c r="I79" s="22"/>
      <c r="J79" s="22"/>
      <c r="K79" s="22"/>
      <c r="L79" s="22"/>
      <c r="M79" s="22"/>
      <c r="N79" s="22"/>
      <c r="O79" s="22"/>
      <c r="P79" s="22"/>
      <c r="Q79" s="22"/>
      <c r="R79" s="22"/>
      <c r="S79" s="22"/>
      <c r="T79" s="22"/>
      <c r="U79" s="22"/>
    </row>
    <row r="80" spans="1:21" x14ac:dyDescent="0.55000000000000004">
      <c r="A80" s="41" t="str">
        <f>'Population Definitions'!$A$10</f>
        <v>HCW</v>
      </c>
      <c r="B80" s="41" t="s">
        <v>10</v>
      </c>
      <c r="C80" s="12">
        <f t="shared" si="5"/>
        <v>0.37</v>
      </c>
      <c r="D80" s="41" t="s">
        <v>16</v>
      </c>
      <c r="E80" s="47"/>
      <c r="F80" s="22"/>
      <c r="G80" s="22"/>
      <c r="H80" s="22"/>
      <c r="I80" s="22"/>
      <c r="J80" s="22"/>
      <c r="K80" s="22"/>
      <c r="L80" s="22"/>
      <c r="M80" s="22"/>
      <c r="N80" s="22"/>
      <c r="O80" s="22"/>
      <c r="P80" s="22"/>
      <c r="Q80" s="22"/>
      <c r="R80" s="22"/>
      <c r="S80" s="22"/>
      <c r="T80" s="22"/>
      <c r="U80" s="22"/>
    </row>
    <row r="81" spans="1:22" x14ac:dyDescent="0.55000000000000004">
      <c r="A81" s="41" t="str">
        <f>'Population Definitions'!$A$11</f>
        <v>PLHIV HCW</v>
      </c>
      <c r="B81" s="41" t="s">
        <v>10</v>
      </c>
      <c r="C81" s="12">
        <f t="shared" si="5"/>
        <v>0.37</v>
      </c>
      <c r="D81" s="41" t="s">
        <v>16</v>
      </c>
      <c r="E81" s="47"/>
      <c r="F81" s="22"/>
      <c r="G81" s="22"/>
      <c r="H81" s="22"/>
      <c r="I81" s="22"/>
      <c r="J81" s="22"/>
      <c r="K81" s="22"/>
      <c r="L81" s="22"/>
      <c r="M81" s="22"/>
      <c r="N81" s="22"/>
      <c r="O81" s="22"/>
      <c r="P81" s="22"/>
      <c r="Q81" s="22"/>
      <c r="R81" s="22"/>
      <c r="S81" s="22"/>
      <c r="T81" s="22"/>
      <c r="U81" s="22"/>
    </row>
    <row r="82" spans="1:22" x14ac:dyDescent="0.55000000000000004">
      <c r="A82" s="41" t="str">
        <f>'Population Definitions'!$A$12</f>
        <v>Miners</v>
      </c>
      <c r="B82" s="41" t="s">
        <v>10</v>
      </c>
      <c r="C82" s="12" t="str">
        <f t="shared" si="5"/>
        <v>N.A.</v>
      </c>
      <c r="D82" s="41" t="s">
        <v>16</v>
      </c>
      <c r="E82" s="47"/>
      <c r="F82" s="22"/>
      <c r="G82" s="22"/>
      <c r="H82" s="22"/>
      <c r="I82" s="22"/>
      <c r="J82" s="22"/>
      <c r="K82" s="22"/>
      <c r="L82" s="22"/>
      <c r="M82" s="22"/>
      <c r="N82" s="22"/>
      <c r="O82" s="22"/>
      <c r="P82" s="22"/>
      <c r="Q82" s="22"/>
      <c r="R82" s="22"/>
      <c r="S82" s="22"/>
      <c r="T82" s="48">
        <v>1</v>
      </c>
      <c r="U82" s="22"/>
    </row>
    <row r="83" spans="1:22" x14ac:dyDescent="0.55000000000000004">
      <c r="A83" s="41" t="str">
        <f>'Population Definitions'!$A$13</f>
        <v>PLHIV Miners</v>
      </c>
      <c r="B83" s="41" t="s">
        <v>10</v>
      </c>
      <c r="C83" s="12" t="str">
        <f t="shared" si="5"/>
        <v>N.A.</v>
      </c>
      <c r="D83" s="41" t="s">
        <v>16</v>
      </c>
      <c r="E83" s="47"/>
      <c r="F83" s="22"/>
      <c r="G83" s="22"/>
      <c r="H83" s="22"/>
      <c r="I83" s="22"/>
      <c r="J83" s="22"/>
      <c r="K83" s="22"/>
      <c r="L83" s="22"/>
      <c r="M83" s="22"/>
      <c r="N83" s="22"/>
      <c r="O83" s="22"/>
      <c r="P83" s="22"/>
      <c r="Q83" s="22"/>
      <c r="R83" s="22"/>
      <c r="S83" s="22"/>
      <c r="T83" s="22">
        <v>1</v>
      </c>
      <c r="U83" s="22"/>
    </row>
    <row r="84" spans="1:22" x14ac:dyDescent="0.55000000000000004">
      <c r="A84" s="37"/>
      <c r="B84" s="37"/>
      <c r="C84" s="37"/>
      <c r="D84" s="37"/>
      <c r="E84" s="37"/>
      <c r="F84" s="37"/>
      <c r="G84" s="37"/>
      <c r="H84" s="37"/>
      <c r="I84" s="37"/>
      <c r="J84" s="37"/>
      <c r="K84" s="37"/>
      <c r="L84" s="37"/>
      <c r="M84" s="37"/>
      <c r="N84" s="37"/>
      <c r="O84" s="37"/>
      <c r="P84" s="37"/>
      <c r="Q84" s="37"/>
      <c r="R84" s="37"/>
      <c r="S84" s="37"/>
      <c r="T84" s="37"/>
      <c r="U84" s="37"/>
    </row>
    <row r="85" spans="1:22" x14ac:dyDescent="0.55000000000000004">
      <c r="A85" s="21" t="s">
        <v>66</v>
      </c>
      <c r="B85" s="41" t="s">
        <v>8</v>
      </c>
      <c r="C85" s="41" t="s">
        <v>9</v>
      </c>
      <c r="D85" s="41"/>
      <c r="E85" s="41">
        <v>2000</v>
      </c>
      <c r="F85" s="41">
        <v>2001</v>
      </c>
      <c r="G85" s="41">
        <v>2002</v>
      </c>
      <c r="H85" s="41">
        <v>2003</v>
      </c>
      <c r="I85" s="41">
        <v>2004</v>
      </c>
      <c r="J85" s="41">
        <v>2005</v>
      </c>
      <c r="K85" s="41">
        <v>2006</v>
      </c>
      <c r="L85" s="41">
        <v>2007</v>
      </c>
      <c r="M85" s="41">
        <v>2008</v>
      </c>
      <c r="N85" s="41">
        <v>2009</v>
      </c>
      <c r="O85" s="41">
        <v>2010</v>
      </c>
      <c r="P85" s="41">
        <v>2011</v>
      </c>
      <c r="Q85" s="41">
        <v>2012</v>
      </c>
      <c r="R85" s="41">
        <v>2013</v>
      </c>
      <c r="S85" s="41">
        <v>2014</v>
      </c>
      <c r="T85" s="41">
        <v>2015</v>
      </c>
      <c r="U85" s="41">
        <v>2016</v>
      </c>
    </row>
    <row r="86" spans="1:22" x14ac:dyDescent="0.55000000000000004">
      <c r="A86" s="41" t="str">
        <f>'Population Definitions'!$A$2</f>
        <v>Gen 0-4</v>
      </c>
      <c r="B86" s="41" t="s">
        <v>10</v>
      </c>
      <c r="C86" s="12" t="str">
        <f t="shared" ref="C86:C97" si="6">IF(SUMPRODUCT(--(E86:U86&lt;&gt;""))=0,0.24,"N.A.")</f>
        <v>N.A.</v>
      </c>
      <c r="D86" s="41" t="s">
        <v>16</v>
      </c>
      <c r="E86" s="47"/>
      <c r="F86" s="22"/>
      <c r="G86" s="22"/>
      <c r="H86" s="22"/>
      <c r="I86" s="22"/>
      <c r="J86" s="22"/>
      <c r="K86" s="22"/>
      <c r="L86" s="22"/>
      <c r="M86" s="22"/>
      <c r="N86" s="22"/>
      <c r="O86" s="22">
        <v>0.14285714285714285</v>
      </c>
      <c r="P86" s="22">
        <v>0.30769230769230771</v>
      </c>
      <c r="Q86" s="22"/>
      <c r="R86" s="22">
        <v>0.1111111111111111</v>
      </c>
      <c r="S86" s="22"/>
      <c r="T86" s="22"/>
      <c r="U86" s="22"/>
    </row>
    <row r="87" spans="1:22" x14ac:dyDescent="0.55000000000000004">
      <c r="A87" s="41" t="str">
        <f>'Population Definitions'!$A$3</f>
        <v>Gen 5-14</v>
      </c>
      <c r="B87" s="41" t="s">
        <v>10</v>
      </c>
      <c r="C87" s="12" t="str">
        <f t="shared" si="6"/>
        <v>N.A.</v>
      </c>
      <c r="D87" s="41" t="s">
        <v>16</v>
      </c>
      <c r="E87" s="47"/>
      <c r="F87" s="22"/>
      <c r="G87" s="22"/>
      <c r="H87" s="22"/>
      <c r="I87" s="22"/>
      <c r="J87" s="22"/>
      <c r="K87" s="22"/>
      <c r="L87" s="22"/>
      <c r="M87" s="22"/>
      <c r="N87" s="22">
        <v>0.26666666666666666</v>
      </c>
      <c r="O87" s="22"/>
      <c r="P87" s="22"/>
      <c r="Q87" s="22"/>
      <c r="R87" s="22"/>
      <c r="S87" s="22">
        <v>0.25</v>
      </c>
      <c r="T87" s="22"/>
      <c r="U87" s="22"/>
    </row>
    <row r="88" spans="1:22" x14ac:dyDescent="0.55000000000000004">
      <c r="A88" s="41" t="str">
        <f>'Population Definitions'!$A$4</f>
        <v>Gen 15-64</v>
      </c>
      <c r="B88" s="41" t="s">
        <v>10</v>
      </c>
      <c r="C88" s="12" t="str">
        <f t="shared" si="6"/>
        <v>N.A.</v>
      </c>
      <c r="D88" s="41" t="s">
        <v>16</v>
      </c>
      <c r="E88" s="47"/>
      <c r="F88" s="22"/>
      <c r="G88" s="22"/>
      <c r="H88" s="22"/>
      <c r="I88" s="22"/>
      <c r="J88" s="22"/>
      <c r="K88" s="22"/>
      <c r="L88" s="22"/>
      <c r="M88" s="22"/>
      <c r="N88" s="22">
        <v>0.41949152542372881</v>
      </c>
      <c r="O88" s="22">
        <v>0.39067656765676573</v>
      </c>
      <c r="P88" s="22"/>
      <c r="Q88" s="22"/>
      <c r="R88" s="22"/>
      <c r="S88" s="22">
        <v>0.47606130476061304</v>
      </c>
      <c r="T88" s="22"/>
      <c r="U88" s="22"/>
    </row>
    <row r="89" spans="1:22" x14ac:dyDescent="0.55000000000000004">
      <c r="A89" s="41" t="str">
        <f>'Population Definitions'!$A$5</f>
        <v>Gen 65+</v>
      </c>
      <c r="B89" s="41" t="s">
        <v>10</v>
      </c>
      <c r="C89" s="12" t="str">
        <f t="shared" si="6"/>
        <v>N.A.</v>
      </c>
      <c r="D89" s="41" t="s">
        <v>16</v>
      </c>
      <c r="E89" s="47"/>
      <c r="F89" s="22"/>
      <c r="G89" s="22"/>
      <c r="H89" s="22"/>
      <c r="I89" s="22"/>
      <c r="J89" s="22"/>
      <c r="K89" s="22"/>
      <c r="L89" s="22"/>
      <c r="M89" s="22"/>
      <c r="N89" s="22">
        <v>0.85451197053407002</v>
      </c>
      <c r="O89" s="22"/>
      <c r="P89" s="22"/>
      <c r="Q89" s="22"/>
      <c r="R89" s="22">
        <v>0.35436893203883496</v>
      </c>
      <c r="S89" s="22">
        <v>0.56666666666666665</v>
      </c>
      <c r="T89" s="22"/>
      <c r="U89" s="22"/>
      <c r="V89" s="53"/>
    </row>
    <row r="90" spans="1:22" x14ac:dyDescent="0.55000000000000004">
      <c r="A90" s="41" t="str">
        <f>'Population Definitions'!$A$6</f>
        <v>PLHIV 15-64</v>
      </c>
      <c r="B90" s="41" t="s">
        <v>10</v>
      </c>
      <c r="C90" s="12" t="str">
        <f t="shared" si="6"/>
        <v>N.A.</v>
      </c>
      <c r="D90" s="41" t="s">
        <v>16</v>
      </c>
      <c r="E90" s="47"/>
      <c r="F90" s="22"/>
      <c r="G90" s="22"/>
      <c r="H90" s="22"/>
      <c r="I90" s="22"/>
      <c r="J90" s="22"/>
      <c r="K90" s="22"/>
      <c r="L90" s="22"/>
      <c r="M90" s="22"/>
      <c r="N90" s="22">
        <v>0.40434782608695652</v>
      </c>
      <c r="O90" s="22">
        <v>0.35303144925969948</v>
      </c>
      <c r="P90" s="22"/>
      <c r="Q90" s="22">
        <v>0.34559506076894847</v>
      </c>
      <c r="R90" s="22">
        <v>0.36291031419778325</v>
      </c>
      <c r="S90" s="22">
        <v>0.39774620483963036</v>
      </c>
      <c r="T90" s="22"/>
      <c r="U90" s="22"/>
      <c r="V90" s="53"/>
    </row>
    <row r="91" spans="1:22" x14ac:dyDescent="0.55000000000000004">
      <c r="A91" s="41" t="str">
        <f>'Population Definitions'!$A$7</f>
        <v>PLHIV 65+</v>
      </c>
      <c r="B91" s="41" t="s">
        <v>10</v>
      </c>
      <c r="C91" s="12" t="str">
        <f t="shared" si="6"/>
        <v>N.A.</v>
      </c>
      <c r="D91" s="41" t="s">
        <v>16</v>
      </c>
      <c r="E91" s="47"/>
      <c r="F91" s="22"/>
      <c r="G91" s="22"/>
      <c r="H91" s="22"/>
      <c r="I91" s="22"/>
      <c r="J91" s="22"/>
      <c r="K91" s="22"/>
      <c r="L91" s="22"/>
      <c r="M91" s="22"/>
      <c r="N91" s="22">
        <v>0.66666666666666663</v>
      </c>
      <c r="O91" s="22"/>
      <c r="P91" s="22"/>
      <c r="Q91" s="22"/>
      <c r="R91" s="22"/>
      <c r="S91" s="22">
        <v>0.26666666666666666</v>
      </c>
      <c r="T91" s="22"/>
      <c r="U91" s="22"/>
      <c r="V91" s="53"/>
    </row>
    <row r="92" spans="1:22" x14ac:dyDescent="0.55000000000000004">
      <c r="A92" s="41" t="str">
        <f>'Population Definitions'!$A$8</f>
        <v>Prisoners</v>
      </c>
      <c r="B92" s="41" t="s">
        <v>10</v>
      </c>
      <c r="C92" s="12">
        <f t="shared" si="6"/>
        <v>0.24</v>
      </c>
      <c r="D92" s="41" t="s">
        <v>16</v>
      </c>
      <c r="E92" s="47"/>
      <c r="F92" s="22"/>
      <c r="G92" s="22"/>
      <c r="H92" s="22"/>
      <c r="I92" s="22"/>
      <c r="J92" s="22"/>
      <c r="K92" s="22"/>
      <c r="L92" s="22"/>
      <c r="M92" s="22"/>
      <c r="N92" s="22"/>
      <c r="O92" s="22"/>
      <c r="P92" s="22"/>
      <c r="Q92" s="22"/>
      <c r="R92" s="22"/>
      <c r="S92" s="22"/>
      <c r="T92" s="22"/>
      <c r="U92" s="22"/>
      <c r="V92" s="53"/>
    </row>
    <row r="93" spans="1:22" x14ac:dyDescent="0.55000000000000004">
      <c r="A93" s="41" t="str">
        <f>'Population Definitions'!$A$9</f>
        <v>PLHIV Prisoners</v>
      </c>
      <c r="B93" s="41" t="s">
        <v>10</v>
      </c>
      <c r="C93" s="12">
        <f t="shared" si="6"/>
        <v>0.24</v>
      </c>
      <c r="D93" s="41" t="s">
        <v>16</v>
      </c>
      <c r="E93" s="47"/>
      <c r="F93" s="22"/>
      <c r="G93" s="22"/>
      <c r="H93" s="22"/>
      <c r="I93" s="22"/>
      <c r="J93" s="22"/>
      <c r="K93" s="22"/>
      <c r="L93" s="22"/>
      <c r="M93" s="22"/>
      <c r="N93" s="22"/>
      <c r="O93" s="22"/>
      <c r="P93" s="22"/>
      <c r="Q93" s="22"/>
      <c r="R93" s="22"/>
      <c r="S93" s="22"/>
      <c r="T93" s="22"/>
      <c r="U93" s="22"/>
    </row>
    <row r="94" spans="1:22" x14ac:dyDescent="0.55000000000000004">
      <c r="A94" s="41" t="str">
        <f>'Population Definitions'!$A$10</f>
        <v>HCW</v>
      </c>
      <c r="B94" s="41" t="s">
        <v>10</v>
      </c>
      <c r="C94" s="12">
        <f t="shared" si="6"/>
        <v>0.24</v>
      </c>
      <c r="D94" s="41" t="s">
        <v>16</v>
      </c>
      <c r="E94" s="47"/>
      <c r="F94" s="22"/>
      <c r="G94" s="22"/>
      <c r="H94" s="22"/>
      <c r="I94" s="22"/>
      <c r="J94" s="22"/>
      <c r="K94" s="22"/>
      <c r="L94" s="22"/>
      <c r="M94" s="22"/>
      <c r="N94" s="22"/>
      <c r="O94" s="22"/>
      <c r="P94" s="22"/>
      <c r="Q94" s="22"/>
      <c r="R94" s="22"/>
      <c r="S94" s="22"/>
      <c r="T94" s="22"/>
      <c r="U94" s="22"/>
    </row>
    <row r="95" spans="1:22" x14ac:dyDescent="0.55000000000000004">
      <c r="A95" s="41" t="str">
        <f>'Population Definitions'!$A$11</f>
        <v>PLHIV HCW</v>
      </c>
      <c r="B95" s="41" t="s">
        <v>10</v>
      </c>
      <c r="C95" s="12">
        <f t="shared" si="6"/>
        <v>0.24</v>
      </c>
      <c r="D95" s="41" t="s">
        <v>16</v>
      </c>
      <c r="E95" s="47"/>
      <c r="F95" s="22"/>
      <c r="G95" s="22"/>
      <c r="H95" s="22"/>
      <c r="I95" s="22"/>
      <c r="J95" s="22"/>
      <c r="K95" s="22"/>
      <c r="L95" s="22"/>
      <c r="M95" s="22"/>
      <c r="N95" s="22"/>
      <c r="O95" s="22"/>
      <c r="P95" s="22"/>
      <c r="Q95" s="22"/>
      <c r="R95" s="22"/>
      <c r="S95" s="22"/>
      <c r="T95" s="22"/>
      <c r="U95" s="22"/>
    </row>
    <row r="96" spans="1:22" x14ac:dyDescent="0.55000000000000004">
      <c r="A96" s="41" t="str">
        <f>'Population Definitions'!$A$12</f>
        <v>Miners</v>
      </c>
      <c r="B96" s="41" t="s">
        <v>10</v>
      </c>
      <c r="C96" s="12">
        <f t="shared" si="6"/>
        <v>0.24</v>
      </c>
      <c r="D96" s="41" t="s">
        <v>16</v>
      </c>
      <c r="E96" s="47"/>
      <c r="F96" s="22"/>
      <c r="G96" s="22"/>
      <c r="H96" s="22"/>
      <c r="I96" s="22"/>
      <c r="J96" s="22"/>
      <c r="K96" s="22"/>
      <c r="L96" s="22"/>
      <c r="M96" s="22"/>
      <c r="N96" s="22"/>
      <c r="O96" s="22"/>
      <c r="P96" s="22"/>
      <c r="Q96" s="22"/>
      <c r="R96" s="22"/>
      <c r="S96" s="22"/>
      <c r="T96" s="22"/>
      <c r="U96" s="22"/>
    </row>
    <row r="97" spans="1:23" x14ac:dyDescent="0.55000000000000004">
      <c r="A97" s="41" t="str">
        <f>'Population Definitions'!$A$13</f>
        <v>PLHIV Miners</v>
      </c>
      <c r="B97" s="41" t="s">
        <v>10</v>
      </c>
      <c r="C97" s="12">
        <f t="shared" si="6"/>
        <v>0.24</v>
      </c>
      <c r="D97" s="41" t="s">
        <v>16</v>
      </c>
      <c r="E97" s="47"/>
      <c r="F97" s="22"/>
      <c r="G97" s="22"/>
      <c r="H97" s="22"/>
      <c r="I97" s="22"/>
      <c r="J97" s="22"/>
      <c r="K97" s="22"/>
      <c r="L97" s="22"/>
      <c r="M97" s="22"/>
      <c r="N97" s="22"/>
      <c r="O97" s="22"/>
      <c r="P97" s="22"/>
      <c r="Q97" s="22"/>
      <c r="R97" s="22"/>
      <c r="S97" s="22"/>
      <c r="T97" s="22"/>
      <c r="U97" s="22"/>
    </row>
    <row r="98" spans="1:23" x14ac:dyDescent="0.55000000000000004">
      <c r="A98" s="37"/>
      <c r="B98" s="37"/>
      <c r="C98" s="37"/>
      <c r="D98" s="37"/>
      <c r="E98" s="37"/>
      <c r="F98" s="37"/>
      <c r="G98" s="37"/>
      <c r="H98" s="37"/>
      <c r="I98" s="37"/>
      <c r="J98" s="37"/>
      <c r="K98" s="37"/>
      <c r="L98" s="37"/>
      <c r="M98" s="37"/>
      <c r="N98" s="37"/>
      <c r="O98" s="37"/>
      <c r="P98" s="37"/>
      <c r="Q98" s="37"/>
      <c r="R98" s="37"/>
      <c r="S98" s="37"/>
      <c r="T98" s="37"/>
      <c r="U98" s="37"/>
    </row>
    <row r="99" spans="1:23" x14ac:dyDescent="0.55000000000000004">
      <c r="A99" s="21" t="s">
        <v>71</v>
      </c>
      <c r="B99" s="41" t="s">
        <v>8</v>
      </c>
      <c r="C99" s="41" t="s">
        <v>9</v>
      </c>
      <c r="D99" s="41"/>
      <c r="E99" s="41">
        <v>2000</v>
      </c>
      <c r="F99" s="41">
        <v>2001</v>
      </c>
      <c r="G99" s="41">
        <v>2002</v>
      </c>
      <c r="H99" s="41">
        <v>2003</v>
      </c>
      <c r="I99" s="41">
        <v>2004</v>
      </c>
      <c r="J99" s="41">
        <v>2005</v>
      </c>
      <c r="K99" s="41">
        <v>2006</v>
      </c>
      <c r="L99" s="41">
        <v>2007</v>
      </c>
      <c r="M99" s="41">
        <v>2008</v>
      </c>
      <c r="N99" s="41">
        <v>2009</v>
      </c>
      <c r="O99" s="41">
        <v>2010</v>
      </c>
      <c r="P99" s="41">
        <v>2011</v>
      </c>
      <c r="Q99" s="41">
        <v>2012</v>
      </c>
      <c r="R99" s="41">
        <v>2013</v>
      </c>
      <c r="S99" s="41">
        <v>2014</v>
      </c>
      <c r="T99" s="41">
        <v>2015</v>
      </c>
      <c r="U99" s="41">
        <v>2016</v>
      </c>
    </row>
    <row r="100" spans="1:23" x14ac:dyDescent="0.55000000000000004">
      <c r="A100" s="41" t="str">
        <f>'Population Definitions'!$A$2</f>
        <v>Gen 0-4</v>
      </c>
      <c r="B100" s="41" t="s">
        <v>10</v>
      </c>
      <c r="C100" s="12" t="str">
        <f t="shared" ref="C100:C111" si="7">IF(SUMPRODUCT(--(E100:U100&lt;&gt;""))=0,0.52,"N.A.")</f>
        <v>N.A.</v>
      </c>
      <c r="D100" s="41" t="s">
        <v>16</v>
      </c>
      <c r="E100" s="47"/>
      <c r="F100" s="22"/>
      <c r="G100" s="22"/>
      <c r="H100" s="22"/>
      <c r="I100" s="22"/>
      <c r="J100" s="22"/>
      <c r="K100" s="22"/>
      <c r="L100" s="22"/>
      <c r="M100" s="22"/>
      <c r="N100" s="22"/>
      <c r="O100" s="22">
        <v>0.7142857142857143</v>
      </c>
      <c r="P100" s="22"/>
      <c r="Q100" s="22"/>
      <c r="R100" s="22">
        <v>0.88888888888888884</v>
      </c>
      <c r="S100" s="22"/>
      <c r="T100" s="22"/>
      <c r="U100" s="22"/>
    </row>
    <row r="101" spans="1:23" x14ac:dyDescent="0.55000000000000004">
      <c r="A101" s="41" t="str">
        <f>'Population Definitions'!$A$3</f>
        <v>Gen 5-14</v>
      </c>
      <c r="B101" s="41" t="s">
        <v>10</v>
      </c>
      <c r="C101" s="12" t="str">
        <f t="shared" si="7"/>
        <v>N.A.</v>
      </c>
      <c r="D101" s="41" t="s">
        <v>16</v>
      </c>
      <c r="E101" s="47"/>
      <c r="F101" s="22"/>
      <c r="G101" s="22"/>
      <c r="H101" s="22"/>
      <c r="I101" s="22"/>
      <c r="J101" s="22"/>
      <c r="K101" s="22"/>
      <c r="L101" s="22"/>
      <c r="M101" s="22"/>
      <c r="N101" s="22">
        <v>0.66666666666666663</v>
      </c>
      <c r="O101" s="22"/>
      <c r="P101" s="22"/>
      <c r="Q101" s="22">
        <v>0.7142857142857143</v>
      </c>
      <c r="R101" s="22"/>
      <c r="S101" s="22">
        <v>0.55000000000000004</v>
      </c>
      <c r="T101" s="22"/>
      <c r="U101" s="22"/>
    </row>
    <row r="102" spans="1:23" x14ac:dyDescent="0.55000000000000004">
      <c r="A102" s="41" t="str">
        <f>'Population Definitions'!$A$4</f>
        <v>Gen 15-64</v>
      </c>
      <c r="B102" s="41" t="s">
        <v>10</v>
      </c>
      <c r="C102" s="12" t="str">
        <f t="shared" si="7"/>
        <v>N.A.</v>
      </c>
      <c r="D102" s="41" t="s">
        <v>16</v>
      </c>
      <c r="E102" s="47"/>
      <c r="F102" s="22"/>
      <c r="G102" s="22"/>
      <c r="H102" s="22"/>
      <c r="I102" s="22"/>
      <c r="J102" s="22"/>
      <c r="K102" s="22"/>
      <c r="L102" s="22"/>
      <c r="M102" s="22"/>
      <c r="N102" s="22"/>
      <c r="O102" s="22"/>
      <c r="P102" s="22">
        <v>0.5981219279583303</v>
      </c>
      <c r="Q102" s="22">
        <v>0.58178894164496853</v>
      </c>
      <c r="R102" s="22">
        <v>0.52494593276911738</v>
      </c>
      <c r="S102" s="22">
        <v>0.42567224759005584</v>
      </c>
      <c r="T102" s="22"/>
      <c r="U102" s="22"/>
      <c r="V102" s="53"/>
    </row>
    <row r="103" spans="1:23" x14ac:dyDescent="0.55000000000000004">
      <c r="A103" s="41" t="str">
        <f>'Population Definitions'!$A$5</f>
        <v>Gen 65+</v>
      </c>
      <c r="B103" s="41" t="s">
        <v>10</v>
      </c>
      <c r="C103" s="12" t="str">
        <f t="shared" si="7"/>
        <v>N.A.</v>
      </c>
      <c r="D103" s="41" t="s">
        <v>16</v>
      </c>
      <c r="E103" s="47"/>
      <c r="F103" s="22"/>
      <c r="G103" s="22"/>
      <c r="H103" s="22"/>
      <c r="I103" s="22"/>
      <c r="J103" s="22"/>
      <c r="K103" s="22"/>
      <c r="L103" s="22"/>
      <c r="M103" s="22"/>
      <c r="N103" s="22">
        <v>0.14548802946593004</v>
      </c>
      <c r="O103" s="22"/>
      <c r="P103" s="22">
        <v>0.17025862068965519</v>
      </c>
      <c r="Q103" s="22"/>
      <c r="R103" s="22"/>
      <c r="S103" s="22">
        <v>0.2</v>
      </c>
      <c r="T103" s="22"/>
      <c r="U103" s="22"/>
    </row>
    <row r="104" spans="1:23" x14ac:dyDescent="0.55000000000000004">
      <c r="A104" s="41" t="str">
        <f>'Population Definitions'!$A$6</f>
        <v>PLHIV 15-64</v>
      </c>
      <c r="B104" s="41" t="s">
        <v>10</v>
      </c>
      <c r="C104" s="12" t="str">
        <f t="shared" si="7"/>
        <v>N.A.</v>
      </c>
      <c r="D104" s="41" t="s">
        <v>16</v>
      </c>
      <c r="E104" s="47"/>
      <c r="F104" s="22"/>
      <c r="G104" s="22"/>
      <c r="H104" s="22"/>
      <c r="I104" s="22"/>
      <c r="J104" s="22"/>
      <c r="K104" s="22"/>
      <c r="L104" s="22"/>
      <c r="M104" s="22"/>
      <c r="N104" s="22">
        <v>0.3536231884057971</v>
      </c>
      <c r="O104" s="22">
        <v>0.42502972009078133</v>
      </c>
      <c r="P104" s="22"/>
      <c r="Q104" s="22">
        <v>0.46024652980161046</v>
      </c>
      <c r="R104" s="22">
        <v>0.38980797528137756</v>
      </c>
      <c r="S104" s="22">
        <v>0.40658313236167903</v>
      </c>
      <c r="T104" s="22"/>
      <c r="U104" s="22"/>
    </row>
    <row r="105" spans="1:23" x14ac:dyDescent="0.55000000000000004">
      <c r="A105" s="41" t="str">
        <f>'Population Definitions'!$A$7</f>
        <v>PLHIV 65+</v>
      </c>
      <c r="B105" s="41" t="s">
        <v>10</v>
      </c>
      <c r="C105" s="12" t="str">
        <f t="shared" si="7"/>
        <v>N.A.</v>
      </c>
      <c r="D105" s="41" t="s">
        <v>16</v>
      </c>
      <c r="E105" s="47"/>
      <c r="F105" s="22"/>
      <c r="G105" s="22"/>
      <c r="H105" s="22"/>
      <c r="I105" s="22"/>
      <c r="J105" s="22"/>
      <c r="K105" s="22"/>
      <c r="L105" s="22"/>
      <c r="M105" s="22"/>
      <c r="N105" s="22">
        <v>0.33333333333333331</v>
      </c>
      <c r="O105" s="22"/>
      <c r="P105" s="22"/>
      <c r="Q105" s="22"/>
      <c r="R105" s="22">
        <v>0.34693877551020408</v>
      </c>
      <c r="S105" s="22">
        <v>0.4</v>
      </c>
      <c r="T105" s="22"/>
      <c r="U105" s="22"/>
    </row>
    <row r="106" spans="1:23" x14ac:dyDescent="0.55000000000000004">
      <c r="A106" s="41" t="str">
        <f>'Population Definitions'!$A$8</f>
        <v>Prisoners</v>
      </c>
      <c r="B106" s="41" t="s">
        <v>10</v>
      </c>
      <c r="C106" s="12">
        <f t="shared" si="7"/>
        <v>0.52</v>
      </c>
      <c r="D106" s="41" t="s">
        <v>16</v>
      </c>
      <c r="E106" s="47"/>
      <c r="F106" s="22"/>
      <c r="G106" s="22"/>
      <c r="H106" s="22"/>
      <c r="I106" s="22"/>
      <c r="J106" s="22"/>
      <c r="K106" s="22"/>
      <c r="L106" s="22"/>
      <c r="M106" s="22"/>
      <c r="N106" s="22"/>
      <c r="O106" s="22"/>
      <c r="P106" s="22"/>
      <c r="Q106" s="22"/>
      <c r="R106" s="22"/>
      <c r="S106" s="22"/>
      <c r="T106" s="22"/>
      <c r="U106" s="22"/>
      <c r="W106" s="53"/>
    </row>
    <row r="107" spans="1:23" x14ac:dyDescent="0.55000000000000004">
      <c r="A107" s="41" t="str">
        <f>'Population Definitions'!$A$9</f>
        <v>PLHIV Prisoners</v>
      </c>
      <c r="B107" s="41" t="s">
        <v>10</v>
      </c>
      <c r="C107" s="12">
        <f t="shared" si="7"/>
        <v>0.52</v>
      </c>
      <c r="D107" s="41" t="s">
        <v>16</v>
      </c>
      <c r="E107" s="47"/>
      <c r="F107" s="22"/>
      <c r="G107" s="22"/>
      <c r="H107" s="22"/>
      <c r="I107" s="22"/>
      <c r="J107" s="22"/>
      <c r="K107" s="22"/>
      <c r="L107" s="22"/>
      <c r="M107" s="22"/>
      <c r="N107" s="22"/>
      <c r="O107" s="22"/>
      <c r="P107" s="22"/>
      <c r="Q107" s="22"/>
      <c r="R107" s="22"/>
      <c r="S107" s="22"/>
      <c r="T107" s="22"/>
      <c r="U107" s="22"/>
    </row>
    <row r="108" spans="1:23" x14ac:dyDescent="0.55000000000000004">
      <c r="A108" s="41" t="str">
        <f>'Population Definitions'!$A$10</f>
        <v>HCW</v>
      </c>
      <c r="B108" s="41" t="s">
        <v>10</v>
      </c>
      <c r="C108" s="12">
        <f t="shared" si="7"/>
        <v>0.52</v>
      </c>
      <c r="D108" s="41" t="s">
        <v>16</v>
      </c>
      <c r="E108" s="47"/>
      <c r="F108" s="22"/>
      <c r="G108" s="22"/>
      <c r="H108" s="22"/>
      <c r="I108" s="22"/>
      <c r="J108" s="22"/>
      <c r="K108" s="22"/>
      <c r="L108" s="22"/>
      <c r="M108" s="22"/>
      <c r="N108" s="22"/>
      <c r="O108" s="22"/>
      <c r="P108" s="22"/>
      <c r="Q108" s="22"/>
      <c r="R108" s="22"/>
      <c r="S108" s="22"/>
      <c r="T108" s="22"/>
      <c r="U108" s="22"/>
    </row>
    <row r="109" spans="1:23" x14ac:dyDescent="0.55000000000000004">
      <c r="A109" s="41" t="str">
        <f>'Population Definitions'!$A$11</f>
        <v>PLHIV HCW</v>
      </c>
      <c r="B109" s="41" t="s">
        <v>10</v>
      </c>
      <c r="C109" s="12">
        <f t="shared" si="7"/>
        <v>0.52</v>
      </c>
      <c r="D109" s="41" t="s">
        <v>16</v>
      </c>
      <c r="E109" s="47"/>
      <c r="F109" s="22"/>
      <c r="G109" s="22"/>
      <c r="H109" s="22"/>
      <c r="I109" s="22"/>
      <c r="J109" s="22"/>
      <c r="K109" s="22"/>
      <c r="L109" s="22"/>
      <c r="M109" s="22"/>
      <c r="N109" s="22"/>
      <c r="O109" s="22"/>
      <c r="P109" s="22"/>
      <c r="Q109" s="22"/>
      <c r="R109" s="22"/>
      <c r="S109" s="22"/>
      <c r="T109" s="22"/>
      <c r="U109" s="22"/>
    </row>
    <row r="110" spans="1:23" x14ac:dyDescent="0.55000000000000004">
      <c r="A110" s="41" t="str">
        <f>'Population Definitions'!$A$12</f>
        <v>Miners</v>
      </c>
      <c r="B110" s="41" t="s">
        <v>10</v>
      </c>
      <c r="C110" s="12">
        <f t="shared" si="7"/>
        <v>0.52</v>
      </c>
      <c r="D110" s="41" t="s">
        <v>16</v>
      </c>
      <c r="E110" s="47"/>
      <c r="F110" s="22"/>
      <c r="G110" s="22"/>
      <c r="H110" s="22"/>
      <c r="I110" s="22"/>
      <c r="J110" s="22"/>
      <c r="K110" s="22"/>
      <c r="L110" s="22"/>
      <c r="M110" s="22"/>
      <c r="N110" s="22"/>
      <c r="O110" s="22"/>
      <c r="P110" s="22"/>
      <c r="Q110" s="22"/>
      <c r="R110" s="22"/>
      <c r="S110" s="22"/>
      <c r="T110" s="22"/>
      <c r="U110" s="22"/>
    </row>
    <row r="111" spans="1:23" x14ac:dyDescent="0.55000000000000004">
      <c r="A111" s="41" t="str">
        <f>'Population Definitions'!$A$13</f>
        <v>PLHIV Miners</v>
      </c>
      <c r="B111" s="41" t="s">
        <v>10</v>
      </c>
      <c r="C111" s="12">
        <f t="shared" si="7"/>
        <v>0.52</v>
      </c>
      <c r="D111" s="41" t="s">
        <v>16</v>
      </c>
      <c r="E111" s="47"/>
      <c r="F111" s="22"/>
      <c r="G111" s="22"/>
      <c r="H111" s="22"/>
      <c r="I111" s="22"/>
      <c r="J111" s="22"/>
      <c r="K111" s="22"/>
      <c r="L111" s="22"/>
      <c r="M111" s="22"/>
      <c r="N111" s="22"/>
      <c r="O111" s="22"/>
      <c r="P111" s="22"/>
      <c r="Q111" s="22"/>
      <c r="R111" s="22"/>
      <c r="S111" s="22"/>
      <c r="T111" s="22"/>
      <c r="U111" s="22"/>
    </row>
    <row r="112" spans="1:23" x14ac:dyDescent="0.55000000000000004">
      <c r="A112" s="37"/>
      <c r="B112" s="37"/>
      <c r="C112" s="37"/>
      <c r="D112" s="37"/>
      <c r="E112" s="37"/>
      <c r="F112" s="37"/>
      <c r="G112" s="37"/>
      <c r="H112" s="37"/>
      <c r="I112" s="37"/>
      <c r="J112" s="37"/>
      <c r="K112" s="37"/>
      <c r="L112" s="37"/>
      <c r="M112" s="37"/>
      <c r="N112" s="37"/>
      <c r="O112" s="37"/>
      <c r="P112" s="37"/>
      <c r="Q112" s="37"/>
      <c r="R112" s="37"/>
      <c r="S112" s="37"/>
      <c r="T112" s="37"/>
      <c r="U112" s="37"/>
    </row>
    <row r="113" spans="1:21" x14ac:dyDescent="0.55000000000000004">
      <c r="A113" s="21" t="s">
        <v>76</v>
      </c>
      <c r="B113" s="41" t="s">
        <v>8</v>
      </c>
      <c r="C113" s="41" t="s">
        <v>9</v>
      </c>
      <c r="D113" s="41"/>
      <c r="E113" s="41">
        <v>2000</v>
      </c>
      <c r="F113" s="41">
        <v>2001</v>
      </c>
      <c r="G113" s="41">
        <v>2002</v>
      </c>
      <c r="H113" s="41">
        <v>2003</v>
      </c>
      <c r="I113" s="41">
        <v>2004</v>
      </c>
      <c r="J113" s="41">
        <v>2005</v>
      </c>
      <c r="K113" s="41">
        <v>2006</v>
      </c>
      <c r="L113" s="41">
        <v>2007</v>
      </c>
      <c r="M113" s="41">
        <v>2008</v>
      </c>
      <c r="N113" s="41">
        <v>2009</v>
      </c>
      <c r="O113" s="41">
        <v>2010</v>
      </c>
      <c r="P113" s="41">
        <v>2011</v>
      </c>
      <c r="Q113" s="41">
        <v>2012</v>
      </c>
      <c r="R113" s="41">
        <v>2013</v>
      </c>
      <c r="S113" s="41">
        <v>2014</v>
      </c>
      <c r="T113" s="41">
        <v>2015</v>
      </c>
      <c r="U113" s="41">
        <v>2016</v>
      </c>
    </row>
    <row r="114" spans="1:21" x14ac:dyDescent="0.55000000000000004">
      <c r="A114" s="41" t="str">
        <f>'Population Definitions'!$A$2</f>
        <v>Gen 0-4</v>
      </c>
      <c r="B114" s="41" t="s">
        <v>10</v>
      </c>
      <c r="C114" s="12" t="str">
        <f t="shared" ref="C114:C125" si="8">IF(SUMPRODUCT(--(E114:U114&lt;&gt;""))=0,0.59,"N.A.")</f>
        <v>N.A.</v>
      </c>
      <c r="D114" s="41" t="s">
        <v>16</v>
      </c>
      <c r="E114" s="47"/>
      <c r="F114" s="22"/>
      <c r="G114" s="22"/>
      <c r="H114" s="22"/>
      <c r="I114" s="22"/>
      <c r="J114" s="22"/>
      <c r="K114" s="22"/>
      <c r="L114" s="22"/>
      <c r="M114" s="22">
        <f>'[4]Notified Cases'!M30/'[4]Active TB Prevalence'!M58</f>
        <v>0.68417739916270781</v>
      </c>
      <c r="N114" s="22"/>
      <c r="O114" s="22"/>
      <c r="P114" s="22"/>
      <c r="Q114" s="22"/>
      <c r="R114" s="22"/>
      <c r="S114" s="22"/>
      <c r="T114" s="22"/>
      <c r="U114" s="22"/>
    </row>
    <row r="115" spans="1:21" x14ac:dyDescent="0.55000000000000004">
      <c r="A115" s="41" t="str">
        <f>'Population Definitions'!$A$3</f>
        <v>Gen 5-14</v>
      </c>
      <c r="B115" s="41" t="s">
        <v>10</v>
      </c>
      <c r="C115" s="12">
        <f t="shared" si="8"/>
        <v>0.59</v>
      </c>
      <c r="D115" s="41" t="s">
        <v>16</v>
      </c>
      <c r="E115" s="47"/>
      <c r="F115" s="22"/>
      <c r="G115" s="22"/>
      <c r="H115" s="22"/>
      <c r="I115" s="22"/>
      <c r="J115" s="22"/>
      <c r="K115" s="22"/>
      <c r="L115" s="22"/>
      <c r="M115" s="22"/>
      <c r="N115" s="22"/>
      <c r="O115" s="22"/>
      <c r="P115" s="22"/>
      <c r="Q115" s="22"/>
      <c r="R115" s="22"/>
      <c r="S115" s="22"/>
      <c r="T115" s="22"/>
      <c r="U115" s="22"/>
    </row>
    <row r="116" spans="1:21" x14ac:dyDescent="0.55000000000000004">
      <c r="A116" s="41" t="str">
        <f>'Population Definitions'!$A$4</f>
        <v>Gen 15-64</v>
      </c>
      <c r="B116" s="41" t="s">
        <v>10</v>
      </c>
      <c r="C116" s="12" t="str">
        <f t="shared" si="8"/>
        <v>N.A.</v>
      </c>
      <c r="D116" s="41" t="s">
        <v>16</v>
      </c>
      <c r="E116" s="47"/>
      <c r="F116" s="22"/>
      <c r="G116" s="22"/>
      <c r="H116" s="22"/>
      <c r="I116" s="22"/>
      <c r="J116" s="22"/>
      <c r="K116" s="22"/>
      <c r="L116" s="22">
        <f>'[4]Notified Cases'!L32/'[4]Active TB Prevalence'!L60</f>
        <v>0.62653996495110453</v>
      </c>
      <c r="M116" s="22"/>
      <c r="N116" s="22"/>
      <c r="O116" s="22">
        <f>'[4]Notified Cases'!O32/'[4]Active TB Prevalence'!O60</f>
        <v>0.73016553019208075</v>
      </c>
      <c r="P116" s="22"/>
      <c r="Q116" s="22">
        <f>'[4]Notified Cases'!Q32/'[4]Active TB Prevalence'!Q60</f>
        <v>0.71294256594944572</v>
      </c>
      <c r="R116" s="22">
        <f>'[4]Notified Cases'!R32/'[4]Active TB Prevalence'!R60</f>
        <v>0.68381977238005032</v>
      </c>
      <c r="S116" s="22">
        <f>'[4]Notified Cases'!S32/'[4]Active TB Prevalence'!S60</f>
        <v>0.65602333788131761</v>
      </c>
      <c r="T116" s="22"/>
      <c r="U116" s="22"/>
    </row>
    <row r="117" spans="1:21" x14ac:dyDescent="0.55000000000000004">
      <c r="A117" s="41" t="str">
        <f>'Population Definitions'!$A$5</f>
        <v>Gen 65+</v>
      </c>
      <c r="B117" s="41" t="s">
        <v>10</v>
      </c>
      <c r="C117" s="12">
        <f t="shared" si="8"/>
        <v>0.59</v>
      </c>
      <c r="D117" s="41" t="s">
        <v>16</v>
      </c>
      <c r="E117" s="47"/>
      <c r="F117" s="22"/>
      <c r="G117" s="22"/>
      <c r="H117" s="22"/>
      <c r="I117" s="22"/>
      <c r="J117" s="22"/>
      <c r="K117" s="22"/>
      <c r="L117" s="22"/>
      <c r="M117" s="22"/>
      <c r="N117" s="22"/>
      <c r="O117" s="22"/>
      <c r="P117" s="22"/>
      <c r="Q117" s="22"/>
      <c r="R117" s="22"/>
      <c r="S117" s="22"/>
      <c r="T117" s="22"/>
      <c r="U117" s="22"/>
    </row>
    <row r="118" spans="1:21" x14ac:dyDescent="0.55000000000000004">
      <c r="A118" s="41" t="str">
        <f>'Population Definitions'!$A$6</f>
        <v>PLHIV 15-64</v>
      </c>
      <c r="B118" s="41" t="s">
        <v>10</v>
      </c>
      <c r="C118" s="12" t="str">
        <f t="shared" si="8"/>
        <v>N.A.</v>
      </c>
      <c r="D118" s="41" t="s">
        <v>16</v>
      </c>
      <c r="E118" s="47"/>
      <c r="F118" s="22"/>
      <c r="G118" s="22"/>
      <c r="H118" s="22"/>
      <c r="I118" s="22"/>
      <c r="J118" s="22"/>
      <c r="K118" s="22"/>
      <c r="L118" s="22">
        <f>'[4]Notified Cases'!L34/'[4]Active TB Prevalence'!L62</f>
        <v>0.62675728247034024</v>
      </c>
      <c r="M118" s="22"/>
      <c r="N118" s="22">
        <f>'[4]Notified Cases'!N34/'[4]Active TB Prevalence'!N62</f>
        <v>0.72660518196804846</v>
      </c>
      <c r="O118" s="22">
        <f>'[4]Notified Cases'!O34/'[4]Active TB Prevalence'!O62</f>
        <v>0.73071436852812177</v>
      </c>
      <c r="P118" s="22"/>
      <c r="Q118" s="22">
        <f>'[4]Notified Cases'!Q34/'[4]Active TB Prevalence'!Q62</f>
        <v>0.7134097575033268</v>
      </c>
      <c r="R118" s="22">
        <f>'[4]Notified Cases'!R34/'[4]Active TB Prevalence'!R62</f>
        <v>0.68404139569767641</v>
      </c>
      <c r="S118" s="22">
        <f>'[4]Notified Cases'!S34/'[4]Active TB Prevalence'!S62</f>
        <v>0.65661033666112878</v>
      </c>
      <c r="T118" s="22"/>
      <c r="U118" s="22"/>
    </row>
    <row r="119" spans="1:21" x14ac:dyDescent="0.55000000000000004">
      <c r="A119" s="41" t="str">
        <f>'Population Definitions'!$A$7</f>
        <v>PLHIV 65+</v>
      </c>
      <c r="B119" s="41" t="s">
        <v>10</v>
      </c>
      <c r="C119" s="12">
        <f t="shared" si="8"/>
        <v>0.59</v>
      </c>
      <c r="D119" s="41" t="s">
        <v>16</v>
      </c>
      <c r="E119" s="47"/>
      <c r="F119" s="22"/>
      <c r="G119" s="22"/>
      <c r="H119" s="22"/>
      <c r="I119" s="22"/>
      <c r="J119" s="22"/>
      <c r="K119" s="22"/>
      <c r="L119" s="22"/>
      <c r="M119" s="22"/>
      <c r="N119" s="22"/>
      <c r="O119" s="22"/>
      <c r="P119" s="22"/>
      <c r="Q119" s="22"/>
      <c r="R119" s="22"/>
      <c r="S119" s="22"/>
      <c r="T119" s="22"/>
      <c r="U119" s="22"/>
    </row>
    <row r="120" spans="1:21" x14ac:dyDescent="0.55000000000000004">
      <c r="A120" s="41" t="str">
        <f>'Population Definitions'!$A$8</f>
        <v>Prisoners</v>
      </c>
      <c r="B120" s="41" t="s">
        <v>10</v>
      </c>
      <c r="C120" s="12">
        <f t="shared" si="8"/>
        <v>0.59</v>
      </c>
      <c r="D120" s="41" t="s">
        <v>16</v>
      </c>
      <c r="E120" s="47"/>
      <c r="F120" s="22"/>
      <c r="G120" s="22"/>
      <c r="H120" s="22"/>
      <c r="I120" s="22"/>
      <c r="J120" s="22"/>
      <c r="K120" s="22"/>
      <c r="L120" s="22"/>
      <c r="M120" s="22"/>
      <c r="N120" s="22"/>
      <c r="O120" s="22"/>
      <c r="P120" s="22"/>
      <c r="Q120" s="22"/>
      <c r="R120" s="22"/>
      <c r="S120" s="22"/>
      <c r="T120" s="22"/>
      <c r="U120" s="22"/>
    </row>
    <row r="121" spans="1:21" x14ac:dyDescent="0.55000000000000004">
      <c r="A121" s="41" t="str">
        <f>'Population Definitions'!$A$9</f>
        <v>PLHIV Prisoners</v>
      </c>
      <c r="B121" s="41" t="s">
        <v>10</v>
      </c>
      <c r="C121" s="12">
        <f t="shared" si="8"/>
        <v>0.59</v>
      </c>
      <c r="D121" s="41" t="s">
        <v>16</v>
      </c>
      <c r="E121" s="47"/>
      <c r="F121" s="22"/>
      <c r="G121" s="22"/>
      <c r="H121" s="22"/>
      <c r="I121" s="22"/>
      <c r="J121" s="22"/>
      <c r="K121" s="22"/>
      <c r="L121" s="22"/>
      <c r="M121" s="22"/>
      <c r="N121" s="22"/>
      <c r="O121" s="22"/>
      <c r="P121" s="22"/>
      <c r="Q121" s="22"/>
      <c r="R121" s="22"/>
      <c r="S121" s="22"/>
      <c r="T121" s="22"/>
      <c r="U121" s="22"/>
    </row>
    <row r="122" spans="1:21" x14ac:dyDescent="0.55000000000000004">
      <c r="A122" s="41" t="str">
        <f>'Population Definitions'!$A$10</f>
        <v>HCW</v>
      </c>
      <c r="B122" s="41" t="s">
        <v>10</v>
      </c>
      <c r="C122" s="12">
        <f t="shared" si="8"/>
        <v>0.59</v>
      </c>
      <c r="D122" s="41" t="s">
        <v>16</v>
      </c>
      <c r="E122" s="47"/>
      <c r="F122" s="22"/>
      <c r="G122" s="22"/>
      <c r="H122" s="22"/>
      <c r="I122" s="22"/>
      <c r="J122" s="22"/>
      <c r="K122" s="22"/>
      <c r="L122" s="22"/>
      <c r="M122" s="22"/>
      <c r="N122" s="22"/>
      <c r="O122" s="22"/>
      <c r="P122" s="22"/>
      <c r="Q122" s="22"/>
      <c r="R122" s="22"/>
      <c r="S122" s="22"/>
      <c r="T122" s="22"/>
      <c r="U122" s="22"/>
    </row>
    <row r="123" spans="1:21" x14ac:dyDescent="0.55000000000000004">
      <c r="A123" s="41" t="str">
        <f>'Population Definitions'!$A$11</f>
        <v>PLHIV HCW</v>
      </c>
      <c r="B123" s="41" t="s">
        <v>10</v>
      </c>
      <c r="C123" s="12">
        <f t="shared" si="8"/>
        <v>0.59</v>
      </c>
      <c r="D123" s="41" t="s">
        <v>16</v>
      </c>
      <c r="E123" s="47"/>
      <c r="F123" s="22"/>
      <c r="G123" s="22"/>
      <c r="H123" s="22"/>
      <c r="I123" s="22"/>
      <c r="J123" s="22"/>
      <c r="K123" s="22"/>
      <c r="L123" s="22"/>
      <c r="M123" s="22"/>
      <c r="N123" s="22"/>
      <c r="O123" s="22"/>
      <c r="P123" s="22"/>
      <c r="Q123" s="22"/>
      <c r="R123" s="22"/>
      <c r="S123" s="22"/>
      <c r="T123" s="22"/>
      <c r="U123" s="22"/>
    </row>
    <row r="124" spans="1:21" x14ac:dyDescent="0.55000000000000004">
      <c r="A124" s="41" t="str">
        <f>'Population Definitions'!$A$12</f>
        <v>Miners</v>
      </c>
      <c r="B124" s="41" t="s">
        <v>10</v>
      </c>
      <c r="C124" s="12" t="str">
        <f t="shared" si="8"/>
        <v>N.A.</v>
      </c>
      <c r="D124" s="41" t="s">
        <v>16</v>
      </c>
      <c r="E124" s="47"/>
      <c r="F124" s="22"/>
      <c r="G124" s="22"/>
      <c r="H124" s="22"/>
      <c r="I124" s="22"/>
      <c r="J124" s="22"/>
      <c r="K124" s="22"/>
      <c r="L124" s="22"/>
      <c r="M124" s="22"/>
      <c r="N124" s="22"/>
      <c r="O124" s="22"/>
      <c r="P124" s="22"/>
      <c r="Q124" s="22"/>
      <c r="R124" s="22"/>
      <c r="S124" s="22"/>
      <c r="T124" s="22">
        <v>0.8</v>
      </c>
      <c r="U124" s="22"/>
    </row>
    <row r="125" spans="1:21" x14ac:dyDescent="0.55000000000000004">
      <c r="A125" s="41" t="str">
        <f>'Population Definitions'!$A$13</f>
        <v>PLHIV Miners</v>
      </c>
      <c r="B125" s="41" t="s">
        <v>10</v>
      </c>
      <c r="C125" s="12" t="str">
        <f t="shared" si="8"/>
        <v>N.A.</v>
      </c>
      <c r="D125" s="41" t="s">
        <v>16</v>
      </c>
      <c r="E125" s="47"/>
      <c r="F125" s="22"/>
      <c r="G125" s="22"/>
      <c r="H125" s="22"/>
      <c r="I125" s="22"/>
      <c r="J125" s="22"/>
      <c r="K125" s="22"/>
      <c r="L125" s="22"/>
      <c r="M125" s="22"/>
      <c r="N125" s="22"/>
      <c r="O125" s="22"/>
      <c r="P125" s="22"/>
      <c r="Q125" s="22"/>
      <c r="R125" s="22"/>
      <c r="S125" s="22"/>
      <c r="T125" s="22">
        <v>0.8</v>
      </c>
      <c r="U125" s="22"/>
    </row>
    <row r="126" spans="1:21" x14ac:dyDescent="0.55000000000000004">
      <c r="A126" s="37"/>
      <c r="B126" s="37"/>
      <c r="C126" s="37"/>
      <c r="D126" s="37"/>
      <c r="E126" s="37"/>
      <c r="F126" s="37"/>
      <c r="G126" s="37"/>
      <c r="H126" s="37"/>
      <c r="I126" s="37"/>
      <c r="J126" s="37"/>
      <c r="K126" s="37"/>
      <c r="L126" s="37"/>
      <c r="M126" s="37"/>
      <c r="N126" s="37"/>
      <c r="O126" s="37"/>
      <c r="P126" s="37"/>
      <c r="Q126" s="37"/>
      <c r="R126" s="37"/>
      <c r="S126" s="37"/>
      <c r="T126" s="37"/>
      <c r="U126" s="37"/>
    </row>
    <row r="127" spans="1:21" x14ac:dyDescent="0.55000000000000004">
      <c r="A127" s="21" t="s">
        <v>81</v>
      </c>
      <c r="B127" s="41" t="s">
        <v>8</v>
      </c>
      <c r="C127" s="41" t="s">
        <v>9</v>
      </c>
      <c r="D127" s="41"/>
      <c r="E127" s="41">
        <v>2000</v>
      </c>
      <c r="F127" s="41">
        <v>2001</v>
      </c>
      <c r="G127" s="41">
        <v>2002</v>
      </c>
      <c r="H127" s="41">
        <v>2003</v>
      </c>
      <c r="I127" s="41">
        <v>2004</v>
      </c>
      <c r="J127" s="41">
        <v>2005</v>
      </c>
      <c r="K127" s="41">
        <v>2006</v>
      </c>
      <c r="L127" s="41">
        <v>2007</v>
      </c>
      <c r="M127" s="41">
        <v>2008</v>
      </c>
      <c r="N127" s="41">
        <v>2009</v>
      </c>
      <c r="O127" s="41">
        <v>2010</v>
      </c>
      <c r="P127" s="41">
        <v>2011</v>
      </c>
      <c r="Q127" s="41">
        <v>2012</v>
      </c>
      <c r="R127" s="41">
        <v>2013</v>
      </c>
      <c r="S127" s="41">
        <v>2014</v>
      </c>
      <c r="T127" s="41">
        <v>2015</v>
      </c>
      <c r="U127" s="41">
        <v>2016</v>
      </c>
    </row>
    <row r="128" spans="1:21" x14ac:dyDescent="0.55000000000000004">
      <c r="A128" s="41" t="str">
        <f>'Population Definitions'!$A$2</f>
        <v>Gen 0-4</v>
      </c>
      <c r="B128" s="41" t="s">
        <v>10</v>
      </c>
      <c r="C128" s="12" t="str">
        <f t="shared" ref="C128:C139" si="9">IF(SUMPRODUCT(--(E128:U128&lt;&gt;""))=0,0.37,"N.A.")</f>
        <v>N.A.</v>
      </c>
      <c r="D128" s="41" t="s">
        <v>16</v>
      </c>
      <c r="E128" s="47"/>
      <c r="F128" s="22"/>
      <c r="G128" s="22"/>
      <c r="H128" s="22"/>
      <c r="I128" s="22"/>
      <c r="J128" s="22"/>
      <c r="K128" s="22"/>
      <c r="L128" s="22"/>
      <c r="M128" s="22"/>
      <c r="N128" s="22"/>
      <c r="O128" s="22"/>
      <c r="P128" s="22"/>
      <c r="Q128" s="22">
        <v>0.81</v>
      </c>
      <c r="R128" s="22">
        <v>1</v>
      </c>
      <c r="S128" s="22"/>
      <c r="T128" s="22"/>
      <c r="U128" s="22"/>
    </row>
    <row r="129" spans="1:23" x14ac:dyDescent="0.55000000000000004">
      <c r="A129" s="41" t="str">
        <f>'Population Definitions'!$A$3</f>
        <v>Gen 5-14</v>
      </c>
      <c r="B129" s="41" t="s">
        <v>10</v>
      </c>
      <c r="C129" s="12" t="str">
        <f t="shared" si="9"/>
        <v>N.A.</v>
      </c>
      <c r="D129" s="41" t="s">
        <v>16</v>
      </c>
      <c r="E129" s="47"/>
      <c r="F129" s="22"/>
      <c r="G129" s="22"/>
      <c r="H129" s="22"/>
      <c r="I129" s="22"/>
      <c r="J129" s="22"/>
      <c r="K129" s="22"/>
      <c r="L129" s="22"/>
      <c r="M129" s="22"/>
      <c r="N129" s="22"/>
      <c r="O129" s="22"/>
      <c r="P129" s="22"/>
      <c r="Q129" s="22">
        <v>0.81</v>
      </c>
      <c r="R129" s="22">
        <v>1</v>
      </c>
      <c r="S129" s="22"/>
      <c r="T129" s="22"/>
      <c r="U129" s="22"/>
    </row>
    <row r="130" spans="1:23" x14ac:dyDescent="0.55000000000000004">
      <c r="A130" s="41" t="str">
        <f>'Population Definitions'!$A$4</f>
        <v>Gen 15-64</v>
      </c>
      <c r="B130" s="41" t="s">
        <v>10</v>
      </c>
      <c r="C130" s="12" t="str">
        <f t="shared" si="9"/>
        <v>N.A.</v>
      </c>
      <c r="D130" s="41" t="s">
        <v>16</v>
      </c>
      <c r="E130" s="47"/>
      <c r="F130" s="22"/>
      <c r="G130" s="22"/>
      <c r="H130" s="22"/>
      <c r="I130" s="22"/>
      <c r="J130" s="22"/>
      <c r="K130" s="22"/>
      <c r="L130" s="22"/>
      <c r="M130" s="22"/>
      <c r="N130" s="22"/>
      <c r="O130" s="22"/>
      <c r="P130" s="22"/>
      <c r="Q130" s="22">
        <v>0.81</v>
      </c>
      <c r="R130" s="22">
        <v>1</v>
      </c>
      <c r="S130" s="22"/>
      <c r="T130" s="22"/>
      <c r="U130" s="22"/>
    </row>
    <row r="131" spans="1:23" x14ac:dyDescent="0.55000000000000004">
      <c r="A131" s="41" t="str">
        <f>'Population Definitions'!$A$5</f>
        <v>Gen 65+</v>
      </c>
      <c r="B131" s="41" t="s">
        <v>10</v>
      </c>
      <c r="C131" s="12" t="str">
        <f t="shared" si="9"/>
        <v>N.A.</v>
      </c>
      <c r="D131" s="41" t="s">
        <v>16</v>
      </c>
      <c r="E131" s="47"/>
      <c r="F131" s="22"/>
      <c r="G131" s="22"/>
      <c r="H131" s="22"/>
      <c r="I131" s="22"/>
      <c r="J131" s="22"/>
      <c r="K131" s="22"/>
      <c r="L131" s="22"/>
      <c r="M131" s="22"/>
      <c r="N131" s="22"/>
      <c r="O131" s="22"/>
      <c r="P131" s="22"/>
      <c r="Q131" s="22">
        <v>0.81</v>
      </c>
      <c r="R131" s="22">
        <v>1</v>
      </c>
      <c r="S131" s="22"/>
      <c r="T131" s="22"/>
      <c r="U131" s="22"/>
    </row>
    <row r="132" spans="1:23" x14ac:dyDescent="0.55000000000000004">
      <c r="A132" s="41" t="str">
        <f>'Population Definitions'!$A$6</f>
        <v>PLHIV 15-64</v>
      </c>
      <c r="B132" s="41" t="s">
        <v>10</v>
      </c>
      <c r="C132" s="12" t="str">
        <f t="shared" si="9"/>
        <v>N.A.</v>
      </c>
      <c r="D132" s="41" t="s">
        <v>16</v>
      </c>
      <c r="E132" s="47"/>
      <c r="F132" s="22"/>
      <c r="G132" s="22"/>
      <c r="H132" s="22"/>
      <c r="I132" s="22"/>
      <c r="J132" s="22"/>
      <c r="K132" s="22"/>
      <c r="L132" s="22"/>
      <c r="M132" s="22"/>
      <c r="N132" s="22"/>
      <c r="O132" s="22"/>
      <c r="P132" s="22"/>
      <c r="Q132" s="22">
        <v>0.81</v>
      </c>
      <c r="R132" s="22">
        <v>1</v>
      </c>
      <c r="S132" s="22"/>
      <c r="T132" s="22"/>
      <c r="U132" s="22"/>
    </row>
    <row r="133" spans="1:23" x14ac:dyDescent="0.55000000000000004">
      <c r="A133" s="41" t="str">
        <f>'Population Definitions'!$A$7</f>
        <v>PLHIV 65+</v>
      </c>
      <c r="B133" s="41" t="s">
        <v>10</v>
      </c>
      <c r="C133" s="12" t="str">
        <f t="shared" si="9"/>
        <v>N.A.</v>
      </c>
      <c r="D133" s="41" t="s">
        <v>16</v>
      </c>
      <c r="E133" s="47"/>
      <c r="F133" s="22"/>
      <c r="G133" s="22"/>
      <c r="H133" s="22"/>
      <c r="I133" s="22"/>
      <c r="J133" s="22"/>
      <c r="K133" s="22"/>
      <c r="L133" s="22"/>
      <c r="M133" s="22"/>
      <c r="N133" s="22"/>
      <c r="O133" s="22"/>
      <c r="P133" s="22"/>
      <c r="Q133" s="22">
        <v>0.81</v>
      </c>
      <c r="R133" s="22">
        <v>1</v>
      </c>
      <c r="S133" s="22"/>
      <c r="T133" s="22"/>
      <c r="U133" s="22"/>
    </row>
    <row r="134" spans="1:23" x14ac:dyDescent="0.55000000000000004">
      <c r="A134" s="41" t="str">
        <f>'Population Definitions'!$A$8</f>
        <v>Prisoners</v>
      </c>
      <c r="B134" s="41" t="s">
        <v>10</v>
      </c>
      <c r="C134" s="12">
        <f t="shared" si="9"/>
        <v>0.37</v>
      </c>
      <c r="D134" s="41" t="s">
        <v>16</v>
      </c>
      <c r="E134" s="47"/>
      <c r="F134" s="22"/>
      <c r="G134" s="22"/>
      <c r="H134" s="22"/>
      <c r="I134" s="22"/>
      <c r="J134" s="22"/>
      <c r="K134" s="22"/>
      <c r="L134" s="22"/>
      <c r="M134" s="22"/>
      <c r="N134" s="22"/>
      <c r="O134" s="22"/>
      <c r="P134" s="22"/>
      <c r="Q134" s="22"/>
      <c r="R134" s="22"/>
      <c r="S134" s="22"/>
      <c r="T134" s="22"/>
      <c r="U134" s="22"/>
    </row>
    <row r="135" spans="1:23" x14ac:dyDescent="0.55000000000000004">
      <c r="A135" s="41" t="str">
        <f>'Population Definitions'!$A$9</f>
        <v>PLHIV Prisoners</v>
      </c>
      <c r="B135" s="41" t="s">
        <v>10</v>
      </c>
      <c r="C135" s="12">
        <f t="shared" si="9"/>
        <v>0.37</v>
      </c>
      <c r="D135" s="41" t="s">
        <v>16</v>
      </c>
      <c r="E135" s="47"/>
      <c r="F135" s="22"/>
      <c r="G135" s="22"/>
      <c r="H135" s="22"/>
      <c r="I135" s="22"/>
      <c r="J135" s="22"/>
      <c r="K135" s="22"/>
      <c r="L135" s="22"/>
      <c r="M135" s="22"/>
      <c r="N135" s="22"/>
      <c r="O135" s="22"/>
      <c r="P135" s="22"/>
      <c r="Q135" s="22"/>
      <c r="R135" s="22"/>
      <c r="S135" s="22"/>
      <c r="T135" s="22"/>
      <c r="U135" s="22"/>
    </row>
    <row r="136" spans="1:23" x14ac:dyDescent="0.55000000000000004">
      <c r="A136" s="41" t="str">
        <f>'Population Definitions'!$A$10</f>
        <v>HCW</v>
      </c>
      <c r="B136" s="41" t="s">
        <v>10</v>
      </c>
      <c r="C136" s="12">
        <f t="shared" si="9"/>
        <v>0.37</v>
      </c>
      <c r="D136" s="41" t="s">
        <v>16</v>
      </c>
      <c r="E136" s="47"/>
      <c r="F136" s="22"/>
      <c r="G136" s="22"/>
      <c r="H136" s="22"/>
      <c r="I136" s="22"/>
      <c r="J136" s="22"/>
      <c r="K136" s="22"/>
      <c r="L136" s="22"/>
      <c r="M136" s="22"/>
      <c r="N136" s="22"/>
      <c r="O136" s="22"/>
      <c r="P136" s="22"/>
      <c r="Q136" s="22"/>
      <c r="R136" s="22"/>
      <c r="S136" s="22"/>
      <c r="T136" s="22"/>
      <c r="U136" s="22"/>
    </row>
    <row r="137" spans="1:23" x14ac:dyDescent="0.55000000000000004">
      <c r="A137" s="41" t="str">
        <f>'Population Definitions'!$A$11</f>
        <v>PLHIV HCW</v>
      </c>
      <c r="B137" s="41" t="s">
        <v>10</v>
      </c>
      <c r="C137" s="12">
        <f t="shared" si="9"/>
        <v>0.37</v>
      </c>
      <c r="D137" s="41" t="s">
        <v>16</v>
      </c>
      <c r="E137" s="47"/>
      <c r="F137" s="22"/>
      <c r="G137" s="22"/>
      <c r="H137" s="22"/>
      <c r="I137" s="22"/>
      <c r="J137" s="22"/>
      <c r="K137" s="22"/>
      <c r="L137" s="22"/>
      <c r="M137" s="22"/>
      <c r="N137" s="22"/>
      <c r="O137" s="22"/>
      <c r="P137" s="22"/>
      <c r="Q137" s="22"/>
      <c r="R137" s="22"/>
      <c r="S137" s="22"/>
      <c r="T137" s="22"/>
      <c r="U137" s="22"/>
    </row>
    <row r="138" spans="1:23" x14ac:dyDescent="0.55000000000000004">
      <c r="A138" s="41" t="str">
        <f>'Population Definitions'!$A$12</f>
        <v>Miners</v>
      </c>
      <c r="B138" s="41" t="s">
        <v>10</v>
      </c>
      <c r="C138" s="12" t="str">
        <f t="shared" si="9"/>
        <v>N.A.</v>
      </c>
      <c r="D138" s="41" t="s">
        <v>16</v>
      </c>
      <c r="E138" s="47"/>
      <c r="F138" s="22"/>
      <c r="G138" s="22"/>
      <c r="H138" s="22"/>
      <c r="I138" s="22"/>
      <c r="J138" s="22"/>
      <c r="K138" s="22"/>
      <c r="L138" s="22"/>
      <c r="M138" s="22"/>
      <c r="N138" s="22"/>
      <c r="O138" s="22"/>
      <c r="P138" s="22"/>
      <c r="Q138" s="22"/>
      <c r="R138" s="22"/>
      <c r="S138" s="22"/>
      <c r="T138" s="22">
        <v>0.75</v>
      </c>
      <c r="U138" s="22"/>
    </row>
    <row r="139" spans="1:23" x14ac:dyDescent="0.55000000000000004">
      <c r="A139" s="41" t="str">
        <f>'Population Definitions'!$A$13</f>
        <v>PLHIV Miners</v>
      </c>
      <c r="B139" s="41" t="s">
        <v>10</v>
      </c>
      <c r="C139" s="12" t="str">
        <f t="shared" si="9"/>
        <v>N.A.</v>
      </c>
      <c r="D139" s="41" t="s">
        <v>16</v>
      </c>
      <c r="E139" s="47"/>
      <c r="F139" s="22"/>
      <c r="G139" s="22"/>
      <c r="H139" s="22"/>
      <c r="I139" s="22"/>
      <c r="J139" s="22"/>
      <c r="K139" s="22"/>
      <c r="L139" s="22"/>
      <c r="M139" s="22"/>
      <c r="N139" s="22"/>
      <c r="O139" s="22"/>
      <c r="P139" s="22"/>
      <c r="Q139" s="22"/>
      <c r="R139" s="22"/>
      <c r="S139" s="22"/>
      <c r="T139" s="22">
        <v>0.75</v>
      </c>
      <c r="U139" s="22"/>
    </row>
    <row r="140" spans="1:23" x14ac:dyDescent="0.55000000000000004">
      <c r="A140" s="37"/>
      <c r="B140" s="37"/>
      <c r="C140" s="37"/>
      <c r="D140" s="37"/>
      <c r="E140" s="37"/>
      <c r="F140" s="37"/>
      <c r="G140" s="37"/>
      <c r="H140" s="37"/>
      <c r="I140" s="37"/>
      <c r="J140" s="37"/>
      <c r="K140" s="37"/>
      <c r="L140" s="37"/>
      <c r="M140" s="37"/>
      <c r="N140" s="37"/>
      <c r="O140" s="37"/>
      <c r="P140" s="37"/>
      <c r="Q140" s="37"/>
      <c r="R140" s="37"/>
      <c r="S140" s="37"/>
      <c r="T140" s="37"/>
      <c r="U140" s="37"/>
    </row>
    <row r="141" spans="1:23" x14ac:dyDescent="0.55000000000000004">
      <c r="A141" s="21" t="s">
        <v>85</v>
      </c>
      <c r="B141" s="41" t="s">
        <v>8</v>
      </c>
      <c r="C141" s="41" t="s">
        <v>9</v>
      </c>
      <c r="D141" s="41"/>
      <c r="E141" s="41">
        <v>2000</v>
      </c>
      <c r="F141" s="41">
        <v>2001</v>
      </c>
      <c r="G141" s="41">
        <v>2002</v>
      </c>
      <c r="H141" s="41">
        <v>2003</v>
      </c>
      <c r="I141" s="41">
        <v>2004</v>
      </c>
      <c r="J141" s="41">
        <v>2005</v>
      </c>
      <c r="K141" s="41">
        <v>2006</v>
      </c>
      <c r="L141" s="41">
        <v>2007</v>
      </c>
      <c r="M141" s="41">
        <v>2008</v>
      </c>
      <c r="N141" s="41">
        <v>2009</v>
      </c>
      <c r="O141" s="41">
        <v>2010</v>
      </c>
      <c r="P141" s="41">
        <v>2011</v>
      </c>
      <c r="Q141" s="41">
        <v>2012</v>
      </c>
      <c r="R141" s="41">
        <v>2013</v>
      </c>
      <c r="S141" s="41">
        <v>2014</v>
      </c>
      <c r="T141" s="41">
        <v>2015</v>
      </c>
      <c r="U141" s="41">
        <v>2016</v>
      </c>
    </row>
    <row r="142" spans="1:23" x14ac:dyDescent="0.55000000000000004">
      <c r="A142" s="41" t="str">
        <f>'Population Definitions'!$A$2</f>
        <v>Gen 0-4</v>
      </c>
      <c r="B142" s="41" t="s">
        <v>10</v>
      </c>
      <c r="C142" s="12">
        <f t="shared" ref="C142:C153" si="10">IF(SUMPRODUCT(--(E142:U142&lt;&gt;""))=0,0.44,"N.A.")</f>
        <v>0.44</v>
      </c>
      <c r="D142" s="41" t="s">
        <v>16</v>
      </c>
      <c r="E142" s="47"/>
      <c r="F142" s="22"/>
      <c r="G142" s="22"/>
      <c r="H142" s="22"/>
      <c r="I142" s="22"/>
      <c r="J142" s="22"/>
      <c r="K142" s="22"/>
      <c r="L142" s="22"/>
      <c r="M142" s="22"/>
      <c r="N142" s="22"/>
      <c r="O142" s="22"/>
      <c r="P142" s="22"/>
      <c r="Q142" s="22"/>
      <c r="R142" s="22"/>
      <c r="S142" s="22"/>
      <c r="T142" s="22"/>
      <c r="U142" s="22"/>
    </row>
    <row r="143" spans="1:23" x14ac:dyDescent="0.55000000000000004">
      <c r="A143" s="41" t="str">
        <f>'Population Definitions'!$A$3</f>
        <v>Gen 5-14</v>
      </c>
      <c r="B143" s="41" t="s">
        <v>10</v>
      </c>
      <c r="C143" s="12">
        <f t="shared" si="10"/>
        <v>0.44</v>
      </c>
      <c r="D143" s="41" t="s">
        <v>16</v>
      </c>
      <c r="E143" s="47"/>
      <c r="F143" s="22"/>
      <c r="G143" s="22"/>
      <c r="H143" s="22"/>
      <c r="I143" s="22"/>
      <c r="J143" s="22"/>
      <c r="K143" s="22"/>
      <c r="L143" s="22"/>
      <c r="M143" s="22"/>
      <c r="N143" s="22"/>
      <c r="O143" s="22"/>
      <c r="P143" s="22"/>
      <c r="Q143" s="22"/>
      <c r="R143" s="22"/>
      <c r="S143" s="22"/>
      <c r="T143" s="22"/>
      <c r="U143" s="22"/>
    </row>
    <row r="144" spans="1:23" x14ac:dyDescent="0.55000000000000004">
      <c r="A144" s="41" t="str">
        <f>'Population Definitions'!$A$4</f>
        <v>Gen 15-64</v>
      </c>
      <c r="B144" s="41" t="s">
        <v>10</v>
      </c>
      <c r="C144" s="12" t="str">
        <f t="shared" si="10"/>
        <v>N.A.</v>
      </c>
      <c r="D144" s="41" t="s">
        <v>16</v>
      </c>
      <c r="E144" s="47"/>
      <c r="F144" s="22"/>
      <c r="G144" s="22"/>
      <c r="H144" s="22"/>
      <c r="I144" s="22"/>
      <c r="J144" s="22"/>
      <c r="K144" s="22"/>
      <c r="L144" s="22"/>
      <c r="M144" s="22"/>
      <c r="N144" s="22"/>
      <c r="O144" s="22">
        <v>0.79564495481450503</v>
      </c>
      <c r="P144" s="22">
        <v>0.797976333390499</v>
      </c>
      <c r="Q144" s="22"/>
      <c r="R144" s="22"/>
      <c r="S144" s="22"/>
      <c r="T144" s="22"/>
      <c r="U144" s="22"/>
      <c r="W144" s="53"/>
    </row>
    <row r="145" spans="1:23" x14ac:dyDescent="0.55000000000000004">
      <c r="A145" s="41" t="str">
        <f>'Population Definitions'!$A$5</f>
        <v>Gen 65+</v>
      </c>
      <c r="B145" s="41" t="s">
        <v>10</v>
      </c>
      <c r="C145" s="12" t="str">
        <f t="shared" si="10"/>
        <v>N.A.</v>
      </c>
      <c r="D145" s="41" t="s">
        <v>16</v>
      </c>
      <c r="E145" s="47"/>
      <c r="F145" s="22"/>
      <c r="G145" s="22"/>
      <c r="H145" s="22"/>
      <c r="I145" s="22"/>
      <c r="J145" s="22"/>
      <c r="K145" s="22"/>
      <c r="L145" s="22"/>
      <c r="M145" s="22"/>
      <c r="N145" s="22">
        <v>0.2581699346405229</v>
      </c>
      <c r="O145" s="22"/>
      <c r="P145" s="22"/>
      <c r="Q145" s="22"/>
      <c r="R145" s="22"/>
      <c r="S145" s="22"/>
      <c r="T145" s="22"/>
      <c r="U145" s="22"/>
    </row>
    <row r="146" spans="1:23" x14ac:dyDescent="0.55000000000000004">
      <c r="A146" s="41" t="str">
        <f>'Population Definitions'!$A$6</f>
        <v>PLHIV 15-64</v>
      </c>
      <c r="B146" s="41" t="s">
        <v>10</v>
      </c>
      <c r="C146" s="12" t="str">
        <f t="shared" si="10"/>
        <v>N.A.</v>
      </c>
      <c r="D146" s="41" t="s">
        <v>16</v>
      </c>
      <c r="E146" s="47"/>
      <c r="F146" s="22"/>
      <c r="G146" s="22"/>
      <c r="H146" s="22"/>
      <c r="I146" s="22"/>
      <c r="J146" s="22"/>
      <c r="K146" s="22"/>
      <c r="L146" s="22"/>
      <c r="M146" s="22"/>
      <c r="N146" s="22"/>
      <c r="O146" s="22"/>
      <c r="P146" s="22">
        <v>0.83095586989244097</v>
      </c>
      <c r="Q146" s="22"/>
      <c r="R146" s="22"/>
      <c r="S146" s="22"/>
      <c r="T146" s="22"/>
      <c r="U146" s="22"/>
      <c r="W146" s="53"/>
    </row>
    <row r="147" spans="1:23" x14ac:dyDescent="0.55000000000000004">
      <c r="A147" s="41" t="str">
        <f>'Population Definitions'!$A$7</f>
        <v>PLHIV 65+</v>
      </c>
      <c r="B147" s="41" t="s">
        <v>10</v>
      </c>
      <c r="C147" s="12">
        <f t="shared" si="10"/>
        <v>0.44</v>
      </c>
      <c r="D147" s="41" t="s">
        <v>16</v>
      </c>
      <c r="E147" s="47"/>
      <c r="F147" s="22"/>
      <c r="G147" s="22"/>
      <c r="H147" s="22"/>
      <c r="I147" s="22"/>
      <c r="J147" s="22"/>
      <c r="K147" s="22"/>
      <c r="L147" s="22"/>
      <c r="M147" s="22"/>
      <c r="N147" s="22"/>
      <c r="O147" s="22"/>
      <c r="P147" s="22"/>
      <c r="Q147" s="22"/>
      <c r="R147" s="22"/>
      <c r="S147" s="22"/>
      <c r="T147" s="22"/>
      <c r="U147" s="22"/>
    </row>
    <row r="148" spans="1:23" x14ac:dyDescent="0.55000000000000004">
      <c r="A148" s="41" t="str">
        <f>'Population Definitions'!$A$8</f>
        <v>Prisoners</v>
      </c>
      <c r="B148" s="41" t="s">
        <v>10</v>
      </c>
      <c r="C148" s="12">
        <f t="shared" si="10"/>
        <v>0.44</v>
      </c>
      <c r="D148" s="41" t="s">
        <v>16</v>
      </c>
      <c r="E148" s="47"/>
      <c r="F148" s="22"/>
      <c r="G148" s="22"/>
      <c r="H148" s="22"/>
      <c r="I148" s="22"/>
      <c r="J148" s="22"/>
      <c r="K148" s="22"/>
      <c r="L148" s="22"/>
      <c r="M148" s="22"/>
      <c r="N148" s="22"/>
      <c r="O148" s="22"/>
      <c r="P148" s="22"/>
      <c r="Q148" s="22"/>
      <c r="R148" s="22"/>
      <c r="S148" s="22"/>
      <c r="T148" s="22"/>
      <c r="U148" s="22"/>
      <c r="W148" s="53"/>
    </row>
    <row r="149" spans="1:23" x14ac:dyDescent="0.55000000000000004">
      <c r="A149" s="41" t="str">
        <f>'Population Definitions'!$A$9</f>
        <v>PLHIV Prisoners</v>
      </c>
      <c r="B149" s="41" t="s">
        <v>10</v>
      </c>
      <c r="C149" s="12">
        <f t="shared" si="10"/>
        <v>0.44</v>
      </c>
      <c r="D149" s="41" t="s">
        <v>16</v>
      </c>
      <c r="E149" s="47"/>
      <c r="F149" s="22"/>
      <c r="G149" s="22"/>
      <c r="H149" s="22"/>
      <c r="I149" s="22"/>
      <c r="J149" s="22"/>
      <c r="K149" s="22"/>
      <c r="L149" s="22"/>
      <c r="M149" s="22"/>
      <c r="N149" s="22"/>
      <c r="O149" s="22"/>
      <c r="P149" s="22"/>
      <c r="Q149" s="22"/>
      <c r="R149" s="22"/>
      <c r="S149" s="22"/>
      <c r="T149" s="22"/>
      <c r="U149" s="22"/>
    </row>
    <row r="150" spans="1:23" x14ac:dyDescent="0.55000000000000004">
      <c r="A150" s="41" t="str">
        <f>'Population Definitions'!$A$10</f>
        <v>HCW</v>
      </c>
      <c r="B150" s="41" t="s">
        <v>10</v>
      </c>
      <c r="C150" s="12">
        <f t="shared" si="10"/>
        <v>0.44</v>
      </c>
      <c r="D150" s="41" t="s">
        <v>16</v>
      </c>
      <c r="E150" s="47"/>
      <c r="F150" s="22"/>
      <c r="G150" s="22"/>
      <c r="H150" s="22"/>
      <c r="I150" s="22"/>
      <c r="J150" s="22"/>
      <c r="K150" s="22"/>
      <c r="L150" s="22"/>
      <c r="M150" s="22"/>
      <c r="N150" s="22"/>
      <c r="O150" s="22"/>
      <c r="P150" s="22"/>
      <c r="Q150" s="22"/>
      <c r="R150" s="22"/>
      <c r="S150" s="22"/>
      <c r="T150" s="22"/>
      <c r="U150" s="22"/>
    </row>
    <row r="151" spans="1:23" x14ac:dyDescent="0.55000000000000004">
      <c r="A151" s="41" t="str">
        <f>'Population Definitions'!$A$11</f>
        <v>PLHIV HCW</v>
      </c>
      <c r="B151" s="41" t="s">
        <v>10</v>
      </c>
      <c r="C151" s="12">
        <f t="shared" si="10"/>
        <v>0.44</v>
      </c>
      <c r="D151" s="41" t="s">
        <v>16</v>
      </c>
      <c r="E151" s="47"/>
      <c r="F151" s="22"/>
      <c r="G151" s="22"/>
      <c r="H151" s="22"/>
      <c r="I151" s="22"/>
      <c r="J151" s="22"/>
      <c r="K151" s="22"/>
      <c r="L151" s="22"/>
      <c r="M151" s="22"/>
      <c r="N151" s="22"/>
      <c r="O151" s="22"/>
      <c r="P151" s="22"/>
      <c r="Q151" s="22"/>
      <c r="R151" s="22"/>
      <c r="S151" s="22"/>
      <c r="T151" s="22"/>
      <c r="U151" s="22"/>
    </row>
    <row r="152" spans="1:23" x14ac:dyDescent="0.55000000000000004">
      <c r="A152" s="41" t="str">
        <f>'Population Definitions'!$A$12</f>
        <v>Miners</v>
      </c>
      <c r="B152" s="41" t="s">
        <v>10</v>
      </c>
      <c r="C152" s="12">
        <f t="shared" si="10"/>
        <v>0.44</v>
      </c>
      <c r="D152" s="41" t="s">
        <v>16</v>
      </c>
      <c r="E152" s="47"/>
      <c r="F152" s="22"/>
      <c r="G152" s="22"/>
      <c r="H152" s="22"/>
      <c r="I152" s="22"/>
      <c r="J152" s="22"/>
      <c r="K152" s="22"/>
      <c r="L152" s="22"/>
      <c r="M152" s="22"/>
      <c r="N152" s="22"/>
      <c r="O152" s="22"/>
      <c r="P152" s="22"/>
      <c r="Q152" s="22"/>
      <c r="R152" s="22"/>
      <c r="S152" s="22"/>
      <c r="T152" s="22"/>
      <c r="U152" s="22"/>
    </row>
    <row r="153" spans="1:23" x14ac:dyDescent="0.55000000000000004">
      <c r="A153" s="41" t="str">
        <f>'Population Definitions'!$A$13</f>
        <v>PLHIV Miners</v>
      </c>
      <c r="B153" s="41" t="s">
        <v>10</v>
      </c>
      <c r="C153" s="12">
        <f t="shared" si="10"/>
        <v>0.44</v>
      </c>
      <c r="D153" s="41" t="s">
        <v>16</v>
      </c>
      <c r="E153" s="47"/>
      <c r="F153" s="22"/>
      <c r="G153" s="22"/>
      <c r="H153" s="22"/>
      <c r="I153" s="22"/>
      <c r="J153" s="22"/>
      <c r="K153" s="22"/>
      <c r="L153" s="22"/>
      <c r="M153" s="22"/>
      <c r="N153" s="22"/>
      <c r="O153" s="22"/>
      <c r="P153" s="22"/>
      <c r="Q153" s="22"/>
      <c r="R153" s="22"/>
      <c r="S153" s="22"/>
      <c r="T153" s="22"/>
      <c r="U153" s="22"/>
    </row>
    <row r="154" spans="1:23" x14ac:dyDescent="0.55000000000000004">
      <c r="A154" s="37"/>
      <c r="B154" s="37"/>
      <c r="C154" s="37"/>
      <c r="D154" s="37"/>
      <c r="E154" s="37"/>
      <c r="F154" s="37"/>
      <c r="G154" s="37"/>
      <c r="H154" s="37"/>
      <c r="I154" s="37"/>
      <c r="J154" s="37"/>
      <c r="K154" s="37"/>
      <c r="L154" s="37"/>
      <c r="M154" s="37"/>
      <c r="N154" s="37"/>
      <c r="O154" s="37"/>
      <c r="P154" s="37"/>
      <c r="Q154" s="37"/>
      <c r="R154" s="37"/>
      <c r="S154" s="37"/>
      <c r="T154" s="37"/>
      <c r="U154" s="37"/>
    </row>
    <row r="155" spans="1:23" x14ac:dyDescent="0.55000000000000004">
      <c r="A155" s="21" t="s">
        <v>88</v>
      </c>
      <c r="B155" s="41" t="s">
        <v>8</v>
      </c>
      <c r="C155" s="41" t="s">
        <v>9</v>
      </c>
      <c r="D155" s="41"/>
      <c r="E155" s="41">
        <v>2000</v>
      </c>
      <c r="F155" s="41">
        <v>2001</v>
      </c>
      <c r="G155" s="41">
        <v>2002</v>
      </c>
      <c r="H155" s="41">
        <v>2003</v>
      </c>
      <c r="I155" s="41">
        <v>2004</v>
      </c>
      <c r="J155" s="41">
        <v>2005</v>
      </c>
      <c r="K155" s="41">
        <v>2006</v>
      </c>
      <c r="L155" s="41">
        <v>2007</v>
      </c>
      <c r="M155" s="41">
        <v>2008</v>
      </c>
      <c r="N155" s="41">
        <v>2009</v>
      </c>
      <c r="O155" s="41">
        <v>2010</v>
      </c>
      <c r="P155" s="41">
        <v>2011</v>
      </c>
      <c r="Q155" s="41">
        <v>2012</v>
      </c>
      <c r="R155" s="41">
        <v>2013</v>
      </c>
      <c r="S155" s="41">
        <v>2014</v>
      </c>
      <c r="T155" s="41">
        <v>2015</v>
      </c>
      <c r="U155" s="41">
        <v>2016</v>
      </c>
    </row>
    <row r="156" spans="1:23" x14ac:dyDescent="0.55000000000000004">
      <c r="A156" s="41" t="str">
        <f>'Population Definitions'!$A$2</f>
        <v>Gen 0-4</v>
      </c>
      <c r="B156" s="41" t="s">
        <v>10</v>
      </c>
      <c r="C156" s="12">
        <f t="shared" ref="C156:C167" si="11">IF(SUMPRODUCT(--(E156:U156&lt;&gt;""))=0,0.28,"N.A.")</f>
        <v>0.28000000000000003</v>
      </c>
      <c r="D156" s="41" t="s">
        <v>16</v>
      </c>
      <c r="E156" s="47"/>
      <c r="F156" s="22"/>
      <c r="G156" s="22"/>
      <c r="H156" s="22"/>
      <c r="I156" s="22"/>
      <c r="J156" s="22"/>
      <c r="K156" s="22"/>
      <c r="L156" s="22"/>
      <c r="M156" s="22"/>
      <c r="N156" s="22"/>
      <c r="O156" s="22"/>
      <c r="P156" s="22"/>
      <c r="Q156" s="22"/>
      <c r="R156" s="22"/>
      <c r="S156" s="22"/>
      <c r="T156" s="22"/>
      <c r="U156" s="22"/>
    </row>
    <row r="157" spans="1:23" x14ac:dyDescent="0.55000000000000004">
      <c r="A157" s="41" t="str">
        <f>'Population Definitions'!$A$3</f>
        <v>Gen 5-14</v>
      </c>
      <c r="B157" s="41" t="s">
        <v>10</v>
      </c>
      <c r="C157" s="12">
        <f t="shared" si="11"/>
        <v>0.28000000000000003</v>
      </c>
      <c r="D157" s="41" t="s">
        <v>16</v>
      </c>
      <c r="E157" s="47"/>
      <c r="F157" s="22"/>
      <c r="G157" s="22"/>
      <c r="H157" s="22"/>
      <c r="I157" s="22"/>
      <c r="J157" s="22"/>
      <c r="K157" s="22"/>
      <c r="L157" s="22"/>
      <c r="M157" s="22"/>
      <c r="N157" s="22"/>
      <c r="O157" s="22"/>
      <c r="P157" s="22"/>
      <c r="Q157" s="22"/>
      <c r="R157" s="22"/>
      <c r="S157" s="22"/>
      <c r="T157" s="22"/>
      <c r="U157" s="22"/>
    </row>
    <row r="158" spans="1:23" x14ac:dyDescent="0.55000000000000004">
      <c r="A158" s="41" t="str">
        <f>'Population Definitions'!$A$4</f>
        <v>Gen 15-64</v>
      </c>
      <c r="B158" s="41" t="s">
        <v>10</v>
      </c>
      <c r="C158" s="12" t="str">
        <f t="shared" si="11"/>
        <v>N.A.</v>
      </c>
      <c r="D158" s="41" t="s">
        <v>16</v>
      </c>
      <c r="E158" s="47"/>
      <c r="F158" s="22"/>
      <c r="G158" s="22"/>
      <c r="H158" s="22"/>
      <c r="I158" s="22"/>
      <c r="J158" s="22"/>
      <c r="K158" s="22"/>
      <c r="L158" s="22"/>
      <c r="M158" s="22"/>
      <c r="N158" s="22"/>
      <c r="O158" s="22">
        <f>('[5]Testing and Treatment'!O230+'[5]Testing and Treatment'!O278)/('[5]Testing and Treatment'!O423+'[5]Testing and Treatment'!O374+'[5]Testing and Treatment'!O326+'[5]Testing and Treatment'!O278+'[5]Testing and Treatment'!O230+'[5]Testing and Treatment'!O180)</f>
        <v>0.13574660633484162</v>
      </c>
      <c r="P158" s="22"/>
      <c r="Q158" s="22">
        <f>('[5]Testing and Treatment'!Q230+'[5]Testing and Treatment'!Q278)/('[5]Testing and Treatment'!Q423+'[5]Testing and Treatment'!Q374+'[5]Testing and Treatment'!Q326+'[5]Testing and Treatment'!Q278+'[5]Testing and Treatment'!Q230+'[5]Testing and Treatment'!Q180)</f>
        <v>0.5714285714285714</v>
      </c>
      <c r="R158" s="22">
        <f>('[5]Testing and Treatment'!R230+'[5]Testing and Treatment'!R278)/('[5]Testing and Treatment'!R423+'[5]Testing and Treatment'!R374+'[5]Testing and Treatment'!R326+'[5]Testing and Treatment'!R278+'[5]Testing and Treatment'!R230+'[5]Testing and Treatment'!R180)</f>
        <v>0.68</v>
      </c>
      <c r="S158" s="22">
        <f>('[5]Testing and Treatment'!S230+'[5]Testing and Treatment'!S278)/('[5]Testing and Treatment'!S423+'[5]Testing and Treatment'!S374+'[5]Testing and Treatment'!S326+'[5]Testing and Treatment'!S278+'[5]Testing and Treatment'!S230+'[5]Testing and Treatment'!S180)</f>
        <v>0.62727272727272732</v>
      </c>
      <c r="T158" s="22"/>
      <c r="U158" s="22"/>
    </row>
    <row r="159" spans="1:23" x14ac:dyDescent="0.55000000000000004">
      <c r="A159" s="41" t="str">
        <f>'Population Definitions'!$A$5</f>
        <v>Gen 65+</v>
      </c>
      <c r="B159" s="41" t="s">
        <v>10</v>
      </c>
      <c r="C159" s="12">
        <f t="shared" si="11"/>
        <v>0.28000000000000003</v>
      </c>
      <c r="D159" s="41" t="s">
        <v>16</v>
      </c>
      <c r="E159" s="47"/>
      <c r="F159" s="22"/>
      <c r="G159" s="22"/>
      <c r="H159" s="22"/>
      <c r="I159" s="22"/>
      <c r="J159" s="22"/>
      <c r="K159" s="22"/>
      <c r="L159" s="22"/>
      <c r="M159" s="22"/>
      <c r="N159" s="22"/>
      <c r="O159" s="22"/>
      <c r="P159" s="22"/>
      <c r="Q159" s="22"/>
      <c r="R159" s="22"/>
      <c r="S159" s="22"/>
      <c r="T159" s="22"/>
      <c r="U159" s="22"/>
    </row>
    <row r="160" spans="1:23" x14ac:dyDescent="0.55000000000000004">
      <c r="A160" s="41" t="str">
        <f>'Population Definitions'!$A$6</f>
        <v>PLHIV 15-64</v>
      </c>
      <c r="B160" s="41" t="s">
        <v>10</v>
      </c>
      <c r="C160" s="12" t="str">
        <f t="shared" si="11"/>
        <v>N.A.</v>
      </c>
      <c r="D160" s="41" t="s">
        <v>16</v>
      </c>
      <c r="E160" s="47"/>
      <c r="F160" s="22"/>
      <c r="G160" s="22"/>
      <c r="H160" s="22"/>
      <c r="I160" s="22"/>
      <c r="J160" s="22"/>
      <c r="K160" s="22"/>
      <c r="L160" s="22"/>
      <c r="M160" s="22"/>
      <c r="N160" s="22"/>
      <c r="O160" s="22"/>
      <c r="P160" s="22">
        <f>('[5]Testing and Treatment'!P231+'[5]Testing and Treatment'!P279)/('[5]Testing and Treatment'!P424+'[5]Testing and Treatment'!P375+'[5]Testing and Treatment'!P327+'[5]Testing and Treatment'!P279+'[5]Testing and Treatment'!P231+'[5]Testing and Treatment'!P181)</f>
        <v>0.33333333333333331</v>
      </c>
      <c r="Q160" s="22"/>
      <c r="R160" s="22">
        <f>('[5]Testing and Treatment'!R231+'[5]Testing and Treatment'!R279)/('[5]Testing and Treatment'!R424+'[5]Testing and Treatment'!R375+'[5]Testing and Treatment'!R327+'[5]Testing and Treatment'!R279+'[5]Testing and Treatment'!R231+'[5]Testing and Treatment'!R181)</f>
        <v>0.39130434782608697</v>
      </c>
      <c r="S160" s="22">
        <f>('[5]Testing and Treatment'!S231+'[5]Testing and Treatment'!S279)/('[5]Testing and Treatment'!S424+'[5]Testing and Treatment'!S375+'[5]Testing and Treatment'!S327+'[5]Testing and Treatment'!S279+'[5]Testing and Treatment'!S231+'[5]Testing and Treatment'!S181)</f>
        <v>0.41417910447761191</v>
      </c>
      <c r="T160" s="22"/>
      <c r="U160" s="22"/>
    </row>
    <row r="161" spans="1:21" x14ac:dyDescent="0.55000000000000004">
      <c r="A161" s="41" t="str">
        <f>'Population Definitions'!$A$7</f>
        <v>PLHIV 65+</v>
      </c>
      <c r="B161" s="41" t="s">
        <v>10</v>
      </c>
      <c r="C161" s="12">
        <f t="shared" si="11"/>
        <v>0.28000000000000003</v>
      </c>
      <c r="D161" s="41" t="s">
        <v>16</v>
      </c>
      <c r="E161" s="47"/>
      <c r="F161" s="22"/>
      <c r="G161" s="22"/>
      <c r="H161" s="22"/>
      <c r="I161" s="22"/>
      <c r="J161" s="22"/>
      <c r="K161" s="22"/>
      <c r="L161" s="22"/>
      <c r="M161" s="22"/>
      <c r="N161" s="22"/>
      <c r="O161" s="22"/>
      <c r="P161" s="22"/>
      <c r="Q161" s="22"/>
      <c r="R161" s="22"/>
      <c r="S161" s="22"/>
      <c r="T161" s="22"/>
      <c r="U161" s="22"/>
    </row>
    <row r="162" spans="1:21" x14ac:dyDescent="0.55000000000000004">
      <c r="A162" s="41" t="str">
        <f>'Population Definitions'!$A$8</f>
        <v>Prisoners</v>
      </c>
      <c r="B162" s="41" t="s">
        <v>10</v>
      </c>
      <c r="C162" s="12">
        <f t="shared" si="11"/>
        <v>0.28000000000000003</v>
      </c>
      <c r="D162" s="41" t="s">
        <v>16</v>
      </c>
      <c r="E162" s="47"/>
      <c r="F162" s="22"/>
      <c r="G162" s="22"/>
      <c r="H162" s="22"/>
      <c r="I162" s="22"/>
      <c r="J162" s="22"/>
      <c r="K162" s="22"/>
      <c r="L162" s="22"/>
      <c r="M162" s="22"/>
      <c r="N162" s="22"/>
      <c r="O162" s="22"/>
      <c r="P162" s="22"/>
      <c r="Q162" s="22"/>
      <c r="R162" s="22"/>
      <c r="S162" s="22"/>
      <c r="T162" s="22"/>
      <c r="U162" s="22"/>
    </row>
    <row r="163" spans="1:21" x14ac:dyDescent="0.55000000000000004">
      <c r="A163" s="41" t="str">
        <f>'Population Definitions'!$A$9</f>
        <v>PLHIV Prisoners</v>
      </c>
      <c r="B163" s="41" t="s">
        <v>10</v>
      </c>
      <c r="C163" s="12">
        <f t="shared" si="11"/>
        <v>0.28000000000000003</v>
      </c>
      <c r="D163" s="41" t="s">
        <v>16</v>
      </c>
      <c r="E163" s="47"/>
      <c r="F163" s="22"/>
      <c r="G163" s="22"/>
      <c r="H163" s="22"/>
      <c r="I163" s="22"/>
      <c r="J163" s="22"/>
      <c r="K163" s="22"/>
      <c r="L163" s="22"/>
      <c r="M163" s="22"/>
      <c r="N163" s="22"/>
      <c r="O163" s="22"/>
      <c r="P163" s="22"/>
      <c r="Q163" s="22"/>
      <c r="R163" s="22"/>
      <c r="S163" s="22"/>
      <c r="T163" s="22"/>
      <c r="U163" s="22"/>
    </row>
    <row r="164" spans="1:21" x14ac:dyDescent="0.55000000000000004">
      <c r="A164" s="41" t="str">
        <f>'Population Definitions'!$A$10</f>
        <v>HCW</v>
      </c>
      <c r="B164" s="41" t="s">
        <v>10</v>
      </c>
      <c r="C164" s="12">
        <f t="shared" si="11"/>
        <v>0.28000000000000003</v>
      </c>
      <c r="D164" s="41" t="s">
        <v>16</v>
      </c>
      <c r="E164" s="47"/>
      <c r="F164" s="22"/>
      <c r="G164" s="22"/>
      <c r="H164" s="22"/>
      <c r="I164" s="22"/>
      <c r="J164" s="22"/>
      <c r="K164" s="22"/>
      <c r="L164" s="22"/>
      <c r="M164" s="22"/>
      <c r="N164" s="22"/>
      <c r="O164" s="22"/>
      <c r="P164" s="22"/>
      <c r="Q164" s="22"/>
      <c r="R164" s="22"/>
      <c r="S164" s="22"/>
      <c r="T164" s="22"/>
      <c r="U164" s="22"/>
    </row>
    <row r="165" spans="1:21" x14ac:dyDescent="0.55000000000000004">
      <c r="A165" s="41" t="str">
        <f>'Population Definitions'!$A$11</f>
        <v>PLHIV HCW</v>
      </c>
      <c r="B165" s="41" t="s">
        <v>10</v>
      </c>
      <c r="C165" s="12">
        <f t="shared" si="11"/>
        <v>0.28000000000000003</v>
      </c>
      <c r="D165" s="41" t="s">
        <v>16</v>
      </c>
      <c r="E165" s="47"/>
      <c r="F165" s="22"/>
      <c r="G165" s="22"/>
      <c r="H165" s="22"/>
      <c r="I165" s="22"/>
      <c r="J165" s="22"/>
      <c r="K165" s="22"/>
      <c r="L165" s="22"/>
      <c r="M165" s="22"/>
      <c r="N165" s="22"/>
      <c r="O165" s="22"/>
      <c r="P165" s="22"/>
      <c r="Q165" s="22"/>
      <c r="R165" s="22"/>
      <c r="S165" s="22"/>
      <c r="T165" s="22"/>
      <c r="U165" s="22"/>
    </row>
    <row r="166" spans="1:21" x14ac:dyDescent="0.55000000000000004">
      <c r="A166" s="41" t="str">
        <f>'Population Definitions'!$A$12</f>
        <v>Miners</v>
      </c>
      <c r="B166" s="41" t="s">
        <v>10</v>
      </c>
      <c r="C166" s="12">
        <f t="shared" si="11"/>
        <v>0.28000000000000003</v>
      </c>
      <c r="D166" s="41" t="s">
        <v>16</v>
      </c>
      <c r="E166" s="47"/>
      <c r="F166" s="22"/>
      <c r="G166" s="22"/>
      <c r="H166" s="22"/>
      <c r="I166" s="22"/>
      <c r="J166" s="22"/>
      <c r="K166" s="22"/>
      <c r="L166" s="22"/>
      <c r="M166" s="22"/>
      <c r="N166" s="22"/>
      <c r="O166" s="22"/>
      <c r="P166" s="22"/>
      <c r="Q166" s="22"/>
      <c r="R166" s="22"/>
      <c r="S166" s="22"/>
      <c r="T166" s="22"/>
      <c r="U166" s="22"/>
    </row>
    <row r="167" spans="1:21" x14ac:dyDescent="0.55000000000000004">
      <c r="A167" s="41" t="str">
        <f>'Population Definitions'!$A$13</f>
        <v>PLHIV Miners</v>
      </c>
      <c r="B167" s="41" t="s">
        <v>10</v>
      </c>
      <c r="C167" s="12">
        <f t="shared" si="11"/>
        <v>0.28000000000000003</v>
      </c>
      <c r="D167" s="41" t="s">
        <v>16</v>
      </c>
      <c r="E167" s="47"/>
      <c r="F167" s="22"/>
      <c r="G167" s="22"/>
      <c r="H167" s="22"/>
      <c r="I167" s="22"/>
      <c r="J167" s="22"/>
      <c r="K167" s="22"/>
      <c r="L167" s="22"/>
      <c r="M167" s="22"/>
      <c r="N167" s="22"/>
      <c r="O167" s="22"/>
      <c r="P167" s="22"/>
      <c r="Q167" s="22"/>
      <c r="R167" s="22"/>
      <c r="S167" s="22"/>
      <c r="T167" s="22"/>
      <c r="U167" s="22"/>
    </row>
    <row r="168" spans="1:21" x14ac:dyDescent="0.55000000000000004">
      <c r="A168" s="37"/>
      <c r="B168" s="37"/>
      <c r="C168" s="37"/>
      <c r="D168" s="37"/>
      <c r="E168" s="37"/>
      <c r="F168" s="37"/>
      <c r="G168" s="37"/>
      <c r="H168" s="37"/>
      <c r="I168" s="37"/>
      <c r="J168" s="37"/>
      <c r="K168" s="37"/>
      <c r="L168" s="37"/>
      <c r="M168" s="37"/>
      <c r="N168" s="37"/>
      <c r="O168" s="37"/>
      <c r="P168" s="37"/>
      <c r="Q168" s="37"/>
      <c r="R168" s="37"/>
      <c r="S168" s="37"/>
      <c r="T168" s="37"/>
      <c r="U168" s="37"/>
    </row>
    <row r="169" spans="1:21" x14ac:dyDescent="0.55000000000000004">
      <c r="A169" s="21" t="s">
        <v>91</v>
      </c>
      <c r="B169" s="41" t="s">
        <v>8</v>
      </c>
      <c r="C169" s="41" t="s">
        <v>9</v>
      </c>
      <c r="D169" s="41"/>
      <c r="E169" s="41">
        <v>2000</v>
      </c>
      <c r="F169" s="41">
        <v>2001</v>
      </c>
      <c r="G169" s="41">
        <v>2002</v>
      </c>
      <c r="H169" s="41">
        <v>2003</v>
      </c>
      <c r="I169" s="41">
        <v>2004</v>
      </c>
      <c r="J169" s="41">
        <v>2005</v>
      </c>
      <c r="K169" s="41">
        <v>2006</v>
      </c>
      <c r="L169" s="41">
        <v>2007</v>
      </c>
      <c r="M169" s="41">
        <v>2008</v>
      </c>
      <c r="N169" s="41">
        <v>2009</v>
      </c>
      <c r="O169" s="41">
        <v>2010</v>
      </c>
      <c r="P169" s="41">
        <v>2011</v>
      </c>
      <c r="Q169" s="41">
        <v>2012</v>
      </c>
      <c r="R169" s="41">
        <v>2013</v>
      </c>
      <c r="S169" s="41">
        <v>2014</v>
      </c>
      <c r="T169" s="41">
        <v>2015</v>
      </c>
      <c r="U169" s="41">
        <v>2016</v>
      </c>
    </row>
    <row r="170" spans="1:21" x14ac:dyDescent="0.55000000000000004">
      <c r="A170" s="41" t="str">
        <f>'Population Definitions'!$A$2</f>
        <v>Gen 0-4</v>
      </c>
      <c r="B170" s="41" t="s">
        <v>10</v>
      </c>
      <c r="C170" s="12" t="str">
        <f t="shared" ref="C170:C181" si="12">IF(SUMPRODUCT(--(E170:U170&lt;&gt;""))=0,0.59,"N.A.")</f>
        <v>N.A.</v>
      </c>
      <c r="D170" s="41" t="s">
        <v>16</v>
      </c>
      <c r="E170" s="47"/>
      <c r="F170" s="22"/>
      <c r="G170" s="22">
        <f>'[4]Notified Cases'!G44/'[4]Active TB Prevalence'!G170</f>
        <v>0.64332362010897726</v>
      </c>
      <c r="H170" s="22">
        <f>'[4]Notified Cases'!H44/'[4]Active TB Prevalence'!H170</f>
        <v>0.73310362348119018</v>
      </c>
      <c r="I170" s="22">
        <f>'[4]Notified Cases'!I44/'[4]Active TB Prevalence'!I170</f>
        <v>0.75330009457571978</v>
      </c>
      <c r="J170" s="22">
        <f>'[4]Notified Cases'!J44/'[4]Active TB Prevalence'!J170</f>
        <v>0.79762529679927685</v>
      </c>
      <c r="K170" s="22"/>
      <c r="L170" s="22"/>
      <c r="M170" s="22">
        <f>'[4]Notified Cases'!M44/'[4]Active TB Prevalence'!M170</f>
        <v>0.83510363681622923</v>
      </c>
      <c r="N170" s="22">
        <f>'[4]Notified Cases'!N44/'[4]Active TB Prevalence'!N170</f>
        <v>0.88704947647767207</v>
      </c>
      <c r="O170" s="22">
        <f>'[4]Notified Cases'!O44/'[4]Active TB Prevalence'!O170</f>
        <v>0.89302372102225214</v>
      </c>
      <c r="P170" s="22"/>
      <c r="Q170" s="22">
        <f>'[4]Notified Cases'!Q44/'[4]Active TB Prevalence'!Q170</f>
        <v>0.87324685929371093</v>
      </c>
      <c r="R170" s="22"/>
      <c r="S170" s="22">
        <f>'[4]Notified Cases'!S44/'[4]Active TB Prevalence'!S170</f>
        <v>0.80017196367501287</v>
      </c>
      <c r="T170" s="22"/>
      <c r="U170" s="22"/>
    </row>
    <row r="171" spans="1:21" x14ac:dyDescent="0.55000000000000004">
      <c r="A171" s="41" t="str">
        <f>'Population Definitions'!$A$3</f>
        <v>Gen 5-14</v>
      </c>
      <c r="B171" s="41" t="s">
        <v>10</v>
      </c>
      <c r="C171" s="12" t="str">
        <f t="shared" si="12"/>
        <v>N.A.</v>
      </c>
      <c r="D171" s="41" t="s">
        <v>16</v>
      </c>
      <c r="E171" s="47"/>
      <c r="F171" s="22"/>
      <c r="G171" s="22">
        <f>'[4]Notified Cases'!G45/'[4]Active TB Prevalence'!G171</f>
        <v>0.65180388056461958</v>
      </c>
      <c r="H171" s="22">
        <f>'[4]Notified Cases'!H45/'[4]Active TB Prevalence'!H171</f>
        <v>0.7419142728869218</v>
      </c>
      <c r="I171" s="22">
        <f>'[4]Notified Cases'!I45/'[4]Active TB Prevalence'!I171</f>
        <v>0.7614227110900238</v>
      </c>
      <c r="J171" s="22">
        <f>'[4]Notified Cases'!J45/'[4]Active TB Prevalence'!J171</f>
        <v>0.80407862093802041</v>
      </c>
      <c r="K171" s="22">
        <f>'[4]Notified Cases'!K45/'[4]Active TB Prevalence'!K171</f>
        <v>0.80233354290491499</v>
      </c>
      <c r="L171" s="22">
        <f>'[4]Notified Cases'!L45/'[4]Active TB Prevalence'!L171</f>
        <v>0.76328245967477948</v>
      </c>
      <c r="M171" s="22">
        <f>'[4]Notified Cases'!M45/'[4]Active TB Prevalence'!M171</f>
        <v>0.83510363681623001</v>
      </c>
      <c r="N171" s="22">
        <f>'[4]Notified Cases'!N45/'[4]Active TB Prevalence'!N171</f>
        <v>0.88704947647767252</v>
      </c>
      <c r="O171" s="22">
        <f>'[4]Notified Cases'!O45/'[4]Active TB Prevalence'!O171</f>
        <v>0.89302372102224892</v>
      </c>
      <c r="P171" s="22"/>
      <c r="Q171" s="22">
        <f>'[4]Notified Cases'!Q45/'[4]Active TB Prevalence'!Q171</f>
        <v>0.87324685929370827</v>
      </c>
      <c r="R171" s="22">
        <f>'[4]Notified Cases'!R45/'[4]Active TB Prevalence'!R171</f>
        <v>0.83536086843748614</v>
      </c>
      <c r="S171" s="22">
        <f>'[4]Notified Cases'!S45/'[4]Active TB Prevalence'!S171</f>
        <v>0.80077723747506924</v>
      </c>
      <c r="T171" s="22"/>
      <c r="U171" s="22"/>
    </row>
    <row r="172" spans="1:21" x14ac:dyDescent="0.55000000000000004">
      <c r="A172" s="41" t="str">
        <f>'Population Definitions'!$A$4</f>
        <v>Gen 15-64</v>
      </c>
      <c r="B172" s="41" t="s">
        <v>10</v>
      </c>
      <c r="C172" s="12" t="str">
        <f t="shared" si="12"/>
        <v>N.A.</v>
      </c>
      <c r="D172" s="41" t="s">
        <v>16</v>
      </c>
      <c r="E172" s="47"/>
      <c r="F172" s="22"/>
      <c r="G172" s="22">
        <f>'[4]Notified Cases'!G46/'[4]Active TB Prevalence'!G172</f>
        <v>0.72955876892557192</v>
      </c>
      <c r="H172" s="22">
        <f>'[4]Notified Cases'!H46/'[4]Active TB Prevalence'!H172</f>
        <v>0.82386705687099759</v>
      </c>
      <c r="I172" s="22">
        <f>'[4]Notified Cases'!I46/'[4]Active TB Prevalence'!I172</f>
        <v>0.83658852383690352</v>
      </c>
      <c r="J172" s="22">
        <f>'[4]Notified Cases'!J46/'[4]Active TB Prevalence'!J172</f>
        <v>0.87372829006235064</v>
      </c>
      <c r="K172" s="22"/>
      <c r="L172" s="22">
        <f>'[4]Notified Cases'!L46/'[4]Active TB Prevalence'!L172</f>
        <v>0.7632824596747797</v>
      </c>
      <c r="M172" s="22"/>
      <c r="N172" s="22">
        <f>'[4]Notified Cases'!N46/'[4]Active TB Prevalence'!N172</f>
        <v>0.88704947647767518</v>
      </c>
      <c r="O172" s="22"/>
      <c r="P172" s="22"/>
      <c r="Q172" s="22">
        <f>'[4]Notified Cases'!Q46/'[4]Active TB Prevalence'!Q172</f>
        <v>0.87324685929370982</v>
      </c>
      <c r="R172" s="22">
        <f>'[4]Notified Cases'!R46/'[4]Active TB Prevalence'!R172</f>
        <v>0.83536086843748791</v>
      </c>
      <c r="S172" s="22">
        <f>'[4]Notified Cases'!S46/'[4]Active TB Prevalence'!S172</f>
        <v>0.80017196367501131</v>
      </c>
      <c r="T172" s="22"/>
      <c r="U172" s="22"/>
    </row>
    <row r="173" spans="1:21" x14ac:dyDescent="0.55000000000000004">
      <c r="A173" s="41" t="str">
        <f>'Population Definitions'!$A$5</f>
        <v>Gen 65+</v>
      </c>
      <c r="B173" s="41" t="s">
        <v>10</v>
      </c>
      <c r="C173" s="12" t="str">
        <f t="shared" si="12"/>
        <v>N.A.</v>
      </c>
      <c r="D173" s="41" t="s">
        <v>16</v>
      </c>
      <c r="E173" s="47"/>
      <c r="F173" s="22"/>
      <c r="G173" s="22">
        <f>'[4]Notified Cases'!G47/'[4]Active TB Prevalence'!G173</f>
        <v>0.65742998142574993</v>
      </c>
      <c r="H173" s="22">
        <f>'[4]Notified Cases'!H47/'[4]Active TB Prevalence'!H173</f>
        <v>0.74739812159799934</v>
      </c>
      <c r="I173" s="22">
        <f>'[4]Notified Cases'!I47/'[4]Active TB Prevalence'!I173</f>
        <v>0.76588638430408251</v>
      </c>
      <c r="J173" s="22">
        <f>'[4]Notified Cases'!J47/'[4]Active TB Prevalence'!J173</f>
        <v>0.80885256457891663</v>
      </c>
      <c r="K173" s="22">
        <f>'[4]Notified Cases'!K47/'[4]Active TB Prevalence'!K173</f>
        <v>0.80728241874059992</v>
      </c>
      <c r="L173" s="22">
        <f>'[4]Notified Cases'!L47/'[4]Active TB Prevalence'!L173</f>
        <v>0.7721762249158759</v>
      </c>
      <c r="M173" s="22">
        <f>'[4]Notified Cases'!M47/'[4]Active TB Prevalence'!M173</f>
        <v>0.8351036368162309</v>
      </c>
      <c r="N173" s="22">
        <f>'[4]Notified Cases'!N47/'[4]Active TB Prevalence'!N173</f>
        <v>0.88704947647767374</v>
      </c>
      <c r="O173" s="22">
        <f>'[4]Notified Cases'!O47/'[4]Active TB Prevalence'!O173</f>
        <v>0.79449317142371634</v>
      </c>
      <c r="P173" s="22"/>
      <c r="Q173" s="22">
        <f>'[4]Notified Cases'!Q47/'[4]Active TB Prevalence'!Q173</f>
        <v>0.87324685929371071</v>
      </c>
      <c r="R173" s="22">
        <f>'[4]Notified Cases'!R47/'[4]Active TB Prevalence'!R173</f>
        <v>0.8244910155262708</v>
      </c>
      <c r="S173" s="22">
        <f>'[4]Notified Cases'!S47/'[4]Active TB Prevalence'!S173</f>
        <v>0.80017196367501142</v>
      </c>
      <c r="T173" s="22"/>
      <c r="U173" s="22"/>
    </row>
    <row r="174" spans="1:21" x14ac:dyDescent="0.55000000000000004">
      <c r="A174" s="41" t="str">
        <f>'Population Definitions'!$A$6</f>
        <v>PLHIV 15-64</v>
      </c>
      <c r="B174" s="41" t="s">
        <v>10</v>
      </c>
      <c r="C174" s="12" t="str">
        <f t="shared" si="12"/>
        <v>N.A.</v>
      </c>
      <c r="D174" s="41" t="s">
        <v>16</v>
      </c>
      <c r="E174" s="47"/>
      <c r="F174" s="22"/>
      <c r="G174" s="22">
        <f>'[4]Notified Cases'!G48/'[4]Active TB Prevalence'!G174</f>
        <v>0.64533582357471519</v>
      </c>
      <c r="H174" s="22">
        <f>'[4]Notified Cases'!H48/'[4]Active TB Prevalence'!H174</f>
        <v>0.73565745625713619</v>
      </c>
      <c r="I174" s="22">
        <f>'[4]Notified Cases'!I48/'[4]Active TB Prevalence'!I174</f>
        <v>0.75535991807656089</v>
      </c>
      <c r="J174" s="22">
        <f>'[4]Notified Cases'!J48/'[4]Active TB Prevalence'!J174</f>
        <v>0.79936495259573404</v>
      </c>
      <c r="K174" s="22">
        <f>'[4]Notified Cases'!K48/'[4]Active TB Prevalence'!K174</f>
        <v>0.68543616718179745</v>
      </c>
      <c r="L174" s="22">
        <f>'[4]Notified Cases'!L48/'[4]Active TB Prevalence'!L174</f>
        <v>0.76328245967477981</v>
      </c>
      <c r="M174" s="22"/>
      <c r="N174" s="22"/>
      <c r="O174" s="22">
        <f>'[4]Notified Cases'!O48/'[4]Active TB Prevalence'!O174</f>
        <v>0.89302372102224847</v>
      </c>
      <c r="P174" s="22"/>
      <c r="Q174" s="22">
        <f>'[4]Notified Cases'!Q48/'[4]Active TB Prevalence'!Q174</f>
        <v>0.87324685929371237</v>
      </c>
      <c r="R174" s="22">
        <f>'[4]Notified Cases'!R48/'[4]Active TB Prevalence'!R174</f>
        <v>0.83536086843748825</v>
      </c>
      <c r="S174" s="22">
        <f>'[4]Notified Cases'!S48/'[4]Active TB Prevalence'!S174</f>
        <v>0.80017196367501331</v>
      </c>
      <c r="T174" s="22"/>
      <c r="U174" s="22"/>
    </row>
    <row r="175" spans="1:21" x14ac:dyDescent="0.55000000000000004">
      <c r="A175" s="41" t="str">
        <f>'Population Definitions'!$A$7</f>
        <v>PLHIV 65+</v>
      </c>
      <c r="B175" s="41" t="s">
        <v>10</v>
      </c>
      <c r="C175" s="12" t="str">
        <f t="shared" si="12"/>
        <v>N.A.</v>
      </c>
      <c r="D175" s="41" t="s">
        <v>16</v>
      </c>
      <c r="E175" s="47"/>
      <c r="F175" s="22"/>
      <c r="G175" s="22">
        <f>'[4]Notified Cases'!G49/'[4]Active TB Prevalence'!G175</f>
        <v>0.64637375318676493</v>
      </c>
      <c r="H175" s="22">
        <f>'[4]Notified Cases'!H49/'[4]Active TB Prevalence'!H175</f>
        <v>0.73660366413195377</v>
      </c>
      <c r="I175" s="22">
        <f>'[4]Notified Cases'!I49/'[4]Active TB Prevalence'!I175</f>
        <v>0.75778349643452114</v>
      </c>
      <c r="J175" s="22">
        <f>'[4]Notified Cases'!J49/'[4]Active TB Prevalence'!J175</f>
        <v>0.80321786125489836</v>
      </c>
      <c r="K175" s="22"/>
      <c r="L175" s="22"/>
      <c r="M175" s="22">
        <f>'[4]Notified Cases'!M49/'[4]Active TB Prevalence'!M175</f>
        <v>0.84258756489463593</v>
      </c>
      <c r="N175" s="22"/>
      <c r="O175" s="22"/>
      <c r="P175" s="22"/>
      <c r="Q175" s="22">
        <f>'[4]Notified Cases'!Q49/'[4]Active TB Prevalence'!Q175</f>
        <v>0.87324685929371215</v>
      </c>
      <c r="R175" s="22">
        <f>'[4]Notified Cases'!R49/'[4]Active TB Prevalence'!R175</f>
        <v>0.8445680002544661</v>
      </c>
      <c r="S175" s="22">
        <f>'[4]Notified Cases'!S49/'[4]Active TB Prevalence'!S175</f>
        <v>0.80017196367501175</v>
      </c>
      <c r="T175" s="22"/>
      <c r="U175" s="22"/>
    </row>
    <row r="176" spans="1:21" x14ac:dyDescent="0.55000000000000004">
      <c r="A176" s="41" t="str">
        <f>'Population Definitions'!$A$8</f>
        <v>Prisoners</v>
      </c>
      <c r="B176" s="41" t="s">
        <v>10</v>
      </c>
      <c r="C176" s="12" t="str">
        <f t="shared" si="12"/>
        <v>N.A.</v>
      </c>
      <c r="D176" s="41" t="s">
        <v>16</v>
      </c>
      <c r="E176" s="47"/>
      <c r="F176" s="22"/>
      <c r="G176" s="22">
        <f>'[4]Notified Cases'!G50/'[4]Active TB Prevalence'!G176</f>
        <v>0.64051330133789031</v>
      </c>
      <c r="H176" s="22"/>
      <c r="I176" s="22">
        <f>'[4]Notified Cases'!I50/'[4]Active TB Prevalence'!I176</f>
        <v>0.75045776156030963</v>
      </c>
      <c r="J176" s="22">
        <f>'[4]Notified Cases'!J50/'[4]Active TB Prevalence'!J176</f>
        <v>0.7948412677455331</v>
      </c>
      <c r="K176" s="22">
        <f>'[4]Notified Cases'!K50/'[4]Active TB Prevalence'!K176</f>
        <v>0.79435013553362732</v>
      </c>
      <c r="L176" s="22"/>
      <c r="M176" s="22">
        <f>'[4]Notified Cases'!M50/'[4]Active TB Prevalence'!M176</f>
        <v>0.8351036368162279</v>
      </c>
      <c r="N176" s="22">
        <f>'[4]Notified Cases'!N50/'[4]Active TB Prevalence'!N176</f>
        <v>0.88704947647767618</v>
      </c>
      <c r="O176" s="22">
        <f>'[4]Notified Cases'!O50/'[4]Active TB Prevalence'!O176</f>
        <v>0.89302372102224958</v>
      </c>
      <c r="P176" s="22"/>
      <c r="Q176" s="22">
        <f>'[4]Notified Cases'!Q50/'[4]Active TB Prevalence'!Q176</f>
        <v>0.87324685929371193</v>
      </c>
      <c r="R176" s="22">
        <f>'[4]Notified Cases'!R50/'[4]Active TB Prevalence'!R176</f>
        <v>0.8353608684374888</v>
      </c>
      <c r="S176" s="22">
        <f>'[4]Notified Cases'!S50/'[4]Active TB Prevalence'!S176</f>
        <v>0.80017196367501175</v>
      </c>
      <c r="T176" s="22"/>
      <c r="U176" s="22"/>
    </row>
    <row r="177" spans="1:21" x14ac:dyDescent="0.55000000000000004">
      <c r="A177" s="41" t="str">
        <f>'Population Definitions'!$A$9</f>
        <v>PLHIV Prisoners</v>
      </c>
      <c r="B177" s="41" t="s">
        <v>10</v>
      </c>
      <c r="C177" s="12" t="str">
        <f t="shared" si="12"/>
        <v>N.A.</v>
      </c>
      <c r="D177" s="41" t="s">
        <v>16</v>
      </c>
      <c r="E177" s="47"/>
      <c r="F177" s="22"/>
      <c r="G177" s="22">
        <f>'[4]Notified Cases'!G51/'[4]Active TB Prevalence'!G177</f>
        <v>0.64051330133789031</v>
      </c>
      <c r="H177" s="22"/>
      <c r="I177" s="22">
        <f>'[4]Notified Cases'!I51/'[4]Active TB Prevalence'!I177</f>
        <v>0.75045776156031041</v>
      </c>
      <c r="J177" s="22">
        <f>'[4]Notified Cases'!J51/'[4]Active TB Prevalence'!J177</f>
        <v>0.79484126774553221</v>
      </c>
      <c r="K177" s="22"/>
      <c r="L177" s="22"/>
      <c r="M177" s="22">
        <f>'[4]Notified Cases'!M51/'[4]Active TB Prevalence'!M177</f>
        <v>0.83510363681623057</v>
      </c>
      <c r="N177" s="22">
        <f>'[4]Notified Cases'!N51/'[4]Active TB Prevalence'!N177</f>
        <v>0.88704947647767463</v>
      </c>
      <c r="O177" s="22">
        <f>'[4]Notified Cases'!O51/'[4]Active TB Prevalence'!O177</f>
        <v>0.89302372102225391</v>
      </c>
      <c r="P177" s="22"/>
      <c r="Q177" s="22">
        <f>'[4]Notified Cases'!Q51/'[4]Active TB Prevalence'!Q177</f>
        <v>0.87324685929371204</v>
      </c>
      <c r="R177" s="22">
        <f>'[4]Notified Cases'!R51/'[4]Active TB Prevalence'!R177</f>
        <v>0.83536086843749047</v>
      </c>
      <c r="S177" s="22">
        <f>'[4]Notified Cases'!S51/'[4]Active TB Prevalence'!S177</f>
        <v>0.80017196367501298</v>
      </c>
      <c r="T177" s="22"/>
      <c r="U177" s="22"/>
    </row>
    <row r="178" spans="1:21" x14ac:dyDescent="0.55000000000000004">
      <c r="A178" s="41" t="str">
        <f>'Population Definitions'!$A$10</f>
        <v>HCW</v>
      </c>
      <c r="B178" s="41" t="s">
        <v>10</v>
      </c>
      <c r="C178" s="12">
        <f t="shared" si="12"/>
        <v>0.59</v>
      </c>
      <c r="D178" s="41" t="s">
        <v>16</v>
      </c>
      <c r="E178" s="47"/>
      <c r="F178" s="22"/>
      <c r="G178" s="22"/>
      <c r="H178" s="22"/>
      <c r="I178" s="22"/>
      <c r="J178" s="22"/>
      <c r="K178" s="22"/>
      <c r="L178" s="22"/>
      <c r="M178" s="22"/>
      <c r="N178" s="22"/>
      <c r="O178" s="22"/>
      <c r="P178" s="22"/>
      <c r="Q178" s="22"/>
      <c r="R178" s="22"/>
      <c r="S178" s="22"/>
      <c r="T178" s="22"/>
      <c r="U178" s="22"/>
    </row>
    <row r="179" spans="1:21" x14ac:dyDescent="0.55000000000000004">
      <c r="A179" s="41" t="str">
        <f>'Population Definitions'!$A$11</f>
        <v>PLHIV HCW</v>
      </c>
      <c r="B179" s="41" t="s">
        <v>10</v>
      </c>
      <c r="C179" s="12">
        <f t="shared" si="12"/>
        <v>0.59</v>
      </c>
      <c r="D179" s="41" t="s">
        <v>16</v>
      </c>
      <c r="E179" s="47"/>
      <c r="F179" s="22"/>
      <c r="G179" s="22"/>
      <c r="H179" s="22"/>
      <c r="I179" s="22"/>
      <c r="J179" s="22"/>
      <c r="K179" s="22"/>
      <c r="L179" s="22"/>
      <c r="M179" s="22"/>
      <c r="N179" s="22"/>
      <c r="O179" s="22"/>
      <c r="P179" s="22"/>
      <c r="Q179" s="22"/>
      <c r="R179" s="22"/>
      <c r="S179" s="22"/>
      <c r="T179" s="22"/>
      <c r="U179" s="22"/>
    </row>
    <row r="180" spans="1:21" x14ac:dyDescent="0.55000000000000004">
      <c r="A180" s="41" t="str">
        <f>'Population Definitions'!$A$12</f>
        <v>Miners</v>
      </c>
      <c r="B180" s="41" t="s">
        <v>10</v>
      </c>
      <c r="C180" s="12" t="str">
        <f t="shared" si="12"/>
        <v>N.A.</v>
      </c>
      <c r="D180" s="41" t="s">
        <v>16</v>
      </c>
      <c r="E180" s="47"/>
      <c r="F180" s="22"/>
      <c r="G180" s="22"/>
      <c r="H180" s="22"/>
      <c r="I180" s="22"/>
      <c r="J180" s="22"/>
      <c r="K180" s="22"/>
      <c r="L180" s="22"/>
      <c r="M180" s="22"/>
      <c r="N180" s="22"/>
      <c r="O180" s="22"/>
      <c r="P180" s="22"/>
      <c r="Q180" s="22"/>
      <c r="R180" s="22"/>
      <c r="S180" s="22"/>
      <c r="T180" s="22">
        <v>0.8</v>
      </c>
      <c r="U180" s="22"/>
    </row>
    <row r="181" spans="1:21" x14ac:dyDescent="0.55000000000000004">
      <c r="A181" s="41" t="str">
        <f>'Population Definitions'!$A$13</f>
        <v>PLHIV Miners</v>
      </c>
      <c r="B181" s="41" t="s">
        <v>10</v>
      </c>
      <c r="C181" s="12" t="str">
        <f t="shared" si="12"/>
        <v>N.A.</v>
      </c>
      <c r="D181" s="41" t="s">
        <v>16</v>
      </c>
      <c r="E181" s="47"/>
      <c r="F181" s="22"/>
      <c r="G181" s="22"/>
      <c r="H181" s="22"/>
      <c r="I181" s="22"/>
      <c r="J181" s="22"/>
      <c r="K181" s="22"/>
      <c r="L181" s="22"/>
      <c r="M181" s="22"/>
      <c r="N181" s="22"/>
      <c r="O181" s="22"/>
      <c r="P181" s="22"/>
      <c r="Q181" s="22"/>
      <c r="R181" s="22"/>
      <c r="S181" s="22"/>
      <c r="T181" s="22">
        <v>0.8</v>
      </c>
      <c r="U181" s="22"/>
    </row>
    <row r="182" spans="1:21" x14ac:dyDescent="0.55000000000000004">
      <c r="A182" s="37"/>
      <c r="B182" s="37"/>
      <c r="C182" s="37"/>
      <c r="D182" s="37"/>
      <c r="E182" s="37"/>
      <c r="F182" s="37"/>
      <c r="G182" s="37"/>
      <c r="H182" s="37"/>
      <c r="I182" s="37"/>
      <c r="J182" s="37"/>
      <c r="K182" s="37"/>
      <c r="L182" s="37"/>
      <c r="M182" s="37"/>
      <c r="N182" s="37"/>
      <c r="O182" s="37"/>
      <c r="P182" s="37"/>
      <c r="Q182" s="37"/>
      <c r="R182" s="37"/>
      <c r="S182" s="37"/>
      <c r="T182" s="37"/>
      <c r="U182" s="37"/>
    </row>
    <row r="183" spans="1:21" x14ac:dyDescent="0.55000000000000004">
      <c r="A183" s="21" t="s">
        <v>94</v>
      </c>
      <c r="B183" s="41" t="s">
        <v>8</v>
      </c>
      <c r="C183" s="41" t="s">
        <v>9</v>
      </c>
      <c r="D183" s="41"/>
      <c r="E183" s="41">
        <v>2000</v>
      </c>
      <c r="F183" s="41">
        <v>2001</v>
      </c>
      <c r="G183" s="41">
        <v>2002</v>
      </c>
      <c r="H183" s="41">
        <v>2003</v>
      </c>
      <c r="I183" s="41">
        <v>2004</v>
      </c>
      <c r="J183" s="41">
        <v>2005</v>
      </c>
      <c r="K183" s="41">
        <v>2006</v>
      </c>
      <c r="L183" s="41">
        <v>2007</v>
      </c>
      <c r="M183" s="41">
        <v>2008</v>
      </c>
      <c r="N183" s="41">
        <v>2009</v>
      </c>
      <c r="O183" s="41">
        <v>2010</v>
      </c>
      <c r="P183" s="41">
        <v>2011</v>
      </c>
      <c r="Q183" s="41">
        <v>2012</v>
      </c>
      <c r="R183" s="41">
        <v>2013</v>
      </c>
      <c r="S183" s="41">
        <v>2014</v>
      </c>
      <c r="T183" s="41">
        <v>2015</v>
      </c>
      <c r="U183" s="41">
        <v>2016</v>
      </c>
    </row>
    <row r="184" spans="1:21" x14ac:dyDescent="0.55000000000000004">
      <c r="A184" s="41" t="str">
        <f>'Population Definitions'!$A$2</f>
        <v>Gen 0-4</v>
      </c>
      <c r="B184" s="41" t="s">
        <v>10</v>
      </c>
      <c r="C184" s="12" t="str">
        <f t="shared" ref="C184:C195" si="13">IF(SUMPRODUCT(--(E184:U184&lt;&gt;""))=0,0.59,"N.A.")</f>
        <v>N.A.</v>
      </c>
      <c r="D184" s="41" t="s">
        <v>16</v>
      </c>
      <c r="E184" s="47"/>
      <c r="F184" s="22"/>
      <c r="G184" s="22">
        <v>0.82399999999999995</v>
      </c>
      <c r="H184" s="22"/>
      <c r="I184" s="22"/>
      <c r="J184" s="22"/>
      <c r="K184" s="22"/>
      <c r="L184" s="22"/>
      <c r="M184" s="22"/>
      <c r="N184" s="22"/>
      <c r="O184" s="22">
        <v>0.82399999999999995</v>
      </c>
      <c r="P184" s="22">
        <v>0.871</v>
      </c>
      <c r="Q184" s="22">
        <v>0.68300000000000005</v>
      </c>
      <c r="R184" s="22"/>
      <c r="S184" s="22">
        <v>0.90300000000000002</v>
      </c>
      <c r="T184" s="22">
        <v>0.9</v>
      </c>
      <c r="U184" s="22"/>
    </row>
    <row r="185" spans="1:21" x14ac:dyDescent="0.55000000000000004">
      <c r="A185" s="41" t="str">
        <f>'Population Definitions'!$A$3</f>
        <v>Gen 5-14</v>
      </c>
      <c r="B185" s="41" t="s">
        <v>10</v>
      </c>
      <c r="C185" s="12" t="str">
        <f t="shared" si="13"/>
        <v>N.A.</v>
      </c>
      <c r="D185" s="41" t="s">
        <v>16</v>
      </c>
      <c r="E185" s="47"/>
      <c r="F185" s="22"/>
      <c r="G185" s="22">
        <v>0.82399999999999995</v>
      </c>
      <c r="H185" s="22"/>
      <c r="I185" s="22"/>
      <c r="J185" s="22"/>
      <c r="K185" s="22"/>
      <c r="L185" s="22"/>
      <c r="M185" s="22"/>
      <c r="N185" s="22"/>
      <c r="O185" s="22">
        <v>0.82399999999999995</v>
      </c>
      <c r="P185" s="22">
        <v>0.871</v>
      </c>
      <c r="Q185" s="22">
        <v>0.68300000000000005</v>
      </c>
      <c r="R185" s="22"/>
      <c r="S185" s="22">
        <v>0.90300000000000002</v>
      </c>
      <c r="T185" s="22">
        <v>0.9</v>
      </c>
      <c r="U185" s="22"/>
    </row>
    <row r="186" spans="1:21" x14ac:dyDescent="0.55000000000000004">
      <c r="A186" s="41" t="str">
        <f>'Population Definitions'!$A$4</f>
        <v>Gen 15-64</v>
      </c>
      <c r="B186" s="41" t="s">
        <v>10</v>
      </c>
      <c r="C186" s="12" t="str">
        <f t="shared" si="13"/>
        <v>N.A.</v>
      </c>
      <c r="D186" s="41" t="s">
        <v>16</v>
      </c>
      <c r="E186" s="47"/>
      <c r="F186" s="22"/>
      <c r="G186" s="22">
        <v>0.82399999999999995</v>
      </c>
      <c r="H186" s="22"/>
      <c r="I186" s="22"/>
      <c r="J186" s="22"/>
      <c r="K186" s="22"/>
      <c r="L186" s="22"/>
      <c r="M186" s="22"/>
      <c r="N186" s="22"/>
      <c r="O186" s="22">
        <v>0.82399999999999995</v>
      </c>
      <c r="P186" s="22">
        <v>0.871</v>
      </c>
      <c r="Q186" s="22">
        <v>0.68300000000000005</v>
      </c>
      <c r="R186" s="22"/>
      <c r="S186" s="22">
        <v>0.90300000000000002</v>
      </c>
      <c r="T186" s="22">
        <v>0.9</v>
      </c>
      <c r="U186" s="22"/>
    </row>
    <row r="187" spans="1:21" x14ac:dyDescent="0.55000000000000004">
      <c r="A187" s="41" t="str">
        <f>'Population Definitions'!$A$5</f>
        <v>Gen 65+</v>
      </c>
      <c r="B187" s="41" t="s">
        <v>10</v>
      </c>
      <c r="C187" s="12" t="str">
        <f t="shared" si="13"/>
        <v>N.A.</v>
      </c>
      <c r="D187" s="41" t="s">
        <v>16</v>
      </c>
      <c r="E187" s="47"/>
      <c r="F187" s="22"/>
      <c r="G187" s="22">
        <v>0.82399999999999995</v>
      </c>
      <c r="H187" s="22"/>
      <c r="I187" s="22"/>
      <c r="J187" s="22"/>
      <c r="K187" s="22"/>
      <c r="L187" s="22"/>
      <c r="M187" s="22"/>
      <c r="N187" s="22"/>
      <c r="O187" s="22">
        <v>0.82399999999999995</v>
      </c>
      <c r="P187" s="22">
        <v>0.871</v>
      </c>
      <c r="Q187" s="22">
        <v>0.68300000000000005</v>
      </c>
      <c r="R187" s="22"/>
      <c r="S187" s="22">
        <v>0.90300000000000002</v>
      </c>
      <c r="T187" s="22">
        <v>0.9</v>
      </c>
      <c r="U187" s="22"/>
    </row>
    <row r="188" spans="1:21" x14ac:dyDescent="0.55000000000000004">
      <c r="A188" s="41" t="str">
        <f>'Population Definitions'!$A$6</f>
        <v>PLHIV 15-64</v>
      </c>
      <c r="B188" s="41" t="s">
        <v>10</v>
      </c>
      <c r="C188" s="12" t="str">
        <f t="shared" si="13"/>
        <v>N.A.</v>
      </c>
      <c r="D188" s="41" t="s">
        <v>16</v>
      </c>
      <c r="E188" s="47"/>
      <c r="F188" s="22"/>
      <c r="G188" s="22">
        <v>0.82399999999999995</v>
      </c>
      <c r="H188" s="22"/>
      <c r="I188" s="22"/>
      <c r="J188" s="22"/>
      <c r="K188" s="22"/>
      <c r="L188" s="22"/>
      <c r="M188" s="22"/>
      <c r="N188" s="22"/>
      <c r="O188" s="22">
        <v>0.82399999999999995</v>
      </c>
      <c r="P188" s="22">
        <v>0.871</v>
      </c>
      <c r="Q188" s="22">
        <v>0.68300000000000005</v>
      </c>
      <c r="R188" s="22"/>
      <c r="S188" s="22">
        <v>0.90300000000000002</v>
      </c>
      <c r="T188" s="22">
        <v>0.9</v>
      </c>
      <c r="U188" s="22"/>
    </row>
    <row r="189" spans="1:21" x14ac:dyDescent="0.55000000000000004">
      <c r="A189" s="41" t="str">
        <f>'Population Definitions'!$A$7</f>
        <v>PLHIV 65+</v>
      </c>
      <c r="B189" s="41" t="s">
        <v>10</v>
      </c>
      <c r="C189" s="12" t="str">
        <f t="shared" si="13"/>
        <v>N.A.</v>
      </c>
      <c r="D189" s="41" t="s">
        <v>16</v>
      </c>
      <c r="E189" s="47"/>
      <c r="F189" s="22"/>
      <c r="G189" s="22">
        <v>0.82399999999999995</v>
      </c>
      <c r="H189" s="22"/>
      <c r="I189" s="22"/>
      <c r="J189" s="22"/>
      <c r="K189" s="22"/>
      <c r="L189" s="22"/>
      <c r="M189" s="22"/>
      <c r="N189" s="22"/>
      <c r="O189" s="22">
        <v>0.82399999999999995</v>
      </c>
      <c r="P189" s="22">
        <v>0.871</v>
      </c>
      <c r="Q189" s="22">
        <v>0.68300000000000005</v>
      </c>
      <c r="R189" s="22"/>
      <c r="S189" s="22">
        <v>0.90300000000000002</v>
      </c>
      <c r="T189" s="22">
        <v>0.9</v>
      </c>
      <c r="U189" s="22"/>
    </row>
    <row r="190" spans="1:21" x14ac:dyDescent="0.55000000000000004">
      <c r="A190" s="41" t="str">
        <f>'Population Definitions'!$A$8</f>
        <v>Prisoners</v>
      </c>
      <c r="B190" s="41" t="s">
        <v>10</v>
      </c>
      <c r="C190" s="12" t="str">
        <f t="shared" si="13"/>
        <v>N.A.</v>
      </c>
      <c r="D190" s="41" t="s">
        <v>16</v>
      </c>
      <c r="E190" s="47"/>
      <c r="F190" s="22"/>
      <c r="G190" s="22">
        <v>0.82399999999999995</v>
      </c>
      <c r="H190" s="22"/>
      <c r="I190" s="22"/>
      <c r="J190" s="22"/>
      <c r="K190" s="22"/>
      <c r="L190" s="22"/>
      <c r="M190" s="22"/>
      <c r="N190" s="22"/>
      <c r="O190" s="22">
        <v>0.82399999999999995</v>
      </c>
      <c r="P190" s="22">
        <v>0.871</v>
      </c>
      <c r="Q190" s="22">
        <v>0.68300000000000005</v>
      </c>
      <c r="R190" s="22"/>
      <c r="S190" s="22">
        <v>0.90300000000000002</v>
      </c>
      <c r="T190" s="22">
        <v>0.9</v>
      </c>
      <c r="U190" s="22"/>
    </row>
    <row r="191" spans="1:21" x14ac:dyDescent="0.55000000000000004">
      <c r="A191" s="41" t="str">
        <f>'Population Definitions'!$A$9</f>
        <v>PLHIV Prisoners</v>
      </c>
      <c r="B191" s="41" t="s">
        <v>10</v>
      </c>
      <c r="C191" s="12" t="str">
        <f t="shared" si="13"/>
        <v>N.A.</v>
      </c>
      <c r="D191" s="41" t="s">
        <v>16</v>
      </c>
      <c r="E191" s="47"/>
      <c r="F191" s="22"/>
      <c r="G191" s="22">
        <v>0.82399999999999995</v>
      </c>
      <c r="H191" s="22"/>
      <c r="I191" s="22"/>
      <c r="J191" s="22"/>
      <c r="K191" s="22"/>
      <c r="L191" s="22"/>
      <c r="M191" s="22"/>
      <c r="N191" s="22"/>
      <c r="O191" s="22">
        <v>0.82399999999999995</v>
      </c>
      <c r="P191" s="22">
        <v>0.871</v>
      </c>
      <c r="Q191" s="22">
        <v>0.68300000000000005</v>
      </c>
      <c r="R191" s="22"/>
      <c r="S191" s="22">
        <v>0.90300000000000002</v>
      </c>
      <c r="T191" s="22">
        <v>0.9</v>
      </c>
      <c r="U191" s="22"/>
    </row>
    <row r="192" spans="1:21" x14ac:dyDescent="0.55000000000000004">
      <c r="A192" s="41" t="str">
        <f>'Population Definitions'!$A$10</f>
        <v>HCW</v>
      </c>
      <c r="B192" s="41" t="s">
        <v>10</v>
      </c>
      <c r="C192" s="12">
        <f t="shared" si="13"/>
        <v>0.59</v>
      </c>
      <c r="D192" s="41" t="s">
        <v>16</v>
      </c>
      <c r="E192" s="47"/>
      <c r="F192" s="22"/>
      <c r="G192" s="22"/>
      <c r="H192" s="22"/>
      <c r="I192" s="22"/>
      <c r="J192" s="22"/>
      <c r="K192" s="22"/>
      <c r="L192" s="22"/>
      <c r="M192" s="22"/>
      <c r="N192" s="22"/>
      <c r="O192" s="22"/>
      <c r="P192" s="22"/>
      <c r="Q192" s="22"/>
      <c r="R192" s="22"/>
      <c r="S192" s="22"/>
      <c r="T192" s="22"/>
      <c r="U192" s="22"/>
    </row>
    <row r="193" spans="1:21" x14ac:dyDescent="0.55000000000000004">
      <c r="A193" s="41" t="str">
        <f>'Population Definitions'!$A$11</f>
        <v>PLHIV HCW</v>
      </c>
      <c r="B193" s="41" t="s">
        <v>10</v>
      </c>
      <c r="C193" s="12">
        <f t="shared" si="13"/>
        <v>0.59</v>
      </c>
      <c r="D193" s="41" t="s">
        <v>16</v>
      </c>
      <c r="E193" s="47"/>
      <c r="F193" s="22"/>
      <c r="G193" s="22"/>
      <c r="H193" s="22"/>
      <c r="I193" s="22"/>
      <c r="J193" s="22"/>
      <c r="K193" s="22"/>
      <c r="L193" s="22"/>
      <c r="M193" s="22"/>
      <c r="N193" s="22"/>
      <c r="O193" s="22"/>
      <c r="P193" s="22"/>
      <c r="Q193" s="22"/>
      <c r="R193" s="22"/>
      <c r="S193" s="22"/>
      <c r="T193" s="22"/>
      <c r="U193" s="22"/>
    </row>
    <row r="194" spans="1:21" x14ac:dyDescent="0.55000000000000004">
      <c r="A194" s="41" t="str">
        <f>'Population Definitions'!$A$12</f>
        <v>Miners</v>
      </c>
      <c r="B194" s="41" t="s">
        <v>10</v>
      </c>
      <c r="C194" s="12" t="str">
        <f t="shared" si="13"/>
        <v>N.A.</v>
      </c>
      <c r="D194" s="41" t="s">
        <v>16</v>
      </c>
      <c r="E194" s="47"/>
      <c r="F194" s="22"/>
      <c r="G194" s="22"/>
      <c r="H194" s="22"/>
      <c r="I194" s="22"/>
      <c r="J194" s="22"/>
      <c r="K194" s="22"/>
      <c r="L194" s="22"/>
      <c r="M194" s="22"/>
      <c r="N194" s="22"/>
      <c r="O194" s="22"/>
      <c r="P194" s="22"/>
      <c r="Q194" s="22"/>
      <c r="R194" s="22"/>
      <c r="S194" s="22"/>
      <c r="T194" s="48">
        <v>0.93759999999999999</v>
      </c>
      <c r="U194" s="22"/>
    </row>
    <row r="195" spans="1:21" x14ac:dyDescent="0.55000000000000004">
      <c r="A195" s="41" t="str">
        <f>'Population Definitions'!$A$13</f>
        <v>PLHIV Miners</v>
      </c>
      <c r="B195" s="41" t="s">
        <v>10</v>
      </c>
      <c r="C195" s="12" t="str">
        <f t="shared" si="13"/>
        <v>N.A.</v>
      </c>
      <c r="D195" s="41" t="s">
        <v>16</v>
      </c>
      <c r="E195" s="47"/>
      <c r="F195" s="22"/>
      <c r="G195" s="22"/>
      <c r="H195" s="22"/>
      <c r="I195" s="22"/>
      <c r="J195" s="22"/>
      <c r="K195" s="22"/>
      <c r="L195" s="22"/>
      <c r="M195" s="22"/>
      <c r="N195" s="22"/>
      <c r="O195" s="22"/>
      <c r="P195" s="22"/>
      <c r="Q195" s="22"/>
      <c r="R195" s="22"/>
      <c r="S195" s="22"/>
      <c r="T195" s="22">
        <v>0.93759999999999999</v>
      </c>
      <c r="U195" s="22"/>
    </row>
    <row r="196" spans="1:21" x14ac:dyDescent="0.55000000000000004">
      <c r="A196" s="37"/>
      <c r="B196" s="37"/>
      <c r="C196" s="37"/>
      <c r="D196" s="37"/>
      <c r="E196" s="37"/>
      <c r="F196" s="37"/>
      <c r="G196" s="37"/>
      <c r="H196" s="37"/>
      <c r="I196" s="37"/>
      <c r="J196" s="37"/>
      <c r="K196" s="37"/>
      <c r="L196" s="37"/>
      <c r="M196" s="37"/>
      <c r="N196" s="37"/>
      <c r="O196" s="37"/>
      <c r="P196" s="37"/>
      <c r="Q196" s="37"/>
      <c r="R196" s="37"/>
      <c r="S196" s="37"/>
      <c r="T196" s="37"/>
      <c r="U196" s="37"/>
    </row>
    <row r="197" spans="1:21" x14ac:dyDescent="0.55000000000000004">
      <c r="A197" s="21" t="s">
        <v>96</v>
      </c>
      <c r="B197" s="41" t="s">
        <v>8</v>
      </c>
      <c r="C197" s="41" t="s">
        <v>9</v>
      </c>
      <c r="D197" s="41"/>
      <c r="E197" s="41">
        <v>2000</v>
      </c>
      <c r="F197" s="41">
        <v>2001</v>
      </c>
      <c r="G197" s="41">
        <v>2002</v>
      </c>
      <c r="H197" s="41">
        <v>2003</v>
      </c>
      <c r="I197" s="41">
        <v>2004</v>
      </c>
      <c r="J197" s="41">
        <v>2005</v>
      </c>
      <c r="K197" s="41">
        <v>2006</v>
      </c>
      <c r="L197" s="41">
        <v>2007</v>
      </c>
      <c r="M197" s="41">
        <v>2008</v>
      </c>
      <c r="N197" s="41">
        <v>2009</v>
      </c>
      <c r="O197" s="41">
        <v>2010</v>
      </c>
      <c r="P197" s="41">
        <v>2011</v>
      </c>
      <c r="Q197" s="41">
        <v>2012</v>
      </c>
      <c r="R197" s="41">
        <v>2013</v>
      </c>
      <c r="S197" s="41">
        <v>2014</v>
      </c>
      <c r="T197" s="41">
        <v>2015</v>
      </c>
      <c r="U197" s="41">
        <v>2016</v>
      </c>
    </row>
    <row r="198" spans="1:21" x14ac:dyDescent="0.55000000000000004">
      <c r="A198" s="41" t="str">
        <f>'Population Definitions'!$A$2</f>
        <v>Gen 0-4</v>
      </c>
      <c r="B198" s="41" t="s">
        <v>10</v>
      </c>
      <c r="C198" s="12" t="str">
        <f t="shared" ref="C198:C209" si="14">IF(SUMPRODUCT(--(E198:U198&lt;&gt;""))=0,0.05,"N.A.")</f>
        <v>N.A.</v>
      </c>
      <c r="D198" s="41" t="s">
        <v>16</v>
      </c>
      <c r="E198" s="47"/>
      <c r="F198" s="22"/>
      <c r="G198" s="22"/>
      <c r="H198" s="22">
        <v>0.12690191000323731</v>
      </c>
      <c r="I198" s="22">
        <v>0.1290866194809572</v>
      </c>
      <c r="J198" s="22"/>
      <c r="K198" s="22"/>
      <c r="L198" s="22">
        <v>0.11751930501930502</v>
      </c>
      <c r="M198" s="22"/>
      <c r="N198" s="22">
        <v>8.7855297157622733E-2</v>
      </c>
      <c r="O198" s="22">
        <v>8.0291970802919707E-2</v>
      </c>
      <c r="P198" s="22">
        <v>4.9977688531905401E-2</v>
      </c>
      <c r="Q198" s="22">
        <v>5.0980392156862744E-2</v>
      </c>
      <c r="R198" s="22">
        <v>5.4147772739397172E-2</v>
      </c>
      <c r="S198" s="22">
        <v>5.0324675324675328E-2</v>
      </c>
      <c r="T198" s="22">
        <v>4.1752224503764541E-2</v>
      </c>
      <c r="U198" s="22"/>
    </row>
    <row r="199" spans="1:21" x14ac:dyDescent="0.55000000000000004">
      <c r="A199" s="41" t="str">
        <f>'Population Definitions'!$A$3</f>
        <v>Gen 5-14</v>
      </c>
      <c r="B199" s="41" t="s">
        <v>10</v>
      </c>
      <c r="C199" s="12" t="str">
        <f t="shared" si="14"/>
        <v>N.A.</v>
      </c>
      <c r="D199" s="41" t="s">
        <v>16</v>
      </c>
      <c r="E199" s="47"/>
      <c r="F199" s="22"/>
      <c r="G199" s="22"/>
      <c r="H199" s="22">
        <v>0.1133879781420765</v>
      </c>
      <c r="I199" s="22">
        <v>0.11237298266586969</v>
      </c>
      <c r="J199" s="22"/>
      <c r="K199" s="22"/>
      <c r="L199" s="22">
        <v>8.8495575221238937E-2</v>
      </c>
      <c r="M199" s="22"/>
      <c r="N199" s="22">
        <v>8.75405280222325E-2</v>
      </c>
      <c r="O199" s="22"/>
      <c r="P199" s="22">
        <v>4.1591320072332731E-2</v>
      </c>
      <c r="Q199" s="22">
        <v>3.834355828220859E-2</v>
      </c>
      <c r="R199" s="22">
        <v>4.4099378881987575E-2</v>
      </c>
      <c r="S199" s="22">
        <v>3.9321511179645337E-2</v>
      </c>
      <c r="T199" s="22">
        <v>3.5859820700896494E-2</v>
      </c>
      <c r="U199" s="22"/>
    </row>
    <row r="200" spans="1:21" x14ac:dyDescent="0.55000000000000004">
      <c r="A200" s="41" t="str">
        <f>'Population Definitions'!$A$4</f>
        <v>Gen 15-64</v>
      </c>
      <c r="B200" s="41" t="s">
        <v>10</v>
      </c>
      <c r="C200" s="12" t="str">
        <f t="shared" si="14"/>
        <v>N.A.</v>
      </c>
      <c r="D200" s="41" t="s">
        <v>16</v>
      </c>
      <c r="E200" s="47"/>
      <c r="F200" s="22"/>
      <c r="G200" s="22"/>
      <c r="H200" s="22">
        <v>0.15780842091170763</v>
      </c>
      <c r="I200" s="22">
        <v>0.13122721749696234</v>
      </c>
      <c r="J200" s="22"/>
      <c r="K200" s="22"/>
      <c r="L200" s="22">
        <v>0.12801951420260921</v>
      </c>
      <c r="M200" s="22"/>
      <c r="N200" s="22">
        <v>0.11693734518564772</v>
      </c>
      <c r="O200" s="22"/>
      <c r="P200" s="22"/>
      <c r="Q200" s="22">
        <v>8.7488316109183964E-2</v>
      </c>
      <c r="R200" s="22">
        <v>7.6886747284385951E-2</v>
      </c>
      <c r="S200" s="22">
        <v>6.9641955504940248E-2</v>
      </c>
      <c r="T200" s="22">
        <v>6.9810943466733361E-2</v>
      </c>
      <c r="U200" s="22"/>
    </row>
    <row r="201" spans="1:21" x14ac:dyDescent="0.55000000000000004">
      <c r="A201" s="41" t="str">
        <f>'Population Definitions'!$A$5</f>
        <v>Gen 65+</v>
      </c>
      <c r="B201" s="41" t="s">
        <v>10</v>
      </c>
      <c r="C201" s="12" t="str">
        <f t="shared" si="14"/>
        <v>N.A.</v>
      </c>
      <c r="D201" s="41" t="s">
        <v>16</v>
      </c>
      <c r="E201" s="47"/>
      <c r="F201" s="22"/>
      <c r="G201" s="22"/>
      <c r="H201" s="22">
        <v>0.1333333333333333</v>
      </c>
      <c r="I201" s="22">
        <v>0.10920770877944322</v>
      </c>
      <c r="J201" s="22"/>
      <c r="K201" s="22">
        <v>0.10461538461538462</v>
      </c>
      <c r="L201" s="22">
        <v>0.10574765626588756</v>
      </c>
      <c r="M201" s="22"/>
      <c r="N201" s="22">
        <v>0.10023373932599088</v>
      </c>
      <c r="O201" s="22"/>
      <c r="P201" s="22">
        <v>7.9566258273482598E-2</v>
      </c>
      <c r="Q201" s="22">
        <v>6.3890405467977918E-2</v>
      </c>
      <c r="R201" s="22">
        <v>7.7663265401036199E-2</v>
      </c>
      <c r="S201" s="22">
        <v>6.7228847400140485E-2</v>
      </c>
      <c r="T201" s="22">
        <v>4.3518375341477247E-2</v>
      </c>
      <c r="U201" s="22"/>
    </row>
    <row r="202" spans="1:21" x14ac:dyDescent="0.55000000000000004">
      <c r="A202" s="41" t="str">
        <f>'Population Definitions'!$A$6</f>
        <v>PLHIV 15-64</v>
      </c>
      <c r="B202" s="41" t="s">
        <v>10</v>
      </c>
      <c r="C202" s="12" t="str">
        <f t="shared" si="14"/>
        <v>N.A.</v>
      </c>
      <c r="D202" s="41" t="s">
        <v>16</v>
      </c>
      <c r="E202" s="47"/>
      <c r="F202" s="22"/>
      <c r="G202" s="22"/>
      <c r="H202" s="22">
        <v>0.15783623078369768</v>
      </c>
      <c r="I202" s="22">
        <v>0.13125925929346685</v>
      </c>
      <c r="J202" s="22">
        <v>0.11387649433581779</v>
      </c>
      <c r="K202" s="22">
        <v>0.11538287201108939</v>
      </c>
      <c r="L202" s="22">
        <v>0.12754313300908782</v>
      </c>
      <c r="M202" s="22">
        <v>0.10388573183873054</v>
      </c>
      <c r="N202" s="22">
        <v>0.11895971196237486</v>
      </c>
      <c r="O202" s="22">
        <v>0.12344685515806607</v>
      </c>
      <c r="P202" s="22">
        <v>0.10868301378108965</v>
      </c>
      <c r="Q202" s="22">
        <v>9.560733710659218E-2</v>
      </c>
      <c r="R202" s="22">
        <v>8.213988447690064E-2</v>
      </c>
      <c r="S202" s="22">
        <v>7.1167404435899306E-2</v>
      </c>
      <c r="T202" s="22">
        <v>6.8420760896606897E-2</v>
      </c>
      <c r="U202" s="22"/>
    </row>
    <row r="203" spans="1:21" x14ac:dyDescent="0.55000000000000004">
      <c r="A203" s="41" t="str">
        <f>'Population Definitions'!$A$7</f>
        <v>PLHIV 65+</v>
      </c>
      <c r="B203" s="41" t="s">
        <v>10</v>
      </c>
      <c r="C203" s="12" t="str">
        <f t="shared" si="14"/>
        <v>N.A.</v>
      </c>
      <c r="D203" s="41" t="s">
        <v>16</v>
      </c>
      <c r="E203" s="47"/>
      <c r="F203" s="22"/>
      <c r="G203" s="22"/>
      <c r="H203" s="22">
        <v>0.13333333333333333</v>
      </c>
      <c r="I203" s="22">
        <v>0.10920770877944325</v>
      </c>
      <c r="J203" s="22">
        <v>8.2812499999999997E-2</v>
      </c>
      <c r="K203" s="22">
        <v>0.10461538461538464</v>
      </c>
      <c r="L203" s="22">
        <v>0.10877457573095552</v>
      </c>
      <c r="M203" s="22">
        <v>5.8973365187897579E-2</v>
      </c>
      <c r="N203" s="22">
        <v>0.11554136323801989</v>
      </c>
      <c r="O203" s="22">
        <v>9.1344647246847113E-2</v>
      </c>
      <c r="P203" s="22">
        <v>7.3647333952645708E-2</v>
      </c>
      <c r="Q203" s="22">
        <v>7.6155286776611444E-2</v>
      </c>
      <c r="R203" s="22">
        <v>5.856099540167703E-2</v>
      </c>
      <c r="S203" s="22">
        <v>6.5839305482724458E-2</v>
      </c>
      <c r="T203" s="22">
        <v>4.8122548616253875E-2</v>
      </c>
      <c r="U203" s="22"/>
    </row>
    <row r="204" spans="1:21" x14ac:dyDescent="0.55000000000000004">
      <c r="A204" s="41" t="str">
        <f>'Population Definitions'!$A$8</f>
        <v>Prisoners</v>
      </c>
      <c r="B204" s="41" t="s">
        <v>10</v>
      </c>
      <c r="C204" s="12" t="str">
        <f t="shared" si="14"/>
        <v>N.A.</v>
      </c>
      <c r="D204" s="41" t="s">
        <v>16</v>
      </c>
      <c r="E204" s="47"/>
      <c r="F204" s="22"/>
      <c r="G204" s="22"/>
      <c r="H204" s="22">
        <v>0.38012958963282939</v>
      </c>
      <c r="I204" s="22">
        <v>0.34711964549483015</v>
      </c>
      <c r="J204" s="22"/>
      <c r="K204" s="22"/>
      <c r="L204" s="22">
        <v>0.10393258426966293</v>
      </c>
      <c r="M204" s="22"/>
      <c r="N204" s="22"/>
      <c r="O204" s="22"/>
      <c r="P204" s="22">
        <v>4.0316346554082186E-2</v>
      </c>
      <c r="Q204" s="22">
        <v>4.98776268039497E-2</v>
      </c>
      <c r="R204" s="22"/>
      <c r="S204" s="22">
        <v>4.8024732147071314E-2</v>
      </c>
      <c r="T204" s="22">
        <v>3.4267026873311526E-2</v>
      </c>
      <c r="U204" s="22"/>
    </row>
    <row r="205" spans="1:21" x14ac:dyDescent="0.55000000000000004">
      <c r="A205" s="41" t="str">
        <f>'Population Definitions'!$A$9</f>
        <v>PLHIV Prisoners</v>
      </c>
      <c r="B205" s="41" t="s">
        <v>10</v>
      </c>
      <c r="C205" s="12" t="str">
        <f t="shared" si="14"/>
        <v>N.A.</v>
      </c>
      <c r="D205" s="41" t="s">
        <v>16</v>
      </c>
      <c r="E205" s="47"/>
      <c r="F205" s="22"/>
      <c r="G205" s="22"/>
      <c r="H205" s="22">
        <v>0.38012958963282939</v>
      </c>
      <c r="I205" s="22">
        <v>0.3471196454948301</v>
      </c>
      <c r="J205" s="22"/>
      <c r="K205" s="22"/>
      <c r="L205" s="22"/>
      <c r="M205" s="22">
        <v>0.17735495168108789</v>
      </c>
      <c r="N205" s="22">
        <v>0.11118230299264784</v>
      </c>
      <c r="O205" s="22">
        <v>0.1021170703273874</v>
      </c>
      <c r="P205" s="22"/>
      <c r="Q205" s="22"/>
      <c r="R205" s="22"/>
      <c r="S205" s="22">
        <v>9.3275464708036271E-2</v>
      </c>
      <c r="T205" s="22">
        <v>4.5643939393939396E-2</v>
      </c>
      <c r="U205" s="22"/>
    </row>
    <row r="206" spans="1:21" x14ac:dyDescent="0.55000000000000004">
      <c r="A206" s="41" t="str">
        <f>'Population Definitions'!$A$10</f>
        <v>HCW</v>
      </c>
      <c r="B206" s="41" t="s">
        <v>10</v>
      </c>
      <c r="C206" s="12">
        <f t="shared" si="14"/>
        <v>0.05</v>
      </c>
      <c r="D206" s="41" t="s">
        <v>16</v>
      </c>
      <c r="E206" s="47"/>
      <c r="F206" s="22"/>
      <c r="G206" s="22"/>
      <c r="H206" s="22"/>
      <c r="I206" s="22"/>
      <c r="J206" s="22"/>
      <c r="K206" s="22"/>
      <c r="L206" s="22"/>
      <c r="M206" s="22"/>
      <c r="N206" s="22"/>
      <c r="O206" s="22"/>
      <c r="P206" s="22"/>
      <c r="Q206" s="22"/>
      <c r="R206" s="22"/>
      <c r="S206" s="22"/>
      <c r="T206" s="22"/>
      <c r="U206" s="22"/>
    </row>
    <row r="207" spans="1:21" x14ac:dyDescent="0.55000000000000004">
      <c r="A207" s="41" t="str">
        <f>'Population Definitions'!$A$11</f>
        <v>PLHIV HCW</v>
      </c>
      <c r="B207" s="41" t="s">
        <v>10</v>
      </c>
      <c r="C207" s="12">
        <f t="shared" si="14"/>
        <v>0.05</v>
      </c>
      <c r="D207" s="41" t="s">
        <v>16</v>
      </c>
      <c r="E207" s="47"/>
      <c r="F207" s="22"/>
      <c r="G207" s="22"/>
      <c r="H207" s="22"/>
      <c r="I207" s="22"/>
      <c r="J207" s="22"/>
      <c r="K207" s="22"/>
      <c r="L207" s="22"/>
      <c r="M207" s="22"/>
      <c r="N207" s="22"/>
      <c r="O207" s="22"/>
      <c r="P207" s="22"/>
      <c r="Q207" s="22"/>
      <c r="R207" s="22"/>
      <c r="S207" s="22"/>
      <c r="T207" s="22"/>
      <c r="U207" s="22"/>
    </row>
    <row r="208" spans="1:21" x14ac:dyDescent="0.55000000000000004">
      <c r="A208" s="41" t="str">
        <f>'Population Definitions'!$A$12</f>
        <v>Miners</v>
      </c>
      <c r="B208" s="41" t="s">
        <v>10</v>
      </c>
      <c r="C208" s="12">
        <f t="shared" si="14"/>
        <v>0.05</v>
      </c>
      <c r="D208" s="41" t="s">
        <v>16</v>
      </c>
      <c r="E208" s="47"/>
      <c r="F208" s="22"/>
      <c r="G208" s="22"/>
      <c r="H208" s="22"/>
      <c r="I208" s="22"/>
      <c r="J208" s="22"/>
      <c r="K208" s="22"/>
      <c r="L208" s="22"/>
      <c r="M208" s="22"/>
      <c r="N208" s="22"/>
      <c r="O208" s="22"/>
      <c r="P208" s="22"/>
      <c r="Q208" s="22"/>
      <c r="R208" s="22"/>
      <c r="S208" s="22"/>
      <c r="T208" s="22"/>
      <c r="U208" s="22"/>
    </row>
    <row r="209" spans="1:21" x14ac:dyDescent="0.55000000000000004">
      <c r="A209" s="41" t="str">
        <f>'Population Definitions'!$A$13</f>
        <v>PLHIV Miners</v>
      </c>
      <c r="B209" s="41" t="s">
        <v>10</v>
      </c>
      <c r="C209" s="12">
        <f t="shared" si="14"/>
        <v>0.05</v>
      </c>
      <c r="D209" s="41" t="s">
        <v>16</v>
      </c>
      <c r="E209" s="47"/>
      <c r="F209" s="22"/>
      <c r="G209" s="22"/>
      <c r="H209" s="22"/>
      <c r="I209" s="22"/>
      <c r="J209" s="22"/>
      <c r="K209" s="22"/>
      <c r="L209" s="22"/>
      <c r="M209" s="22"/>
      <c r="N209" s="22"/>
      <c r="O209" s="22"/>
      <c r="P209" s="22"/>
      <c r="Q209" s="22"/>
      <c r="R209" s="22"/>
      <c r="S209" s="22"/>
      <c r="T209" s="22"/>
      <c r="U209" s="22"/>
    </row>
    <row r="210" spans="1:21" x14ac:dyDescent="0.55000000000000004">
      <c r="A210" s="37"/>
      <c r="B210" s="37"/>
      <c r="C210" s="37"/>
      <c r="D210" s="37"/>
      <c r="E210" s="37"/>
      <c r="F210" s="37"/>
      <c r="G210" s="37"/>
      <c r="H210" s="37"/>
      <c r="I210" s="37"/>
      <c r="J210" s="37"/>
      <c r="K210" s="37"/>
      <c r="L210" s="37"/>
      <c r="M210" s="37"/>
      <c r="N210" s="37"/>
      <c r="O210" s="37"/>
      <c r="P210" s="37"/>
      <c r="Q210" s="37"/>
      <c r="R210" s="37"/>
      <c r="S210" s="37"/>
      <c r="T210" s="37"/>
      <c r="U210" s="37"/>
    </row>
    <row r="211" spans="1:21" x14ac:dyDescent="0.55000000000000004">
      <c r="A211" s="21" t="s">
        <v>98</v>
      </c>
      <c r="B211" s="41" t="s">
        <v>8</v>
      </c>
      <c r="C211" s="41" t="s">
        <v>9</v>
      </c>
      <c r="D211" s="41"/>
      <c r="E211" s="41">
        <v>2000</v>
      </c>
      <c r="F211" s="41">
        <v>2001</v>
      </c>
      <c r="G211" s="41">
        <v>2002</v>
      </c>
      <c r="H211" s="41">
        <v>2003</v>
      </c>
      <c r="I211" s="41">
        <v>2004</v>
      </c>
      <c r="J211" s="41">
        <v>2005</v>
      </c>
      <c r="K211" s="41">
        <v>2006</v>
      </c>
      <c r="L211" s="41">
        <v>2007</v>
      </c>
      <c r="M211" s="41">
        <v>2008</v>
      </c>
      <c r="N211" s="41">
        <v>2009</v>
      </c>
      <c r="O211" s="41">
        <v>2010</v>
      </c>
      <c r="P211" s="41">
        <v>2011</v>
      </c>
      <c r="Q211" s="41">
        <v>2012</v>
      </c>
      <c r="R211" s="41">
        <v>2013</v>
      </c>
      <c r="S211" s="41">
        <v>2014</v>
      </c>
      <c r="T211" s="41">
        <v>2015</v>
      </c>
      <c r="U211" s="41">
        <v>2016</v>
      </c>
    </row>
    <row r="212" spans="1:21" x14ac:dyDescent="0.55000000000000004">
      <c r="A212" s="41" t="str">
        <f>'Population Definitions'!$A$2</f>
        <v>Gen 0-4</v>
      </c>
      <c r="B212" s="41" t="s">
        <v>10</v>
      </c>
      <c r="C212" s="12" t="str">
        <f t="shared" ref="C212:C223" si="15">IF(SUMPRODUCT(--(E212:U212&lt;&gt;""))=0,0.83,"N.A.")</f>
        <v>N.A.</v>
      </c>
      <c r="D212" s="41" t="s">
        <v>16</v>
      </c>
      <c r="E212" s="47"/>
      <c r="F212" s="22"/>
      <c r="G212" s="22"/>
      <c r="H212" s="22">
        <v>0.83004208481709296</v>
      </c>
      <c r="I212" s="22">
        <v>0.82002022244691608</v>
      </c>
      <c r="J212" s="22">
        <v>0.88652482269503541</v>
      </c>
      <c r="K212" s="22">
        <v>0.87963843958135113</v>
      </c>
      <c r="L212" s="22">
        <v>0.84242277992277992</v>
      </c>
      <c r="M212" s="22">
        <v>0.89597086273617121</v>
      </c>
      <c r="N212" s="22">
        <v>0.88771435283063194</v>
      </c>
      <c r="O212" s="22">
        <v>0.90208910143468413</v>
      </c>
      <c r="P212" s="22">
        <v>0.93596608656849622</v>
      </c>
      <c r="Q212" s="22">
        <v>0.93568627450980391</v>
      </c>
      <c r="R212" s="22">
        <v>0.93331555081355033</v>
      </c>
      <c r="S212" s="22">
        <v>0.93733766233766236</v>
      </c>
      <c r="T212" s="22">
        <v>0.94558521560574949</v>
      </c>
      <c r="U212" s="22"/>
    </row>
    <row r="213" spans="1:21" x14ac:dyDescent="0.55000000000000004">
      <c r="A213" s="41" t="str">
        <f>'Population Definitions'!$A$3</f>
        <v>Gen 5-14</v>
      </c>
      <c r="B213" s="41" t="s">
        <v>10</v>
      </c>
      <c r="C213" s="12" t="str">
        <f t="shared" si="15"/>
        <v>N.A.</v>
      </c>
      <c r="D213" s="41" t="s">
        <v>16</v>
      </c>
      <c r="E213" s="47"/>
      <c r="F213" s="22"/>
      <c r="G213" s="22"/>
      <c r="H213" s="22">
        <v>0.85314207650273222</v>
      </c>
      <c r="I213" s="22">
        <v>0.83263598326359833</v>
      </c>
      <c r="J213" s="22">
        <v>0.89219330855018586</v>
      </c>
      <c r="K213" s="22">
        <v>0.873269435569755</v>
      </c>
      <c r="L213" s="22">
        <v>0.87610619469026552</v>
      </c>
      <c r="M213" s="22">
        <v>0.90651307044749663</v>
      </c>
      <c r="N213" s="22">
        <v>0.88559518295507178</v>
      </c>
      <c r="O213" s="22">
        <v>0.89358528095474887</v>
      </c>
      <c r="P213" s="22">
        <v>0.93761301989150092</v>
      </c>
      <c r="Q213" s="22">
        <v>0.94734151329243355</v>
      </c>
      <c r="R213" s="22">
        <v>0.94099378881987583</v>
      </c>
      <c r="S213" s="22">
        <v>0.93754818812644569</v>
      </c>
      <c r="T213" s="22">
        <v>0.93887530562347188</v>
      </c>
      <c r="U213" s="22"/>
    </row>
    <row r="214" spans="1:21" x14ac:dyDescent="0.55000000000000004">
      <c r="A214" s="41" t="str">
        <f>'Population Definitions'!$A$4</f>
        <v>Gen 15-64</v>
      </c>
      <c r="B214" s="41" t="s">
        <v>10</v>
      </c>
      <c r="C214" s="12" t="str">
        <f t="shared" si="15"/>
        <v>N.A.</v>
      </c>
      <c r="D214" s="41" t="s">
        <v>16</v>
      </c>
      <c r="E214" s="47"/>
      <c r="F214" s="22"/>
      <c r="G214" s="22"/>
      <c r="H214" s="22">
        <v>0.72421179463150154</v>
      </c>
      <c r="I214" s="22">
        <v>0.74295261239368171</v>
      </c>
      <c r="J214" s="22">
        <v>0.75441127224955573</v>
      </c>
      <c r="K214" s="22">
        <v>0.76850747270232711</v>
      </c>
      <c r="L214" s="22">
        <v>0.76313932399588613</v>
      </c>
      <c r="M214" s="22">
        <v>0.81120008641523145</v>
      </c>
      <c r="N214" s="22">
        <v>0.81736360284413834</v>
      </c>
      <c r="O214" s="22">
        <v>0.82369956980646253</v>
      </c>
      <c r="P214" s="22">
        <v>0.83941445019082661</v>
      </c>
      <c r="Q214" s="22">
        <v>0.87059440009749156</v>
      </c>
      <c r="R214" s="22">
        <v>0.88368562949790774</v>
      </c>
      <c r="S214" s="22">
        <v>0.89042121466047164</v>
      </c>
      <c r="T214" s="22">
        <v>0.89233197402238951</v>
      </c>
      <c r="U214" s="22"/>
    </row>
    <row r="215" spans="1:21" x14ac:dyDescent="0.55000000000000004">
      <c r="A215" s="41" t="str">
        <f>'Population Definitions'!$A$5</f>
        <v>Gen 65+</v>
      </c>
      <c r="B215" s="41" t="s">
        <v>10</v>
      </c>
      <c r="C215" s="12" t="str">
        <f t="shared" si="15"/>
        <v>N.A.</v>
      </c>
      <c r="D215" s="41" t="s">
        <v>16</v>
      </c>
      <c r="E215" s="47"/>
      <c r="F215" s="22"/>
      <c r="G215" s="22"/>
      <c r="H215" s="22">
        <v>0.62666666666666659</v>
      </c>
      <c r="I215" s="22">
        <v>0.65952890792291208</v>
      </c>
      <c r="J215" s="22">
        <v>0.69531250000000011</v>
      </c>
      <c r="K215" s="22">
        <v>0.66</v>
      </c>
      <c r="L215" s="22">
        <v>0.67997098718148585</v>
      </c>
      <c r="M215" s="22">
        <v>0.73061564869581486</v>
      </c>
      <c r="N215" s="22">
        <v>0.69669415894621212</v>
      </c>
      <c r="O215" s="22">
        <v>0.72554870627036794</v>
      </c>
      <c r="P215" s="22">
        <v>0.73314310383437098</v>
      </c>
      <c r="Q215" s="22">
        <v>0.76062737997332364</v>
      </c>
      <c r="R215" s="22">
        <v>0.73594458758491521</v>
      </c>
      <c r="S215" s="22">
        <v>0.7235599778025279</v>
      </c>
      <c r="T215" s="22">
        <v>0.78871192206587293</v>
      </c>
      <c r="U215" s="22"/>
    </row>
    <row r="216" spans="1:21" x14ac:dyDescent="0.55000000000000004">
      <c r="A216" s="41" t="str">
        <f>'Population Definitions'!$A$6</f>
        <v>PLHIV 15-64</v>
      </c>
      <c r="B216" s="41" t="s">
        <v>10</v>
      </c>
      <c r="C216" s="12" t="str">
        <f t="shared" si="15"/>
        <v>N.A.</v>
      </c>
      <c r="D216" s="41" t="s">
        <v>16</v>
      </c>
      <c r="E216" s="47"/>
      <c r="F216" s="22"/>
      <c r="G216" s="22"/>
      <c r="H216" s="22">
        <v>0.72419357296361586</v>
      </c>
      <c r="I216" s="22">
        <v>0.74292521105595766</v>
      </c>
      <c r="J216" s="22">
        <v>0.75440303995861979</v>
      </c>
      <c r="K216" s="22">
        <v>0.76836350816045251</v>
      </c>
      <c r="L216" s="22">
        <v>0.75982423581627967</v>
      </c>
      <c r="M216" s="22">
        <v>0.78878984775300964</v>
      </c>
      <c r="N216" s="22">
        <v>0.78917336691740736</v>
      </c>
      <c r="O216" s="22">
        <v>0.79504524336435856</v>
      </c>
      <c r="P216" s="22">
        <v>0.80837059964261437</v>
      </c>
      <c r="Q216" s="22">
        <v>0.82161975483086058</v>
      </c>
      <c r="R216" s="22">
        <v>0.84111640809153621</v>
      </c>
      <c r="S216" s="22">
        <v>0.85684661068530654</v>
      </c>
      <c r="T216" s="22">
        <v>0.85642224443745063</v>
      </c>
      <c r="U216" s="22"/>
    </row>
    <row r="217" spans="1:21" x14ac:dyDescent="0.55000000000000004">
      <c r="A217" s="41" t="str">
        <f>'Population Definitions'!$A$7</f>
        <v>PLHIV 65+</v>
      </c>
      <c r="B217" s="41" t="s">
        <v>10</v>
      </c>
      <c r="C217" s="12" t="str">
        <f t="shared" si="15"/>
        <v>N.A.</v>
      </c>
      <c r="D217" s="41" t="s">
        <v>16</v>
      </c>
      <c r="E217" s="47"/>
      <c r="F217" s="22"/>
      <c r="G217" s="22"/>
      <c r="H217" s="22">
        <v>0.62666666666666671</v>
      </c>
      <c r="I217" s="22">
        <v>0.65952890792291208</v>
      </c>
      <c r="J217" s="22">
        <v>0.6953125</v>
      </c>
      <c r="K217" s="22">
        <v>0.66000000000000014</v>
      </c>
      <c r="L217" s="22">
        <v>0.66054848548454392</v>
      </c>
      <c r="M217" s="22">
        <v>0.70566344071715192</v>
      </c>
      <c r="N217" s="22">
        <v>0.69205385325298785</v>
      </c>
      <c r="O217" s="22">
        <v>0.74366116755687717</v>
      </c>
      <c r="P217" s="22">
        <v>0.74516682149476132</v>
      </c>
      <c r="Q217" s="22">
        <v>0.69956836600533523</v>
      </c>
      <c r="R217" s="22">
        <v>0.71486299292628741</v>
      </c>
      <c r="S217" s="22">
        <v>0.6988538467300921</v>
      </c>
      <c r="T217" s="22">
        <v>0.70846704517403114</v>
      </c>
      <c r="U217" s="22"/>
    </row>
    <row r="218" spans="1:21" x14ac:dyDescent="0.55000000000000004">
      <c r="A218" s="41" t="str">
        <f>'Population Definitions'!$A$8</f>
        <v>Prisoners</v>
      </c>
      <c r="B218" s="41" t="s">
        <v>10</v>
      </c>
      <c r="C218" s="12" t="str">
        <f t="shared" si="15"/>
        <v>N.A.</v>
      </c>
      <c r="D218" s="41" t="s">
        <v>16</v>
      </c>
      <c r="E218" s="47"/>
      <c r="F218" s="22"/>
      <c r="G218" s="22"/>
      <c r="H218" s="22">
        <v>0.54211663066954641</v>
      </c>
      <c r="I218" s="22">
        <v>0.55391432791728212</v>
      </c>
      <c r="J218" s="22"/>
      <c r="K218" s="22"/>
      <c r="L218" s="22"/>
      <c r="M218" s="22">
        <v>0.71724951656779534</v>
      </c>
      <c r="N218" s="22"/>
      <c r="O218" s="22">
        <v>0.87209982452719825</v>
      </c>
      <c r="P218" s="22">
        <v>0.93607658916572534</v>
      </c>
      <c r="Q218" s="22">
        <v>0.92117478268208308</v>
      </c>
      <c r="R218" s="22"/>
      <c r="S218" s="22">
        <v>0.95197526785292863</v>
      </c>
      <c r="T218" s="22">
        <v>0.95205933930518016</v>
      </c>
      <c r="U218" s="22"/>
    </row>
    <row r="219" spans="1:21" x14ac:dyDescent="0.55000000000000004">
      <c r="A219" s="41" t="str">
        <f>'Population Definitions'!$A$9</f>
        <v>PLHIV Prisoners</v>
      </c>
      <c r="B219" s="41" t="s">
        <v>10</v>
      </c>
      <c r="C219" s="12" t="str">
        <f t="shared" si="15"/>
        <v>N.A.</v>
      </c>
      <c r="D219" s="41" t="s">
        <v>16</v>
      </c>
      <c r="E219" s="47"/>
      <c r="F219" s="22"/>
      <c r="G219" s="22"/>
      <c r="H219" s="22">
        <v>0.54211663066954652</v>
      </c>
      <c r="I219" s="22">
        <v>0.55391432791728201</v>
      </c>
      <c r="J219" s="22"/>
      <c r="K219" s="22"/>
      <c r="L219" s="22"/>
      <c r="M219" s="22">
        <v>0.71572068078746287</v>
      </c>
      <c r="N219" s="22">
        <v>0.79472144558351454</v>
      </c>
      <c r="O219" s="22">
        <v>0.82275047266042423</v>
      </c>
      <c r="P219" s="22">
        <v>0.84013077386714397</v>
      </c>
      <c r="Q219" s="22">
        <v>0.85820257562805047</v>
      </c>
      <c r="R219" s="22"/>
      <c r="S219" s="22">
        <v>0.85324272513838928</v>
      </c>
      <c r="T219" s="22">
        <v>0.9064078282828284</v>
      </c>
      <c r="U219" s="22"/>
    </row>
    <row r="220" spans="1:21" x14ac:dyDescent="0.55000000000000004">
      <c r="A220" s="41" t="str">
        <f>'Population Definitions'!$A$10</f>
        <v>HCW</v>
      </c>
      <c r="B220" s="41" t="s">
        <v>10</v>
      </c>
      <c r="C220" s="12">
        <f t="shared" si="15"/>
        <v>0.83</v>
      </c>
      <c r="D220" s="41" t="s">
        <v>16</v>
      </c>
      <c r="E220" s="47"/>
      <c r="F220" s="22"/>
      <c r="G220" s="22"/>
      <c r="H220" s="22"/>
      <c r="I220" s="22"/>
      <c r="J220" s="22"/>
      <c r="K220" s="22"/>
      <c r="L220" s="22"/>
      <c r="M220" s="22"/>
      <c r="N220" s="22"/>
      <c r="O220" s="22"/>
      <c r="P220" s="22"/>
      <c r="Q220" s="22"/>
      <c r="R220" s="22"/>
      <c r="S220" s="22"/>
      <c r="T220" s="22"/>
      <c r="U220" s="22"/>
    </row>
    <row r="221" spans="1:21" x14ac:dyDescent="0.55000000000000004">
      <c r="A221" s="41" t="str">
        <f>'Population Definitions'!$A$11</f>
        <v>PLHIV HCW</v>
      </c>
      <c r="B221" s="41" t="s">
        <v>10</v>
      </c>
      <c r="C221" s="12">
        <f t="shared" si="15"/>
        <v>0.83</v>
      </c>
      <c r="D221" s="41" t="s">
        <v>16</v>
      </c>
      <c r="E221" s="47"/>
      <c r="F221" s="22"/>
      <c r="G221" s="22"/>
      <c r="H221" s="22"/>
      <c r="I221" s="22"/>
      <c r="J221" s="22"/>
      <c r="K221" s="22"/>
      <c r="L221" s="22"/>
      <c r="M221" s="22"/>
      <c r="N221" s="22"/>
      <c r="O221" s="22"/>
      <c r="P221" s="22"/>
      <c r="Q221" s="22"/>
      <c r="R221" s="22"/>
      <c r="S221" s="22"/>
      <c r="T221" s="22"/>
      <c r="U221" s="22"/>
    </row>
    <row r="222" spans="1:21" x14ac:dyDescent="0.55000000000000004">
      <c r="A222" s="41" t="str">
        <f>'Population Definitions'!$A$12</f>
        <v>Miners</v>
      </c>
      <c r="B222" s="41" t="s">
        <v>10</v>
      </c>
      <c r="C222" s="12">
        <f t="shared" si="15"/>
        <v>0.83</v>
      </c>
      <c r="D222" s="41" t="s">
        <v>16</v>
      </c>
      <c r="E222" s="47"/>
      <c r="F222" s="22"/>
      <c r="G222" s="22"/>
      <c r="H222" s="22"/>
      <c r="I222" s="22"/>
      <c r="J222" s="22"/>
      <c r="K222" s="22"/>
      <c r="L222" s="22"/>
      <c r="M222" s="22"/>
      <c r="N222" s="22"/>
      <c r="O222" s="22"/>
      <c r="P222" s="22"/>
      <c r="Q222" s="22"/>
      <c r="R222" s="22"/>
      <c r="S222" s="22"/>
      <c r="T222" s="22"/>
      <c r="U222" s="22"/>
    </row>
    <row r="223" spans="1:21" x14ac:dyDescent="0.55000000000000004">
      <c r="A223" s="41" t="str">
        <f>'Population Definitions'!$A$13</f>
        <v>PLHIV Miners</v>
      </c>
      <c r="B223" s="41" t="s">
        <v>10</v>
      </c>
      <c r="C223" s="12">
        <f t="shared" si="15"/>
        <v>0.83</v>
      </c>
      <c r="D223" s="41" t="s">
        <v>16</v>
      </c>
      <c r="E223" s="47"/>
      <c r="F223" s="22"/>
      <c r="G223" s="22"/>
      <c r="H223" s="22"/>
      <c r="I223" s="22"/>
      <c r="J223" s="22"/>
      <c r="K223" s="22"/>
      <c r="L223" s="22"/>
      <c r="M223" s="22"/>
      <c r="N223" s="22"/>
      <c r="O223" s="22"/>
      <c r="P223" s="22"/>
      <c r="Q223" s="22"/>
      <c r="R223" s="22"/>
      <c r="S223" s="22"/>
      <c r="T223" s="22"/>
      <c r="U223" s="22"/>
    </row>
    <row r="224" spans="1:21" x14ac:dyDescent="0.55000000000000004">
      <c r="A224" s="37"/>
      <c r="B224" s="37"/>
      <c r="C224" s="37"/>
      <c r="D224" s="37"/>
      <c r="E224" s="37"/>
      <c r="F224" s="37"/>
      <c r="G224" s="37"/>
      <c r="H224" s="37"/>
      <c r="I224" s="37"/>
      <c r="J224" s="37"/>
      <c r="K224" s="37"/>
      <c r="L224" s="37"/>
      <c r="M224" s="37"/>
      <c r="N224" s="37"/>
      <c r="O224" s="37"/>
      <c r="P224" s="37"/>
      <c r="Q224" s="37"/>
      <c r="R224" s="37"/>
      <c r="S224" s="37"/>
      <c r="T224" s="37"/>
      <c r="U224" s="37"/>
    </row>
    <row r="225" spans="1:21" x14ac:dyDescent="0.55000000000000004">
      <c r="A225" s="21" t="s">
        <v>100</v>
      </c>
      <c r="B225" s="41" t="s">
        <v>8</v>
      </c>
      <c r="C225" s="41" t="s">
        <v>9</v>
      </c>
      <c r="D225" s="41"/>
      <c r="E225" s="41">
        <v>2000</v>
      </c>
      <c r="F225" s="41">
        <v>2001</v>
      </c>
      <c r="G225" s="41">
        <v>2002</v>
      </c>
      <c r="H225" s="41">
        <v>2003</v>
      </c>
      <c r="I225" s="41">
        <v>2004</v>
      </c>
      <c r="J225" s="41">
        <v>2005</v>
      </c>
      <c r="K225" s="41">
        <v>2006</v>
      </c>
      <c r="L225" s="41">
        <v>2007</v>
      </c>
      <c r="M225" s="41">
        <v>2008</v>
      </c>
      <c r="N225" s="41">
        <v>2009</v>
      </c>
      <c r="O225" s="41">
        <v>2010</v>
      </c>
      <c r="P225" s="41">
        <v>2011</v>
      </c>
      <c r="Q225" s="41">
        <v>2012</v>
      </c>
      <c r="R225" s="41">
        <v>2013</v>
      </c>
      <c r="S225" s="41">
        <v>2014</v>
      </c>
      <c r="T225" s="41">
        <v>2015</v>
      </c>
      <c r="U225" s="41">
        <v>2016</v>
      </c>
    </row>
    <row r="226" spans="1:21" x14ac:dyDescent="0.55000000000000004">
      <c r="A226" s="41" t="str">
        <f>'Population Definitions'!$A$2</f>
        <v>Gen 0-4</v>
      </c>
      <c r="B226" s="41" t="s">
        <v>10</v>
      </c>
      <c r="C226" s="12" t="str">
        <f t="shared" ref="C226:C237" si="16">IF(SUMPRODUCT(--(E226:U226&lt;&gt;""))=0,0.59,"N.A.")</f>
        <v>N.A.</v>
      </c>
      <c r="D226" s="41" t="s">
        <v>16</v>
      </c>
      <c r="E226" s="47"/>
      <c r="F226" s="22"/>
      <c r="G226" s="22"/>
      <c r="H226" s="22"/>
      <c r="I226" s="22"/>
      <c r="J226" s="22"/>
      <c r="K226" s="22"/>
      <c r="L226" s="22"/>
      <c r="M226" s="22">
        <f>'[4]Notified Cases'!M58/'[4]Active TB Prevalence'!M184</f>
        <v>0.83510363681623001</v>
      </c>
      <c r="N226" s="22">
        <f>'[4]Notified Cases'!N58/'[4]Active TB Prevalence'!N184</f>
        <v>0.88704947647767307</v>
      </c>
      <c r="O226" s="22">
        <f>'[4]Notified Cases'!O58/'[4]Active TB Prevalence'!O184</f>
        <v>0.89302372102225114</v>
      </c>
      <c r="P226" s="22"/>
      <c r="Q226" s="22">
        <f>'[4]Notified Cases'!Q58/'[4]Active TB Prevalence'!Q184</f>
        <v>0.87324685929371082</v>
      </c>
      <c r="R226" s="22"/>
      <c r="S226" s="22">
        <f>'[4]Notified Cases'!S58/'[4]Active TB Prevalence'!S184</f>
        <v>0.80017196367501175</v>
      </c>
      <c r="T226" s="22"/>
      <c r="U226" s="22"/>
    </row>
    <row r="227" spans="1:21" x14ac:dyDescent="0.55000000000000004">
      <c r="A227" s="41" t="str">
        <f>'Population Definitions'!$A$3</f>
        <v>Gen 5-14</v>
      </c>
      <c r="B227" s="41" t="s">
        <v>10</v>
      </c>
      <c r="C227" s="12" t="str">
        <f t="shared" si="16"/>
        <v>N.A.</v>
      </c>
      <c r="D227" s="41" t="s">
        <v>16</v>
      </c>
      <c r="E227" s="47"/>
      <c r="F227" s="22"/>
      <c r="G227" s="22"/>
      <c r="H227" s="22"/>
      <c r="I227" s="22"/>
      <c r="J227" s="22"/>
      <c r="K227" s="22"/>
      <c r="L227" s="22">
        <f>'[4]Notified Cases'!L59/'[4]Active TB Prevalence'!L185</f>
        <v>0.76328245967477981</v>
      </c>
      <c r="M227" s="22">
        <f>'[4]Notified Cases'!M59/'[4]Active TB Prevalence'!M185</f>
        <v>0.83510363681623001</v>
      </c>
      <c r="N227" s="22">
        <f>'[4]Notified Cases'!N59/'[4]Active TB Prevalence'!N185</f>
        <v>0.88704947647767274</v>
      </c>
      <c r="O227" s="22">
        <f>'[4]Notified Cases'!O59/'[4]Active TB Prevalence'!O185</f>
        <v>0.89302372102225103</v>
      </c>
      <c r="P227" s="22"/>
      <c r="Q227" s="22">
        <f>'[4]Notified Cases'!Q59/'[4]Active TB Prevalence'!Q185</f>
        <v>0.87324685929371071</v>
      </c>
      <c r="R227" s="22">
        <f>'[4]Notified Cases'!R59/'[4]Active TB Prevalence'!R185</f>
        <v>0.83536086843748891</v>
      </c>
      <c r="S227" s="22">
        <f>'[4]Notified Cases'!S59/'[4]Active TB Prevalence'!S185</f>
        <v>0.80077723747506868</v>
      </c>
      <c r="T227" s="22"/>
      <c r="U227" s="22"/>
    </row>
    <row r="228" spans="1:21" x14ac:dyDescent="0.55000000000000004">
      <c r="A228" s="41" t="str">
        <f>'Population Definitions'!$A$4</f>
        <v>Gen 15-64</v>
      </c>
      <c r="B228" s="41" t="s">
        <v>10</v>
      </c>
      <c r="C228" s="12" t="str">
        <f t="shared" si="16"/>
        <v>N.A.</v>
      </c>
      <c r="D228" s="41" t="s">
        <v>16</v>
      </c>
      <c r="E228" s="47"/>
      <c r="F228" s="22"/>
      <c r="G228" s="22"/>
      <c r="H228" s="22"/>
      <c r="I228" s="22"/>
      <c r="J228" s="22"/>
      <c r="K228" s="22"/>
      <c r="L228" s="22">
        <f>'[4]Notified Cases'!L60/'[4]Active TB Prevalence'!L186</f>
        <v>0.76328245967477992</v>
      </c>
      <c r="M228" s="22"/>
      <c r="N228" s="22">
        <f>'[4]Notified Cases'!N60/'[4]Active TB Prevalence'!N186</f>
        <v>0.88704947647767318</v>
      </c>
      <c r="O228" s="22"/>
      <c r="P228" s="22"/>
      <c r="Q228" s="22">
        <f>'[4]Notified Cases'!Q60/'[4]Active TB Prevalence'!Q186</f>
        <v>0.87324685929371049</v>
      </c>
      <c r="R228" s="22">
        <f>'[4]Notified Cases'!R60/'[4]Active TB Prevalence'!R186</f>
        <v>0.83536086843748902</v>
      </c>
      <c r="S228" s="22">
        <f>'[4]Notified Cases'!S60/'[4]Active TB Prevalence'!S186</f>
        <v>0.80017196367501198</v>
      </c>
      <c r="T228" s="22"/>
      <c r="U228" s="22"/>
    </row>
    <row r="229" spans="1:21" x14ac:dyDescent="0.55000000000000004">
      <c r="A229" s="41" t="str">
        <f>'Population Definitions'!$A$5</f>
        <v>Gen 65+</v>
      </c>
      <c r="B229" s="41" t="s">
        <v>10</v>
      </c>
      <c r="C229" s="12" t="str">
        <f t="shared" si="16"/>
        <v>N.A.</v>
      </c>
      <c r="D229" s="41" t="s">
        <v>16</v>
      </c>
      <c r="E229" s="47"/>
      <c r="F229" s="22"/>
      <c r="G229" s="22"/>
      <c r="H229" s="22"/>
      <c r="I229" s="22"/>
      <c r="J229" s="22"/>
      <c r="K229" s="22"/>
      <c r="L229" s="22"/>
      <c r="M229" s="22">
        <f>'[4]Notified Cases'!M61/'[4]Active TB Prevalence'!M187</f>
        <v>0.83510363681623012</v>
      </c>
      <c r="N229" s="22">
        <f>'[4]Notified Cases'!N61/'[4]Active TB Prevalence'!N187</f>
        <v>0.88704947647767296</v>
      </c>
      <c r="O229" s="22"/>
      <c r="P229" s="22"/>
      <c r="Q229" s="22">
        <f>'[4]Notified Cases'!Q61/'[4]Active TB Prevalence'!Q187</f>
        <v>0.87324685929371082</v>
      </c>
      <c r="R229" s="22"/>
      <c r="S229" s="22">
        <f>'[4]Notified Cases'!S61/'[4]Active TB Prevalence'!S187</f>
        <v>0.80017196367501198</v>
      </c>
      <c r="T229" s="22"/>
      <c r="U229" s="22"/>
    </row>
    <row r="230" spans="1:21" x14ac:dyDescent="0.55000000000000004">
      <c r="A230" s="41" t="str">
        <f>'Population Definitions'!$A$6</f>
        <v>PLHIV 15-64</v>
      </c>
      <c r="B230" s="41" t="s">
        <v>10</v>
      </c>
      <c r="C230" s="12" t="str">
        <f t="shared" si="16"/>
        <v>N.A.</v>
      </c>
      <c r="D230" s="41" t="s">
        <v>16</v>
      </c>
      <c r="E230" s="47"/>
      <c r="F230" s="22"/>
      <c r="G230" s="22"/>
      <c r="H230" s="22"/>
      <c r="I230" s="22"/>
      <c r="J230" s="22"/>
      <c r="K230" s="22"/>
      <c r="L230" s="22">
        <f>'[4]Notified Cases'!L62/'[4]Active TB Prevalence'!L188</f>
        <v>0.7632824596747797</v>
      </c>
      <c r="M230" s="22"/>
      <c r="N230" s="22"/>
      <c r="O230" s="22">
        <f>'[4]Notified Cases'!O62/'[4]Active TB Prevalence'!O188</f>
        <v>0.89302372102225092</v>
      </c>
      <c r="P230" s="22"/>
      <c r="Q230" s="22">
        <f>'[4]Notified Cases'!Q62/'[4]Active TB Prevalence'!Q188</f>
        <v>0.87324685929371049</v>
      </c>
      <c r="R230" s="22">
        <f>'[4]Notified Cases'!R62/'[4]Active TB Prevalence'!R188</f>
        <v>0.83536086843748913</v>
      </c>
      <c r="S230" s="22">
        <f>'[4]Notified Cases'!S62/'[4]Active TB Prevalence'!S188</f>
        <v>0.80017196367501153</v>
      </c>
      <c r="T230" s="22"/>
      <c r="U230" s="22"/>
    </row>
    <row r="231" spans="1:21" x14ac:dyDescent="0.55000000000000004">
      <c r="A231" s="41" t="str">
        <f>'Population Definitions'!$A$7</f>
        <v>PLHIV 65+</v>
      </c>
      <c r="B231" s="41" t="s">
        <v>10</v>
      </c>
      <c r="C231" s="12" t="str">
        <f t="shared" si="16"/>
        <v>N.A.</v>
      </c>
      <c r="D231" s="41" t="s">
        <v>16</v>
      </c>
      <c r="E231" s="47"/>
      <c r="F231" s="22"/>
      <c r="G231" s="22"/>
      <c r="H231" s="22"/>
      <c r="I231" s="22"/>
      <c r="J231" s="22"/>
      <c r="K231" s="22"/>
      <c r="L231" s="22"/>
      <c r="M231" s="22"/>
      <c r="N231" s="22"/>
      <c r="O231" s="22"/>
      <c r="P231" s="22"/>
      <c r="Q231" s="22">
        <f>'[4]Notified Cases'!Q63/'[4]Active TB Prevalence'!Q189</f>
        <v>0.87324685929371082</v>
      </c>
      <c r="R231" s="22"/>
      <c r="S231" s="22">
        <f>'[4]Notified Cases'!S63/'[4]Active TB Prevalence'!S189</f>
        <v>0.80017196367501198</v>
      </c>
      <c r="T231" s="22"/>
      <c r="U231" s="22"/>
    </row>
    <row r="232" spans="1:21" x14ac:dyDescent="0.55000000000000004">
      <c r="A232" s="41" t="str">
        <f>'Population Definitions'!$A$8</f>
        <v>Prisoners</v>
      </c>
      <c r="B232" s="41" t="s">
        <v>10</v>
      </c>
      <c r="C232" s="12">
        <f t="shared" si="16"/>
        <v>0.59</v>
      </c>
      <c r="D232" s="41" t="s">
        <v>16</v>
      </c>
      <c r="E232" s="47"/>
      <c r="F232" s="22"/>
      <c r="G232" s="22"/>
      <c r="H232" s="22"/>
      <c r="I232" s="22"/>
      <c r="J232" s="22"/>
      <c r="K232" s="22"/>
      <c r="L232" s="22"/>
      <c r="M232" s="22"/>
      <c r="N232" s="22"/>
      <c r="O232" s="22"/>
      <c r="P232" s="22"/>
      <c r="Q232" s="22"/>
      <c r="R232" s="22"/>
      <c r="S232" s="22"/>
      <c r="T232" s="22"/>
      <c r="U232" s="22"/>
    </row>
    <row r="233" spans="1:21" x14ac:dyDescent="0.55000000000000004">
      <c r="A233" s="41" t="str">
        <f>'Population Definitions'!$A$9</f>
        <v>PLHIV Prisoners</v>
      </c>
      <c r="B233" s="41" t="s">
        <v>10</v>
      </c>
      <c r="C233" s="12">
        <f t="shared" si="16"/>
        <v>0.59</v>
      </c>
      <c r="D233" s="41" t="s">
        <v>16</v>
      </c>
      <c r="E233" s="47"/>
      <c r="F233" s="22"/>
      <c r="G233" s="22"/>
      <c r="H233" s="22"/>
      <c r="I233" s="22"/>
      <c r="J233" s="22"/>
      <c r="K233" s="22"/>
      <c r="L233" s="22"/>
      <c r="M233" s="22"/>
      <c r="N233" s="22"/>
      <c r="O233" s="22"/>
      <c r="P233" s="22"/>
      <c r="Q233" s="22"/>
      <c r="R233" s="22"/>
      <c r="S233" s="22"/>
      <c r="T233" s="22"/>
      <c r="U233" s="22"/>
    </row>
    <row r="234" spans="1:21" x14ac:dyDescent="0.55000000000000004">
      <c r="A234" s="41" t="str">
        <f>'Population Definitions'!$A$10</f>
        <v>HCW</v>
      </c>
      <c r="B234" s="41" t="s">
        <v>10</v>
      </c>
      <c r="C234" s="12">
        <f t="shared" si="16"/>
        <v>0.59</v>
      </c>
      <c r="D234" s="41" t="s">
        <v>16</v>
      </c>
      <c r="E234" s="47"/>
      <c r="F234" s="22"/>
      <c r="G234" s="22"/>
      <c r="H234" s="22"/>
      <c r="I234" s="22"/>
      <c r="J234" s="22"/>
      <c r="K234" s="22"/>
      <c r="L234" s="22"/>
      <c r="M234" s="22"/>
      <c r="N234" s="22"/>
      <c r="O234" s="22"/>
      <c r="P234" s="22"/>
      <c r="Q234" s="22"/>
      <c r="R234" s="22"/>
      <c r="S234" s="22"/>
      <c r="T234" s="22"/>
      <c r="U234" s="22"/>
    </row>
    <row r="235" spans="1:21" x14ac:dyDescent="0.55000000000000004">
      <c r="A235" s="41" t="str">
        <f>'Population Definitions'!$A$11</f>
        <v>PLHIV HCW</v>
      </c>
      <c r="B235" s="41" t="s">
        <v>10</v>
      </c>
      <c r="C235" s="12">
        <f t="shared" si="16"/>
        <v>0.59</v>
      </c>
      <c r="D235" s="41" t="s">
        <v>16</v>
      </c>
      <c r="E235" s="47"/>
      <c r="F235" s="22"/>
      <c r="G235" s="22"/>
      <c r="H235" s="22"/>
      <c r="I235" s="22"/>
      <c r="J235" s="22"/>
      <c r="K235" s="22"/>
      <c r="L235" s="22"/>
      <c r="M235" s="22"/>
      <c r="N235" s="22"/>
      <c r="O235" s="22"/>
      <c r="P235" s="22"/>
      <c r="Q235" s="22"/>
      <c r="R235" s="22"/>
      <c r="S235" s="22"/>
      <c r="T235" s="22"/>
      <c r="U235" s="22"/>
    </row>
    <row r="236" spans="1:21" x14ac:dyDescent="0.55000000000000004">
      <c r="A236" s="41" t="str">
        <f>'Population Definitions'!$A$12</f>
        <v>Miners</v>
      </c>
      <c r="B236" s="41" t="s">
        <v>10</v>
      </c>
      <c r="C236" s="12" t="str">
        <f t="shared" si="16"/>
        <v>N.A.</v>
      </c>
      <c r="D236" s="41" t="s">
        <v>16</v>
      </c>
      <c r="E236" s="47"/>
      <c r="F236" s="22"/>
      <c r="G236" s="22"/>
      <c r="H236" s="22"/>
      <c r="I236" s="22"/>
      <c r="J236" s="22"/>
      <c r="K236" s="22"/>
      <c r="L236" s="22"/>
      <c r="M236" s="22"/>
      <c r="N236" s="22"/>
      <c r="O236" s="22"/>
      <c r="P236" s="22"/>
      <c r="Q236" s="22"/>
      <c r="R236" s="22"/>
      <c r="S236" s="22"/>
      <c r="T236" s="22">
        <v>0.8</v>
      </c>
      <c r="U236" s="22"/>
    </row>
    <row r="237" spans="1:21" x14ac:dyDescent="0.55000000000000004">
      <c r="A237" s="41" t="str">
        <f>'Population Definitions'!$A$13</f>
        <v>PLHIV Miners</v>
      </c>
      <c r="B237" s="41" t="s">
        <v>10</v>
      </c>
      <c r="C237" s="12" t="str">
        <f t="shared" si="16"/>
        <v>N.A.</v>
      </c>
      <c r="D237" s="41" t="s">
        <v>16</v>
      </c>
      <c r="E237" s="47"/>
      <c r="F237" s="22"/>
      <c r="G237" s="22"/>
      <c r="H237" s="22"/>
      <c r="I237" s="22"/>
      <c r="J237" s="22"/>
      <c r="K237" s="22"/>
      <c r="L237" s="22"/>
      <c r="M237" s="22"/>
      <c r="N237" s="22"/>
      <c r="O237" s="22"/>
      <c r="P237" s="22"/>
      <c r="Q237" s="22"/>
      <c r="R237" s="22"/>
      <c r="S237" s="22"/>
      <c r="T237" s="22">
        <v>0.8</v>
      </c>
      <c r="U237" s="22"/>
    </row>
    <row r="238" spans="1:21" x14ac:dyDescent="0.55000000000000004">
      <c r="A238" s="37"/>
      <c r="B238" s="37"/>
      <c r="C238" s="37"/>
      <c r="D238" s="37"/>
      <c r="E238" s="37"/>
      <c r="F238" s="37"/>
      <c r="G238" s="37"/>
      <c r="H238" s="37"/>
      <c r="I238" s="37"/>
      <c r="J238" s="37"/>
      <c r="K238" s="37"/>
      <c r="L238" s="37"/>
      <c r="M238" s="37"/>
      <c r="N238" s="37"/>
      <c r="O238" s="37"/>
      <c r="P238" s="37"/>
      <c r="Q238" s="37"/>
      <c r="R238" s="37"/>
      <c r="S238" s="37"/>
      <c r="T238" s="37"/>
      <c r="U238" s="37"/>
    </row>
    <row r="239" spans="1:21" x14ac:dyDescent="0.55000000000000004">
      <c r="A239" s="21" t="s">
        <v>102</v>
      </c>
      <c r="B239" s="41" t="s">
        <v>8</v>
      </c>
      <c r="C239" s="41" t="s">
        <v>9</v>
      </c>
      <c r="D239" s="41"/>
      <c r="E239" s="41">
        <v>2000</v>
      </c>
      <c r="F239" s="41">
        <v>2001</v>
      </c>
      <c r="G239" s="41">
        <v>2002</v>
      </c>
      <c r="H239" s="41">
        <v>2003</v>
      </c>
      <c r="I239" s="41">
        <v>2004</v>
      </c>
      <c r="J239" s="41">
        <v>2005</v>
      </c>
      <c r="K239" s="41">
        <v>2006</v>
      </c>
      <c r="L239" s="41">
        <v>2007</v>
      </c>
      <c r="M239" s="41">
        <v>2008</v>
      </c>
      <c r="N239" s="41">
        <v>2009</v>
      </c>
      <c r="O239" s="41">
        <v>2010</v>
      </c>
      <c r="P239" s="41">
        <v>2011</v>
      </c>
      <c r="Q239" s="41">
        <v>2012</v>
      </c>
      <c r="R239" s="41">
        <v>2013</v>
      </c>
      <c r="S239" s="41">
        <v>2014</v>
      </c>
      <c r="T239" s="41">
        <v>2015</v>
      </c>
      <c r="U239" s="41">
        <v>2016</v>
      </c>
    </row>
    <row r="240" spans="1:21" x14ac:dyDescent="0.55000000000000004">
      <c r="A240" s="41" t="str">
        <f>'Population Definitions'!$A$2</f>
        <v>Gen 0-4</v>
      </c>
      <c r="B240" s="41" t="s">
        <v>10</v>
      </c>
      <c r="C240" s="12" t="str">
        <f t="shared" ref="C240:C251" si="17">IF(SUMPRODUCT(--(E240:U240&lt;&gt;""))=0,0.37,"N.A.")</f>
        <v>N.A.</v>
      </c>
      <c r="D240" s="41" t="s">
        <v>16</v>
      </c>
      <c r="E240" s="47"/>
      <c r="F240" s="22"/>
      <c r="G240" s="22"/>
      <c r="H240" s="22"/>
      <c r="I240" s="22"/>
      <c r="J240" s="22"/>
      <c r="K240" s="22"/>
      <c r="L240" s="22"/>
      <c r="M240" s="22"/>
      <c r="N240" s="22"/>
      <c r="O240" s="22"/>
      <c r="P240" s="22">
        <v>0.61699999999999999</v>
      </c>
      <c r="Q240" s="22">
        <v>0.55800000000000005</v>
      </c>
      <c r="R240" s="22">
        <v>0.57399999999999995</v>
      </c>
      <c r="S240" s="22"/>
      <c r="T240" s="22"/>
      <c r="U240" s="22"/>
    </row>
    <row r="241" spans="1:21" x14ac:dyDescent="0.55000000000000004">
      <c r="A241" s="41" t="str">
        <f>'Population Definitions'!$A$3</f>
        <v>Gen 5-14</v>
      </c>
      <c r="B241" s="41" t="s">
        <v>10</v>
      </c>
      <c r="C241" s="12" t="str">
        <f t="shared" si="17"/>
        <v>N.A.</v>
      </c>
      <c r="D241" s="41" t="s">
        <v>16</v>
      </c>
      <c r="E241" s="47"/>
      <c r="F241" s="22"/>
      <c r="G241" s="22"/>
      <c r="H241" s="22"/>
      <c r="I241" s="22"/>
      <c r="J241" s="22"/>
      <c r="K241" s="22"/>
      <c r="L241" s="22"/>
      <c r="M241" s="22"/>
      <c r="N241" s="22"/>
      <c r="O241" s="22"/>
      <c r="P241" s="22">
        <v>0.61699999999999999</v>
      </c>
      <c r="Q241" s="22">
        <v>0.55800000000000005</v>
      </c>
      <c r="R241" s="22">
        <v>0.57399999999999995</v>
      </c>
      <c r="S241" s="22"/>
      <c r="T241" s="22"/>
      <c r="U241" s="22"/>
    </row>
    <row r="242" spans="1:21" x14ac:dyDescent="0.55000000000000004">
      <c r="A242" s="41" t="str">
        <f>'Population Definitions'!$A$4</f>
        <v>Gen 15-64</v>
      </c>
      <c r="B242" s="41" t="s">
        <v>10</v>
      </c>
      <c r="C242" s="12" t="str">
        <f t="shared" si="17"/>
        <v>N.A.</v>
      </c>
      <c r="D242" s="41" t="s">
        <v>16</v>
      </c>
      <c r="E242" s="47"/>
      <c r="F242" s="22"/>
      <c r="G242" s="22"/>
      <c r="H242" s="22"/>
      <c r="I242" s="22"/>
      <c r="J242" s="22"/>
      <c r="K242" s="22"/>
      <c r="L242" s="22"/>
      <c r="M242" s="22"/>
      <c r="N242" s="22"/>
      <c r="O242" s="22"/>
      <c r="P242" s="22">
        <v>0.61699999999999999</v>
      </c>
      <c r="Q242" s="22">
        <v>0.55800000000000005</v>
      </c>
      <c r="R242" s="22">
        <v>0.57399999999999995</v>
      </c>
      <c r="S242" s="22"/>
      <c r="T242" s="22"/>
      <c r="U242" s="22"/>
    </row>
    <row r="243" spans="1:21" x14ac:dyDescent="0.55000000000000004">
      <c r="A243" s="41" t="str">
        <f>'Population Definitions'!$A$5</f>
        <v>Gen 65+</v>
      </c>
      <c r="B243" s="41" t="s">
        <v>10</v>
      </c>
      <c r="C243" s="12" t="str">
        <f t="shared" si="17"/>
        <v>N.A.</v>
      </c>
      <c r="D243" s="41" t="s">
        <v>16</v>
      </c>
      <c r="E243" s="47"/>
      <c r="F243" s="22"/>
      <c r="G243" s="22"/>
      <c r="H243" s="22"/>
      <c r="I243" s="22"/>
      <c r="J243" s="22"/>
      <c r="K243" s="22"/>
      <c r="L243" s="22"/>
      <c r="M243" s="22"/>
      <c r="N243" s="22"/>
      <c r="O243" s="22"/>
      <c r="P243" s="22">
        <v>0.61699999999999999</v>
      </c>
      <c r="Q243" s="22">
        <v>0.55800000000000005</v>
      </c>
      <c r="R243" s="22">
        <v>0.57399999999999995</v>
      </c>
      <c r="S243" s="22"/>
      <c r="T243" s="22"/>
      <c r="U243" s="22"/>
    </row>
    <row r="244" spans="1:21" x14ac:dyDescent="0.55000000000000004">
      <c r="A244" s="41" t="str">
        <f>'Population Definitions'!$A$6</f>
        <v>PLHIV 15-64</v>
      </c>
      <c r="B244" s="41" t="s">
        <v>10</v>
      </c>
      <c r="C244" s="12" t="str">
        <f t="shared" si="17"/>
        <v>N.A.</v>
      </c>
      <c r="D244" s="41" t="s">
        <v>16</v>
      </c>
      <c r="E244" s="47"/>
      <c r="F244" s="22"/>
      <c r="G244" s="22"/>
      <c r="H244" s="22"/>
      <c r="I244" s="22"/>
      <c r="J244" s="22"/>
      <c r="K244" s="22"/>
      <c r="L244" s="22"/>
      <c r="M244" s="22"/>
      <c r="N244" s="22"/>
      <c r="O244" s="22"/>
      <c r="P244" s="22">
        <v>0.61699999999999999</v>
      </c>
      <c r="Q244" s="22">
        <v>0.55800000000000005</v>
      </c>
      <c r="R244" s="22">
        <v>0.57399999999999995</v>
      </c>
      <c r="S244" s="22"/>
      <c r="T244" s="22"/>
      <c r="U244" s="22"/>
    </row>
    <row r="245" spans="1:21" x14ac:dyDescent="0.55000000000000004">
      <c r="A245" s="41" t="str">
        <f>'Population Definitions'!$A$7</f>
        <v>PLHIV 65+</v>
      </c>
      <c r="B245" s="41" t="s">
        <v>10</v>
      </c>
      <c r="C245" s="12" t="str">
        <f t="shared" si="17"/>
        <v>N.A.</v>
      </c>
      <c r="D245" s="41" t="s">
        <v>16</v>
      </c>
      <c r="E245" s="47"/>
      <c r="F245" s="22"/>
      <c r="G245" s="22"/>
      <c r="H245" s="22"/>
      <c r="I245" s="22"/>
      <c r="J245" s="22"/>
      <c r="K245" s="22"/>
      <c r="L245" s="22"/>
      <c r="M245" s="22"/>
      <c r="N245" s="22"/>
      <c r="O245" s="22"/>
      <c r="P245" s="22">
        <v>0.61699999999999999</v>
      </c>
      <c r="Q245" s="22">
        <v>0.55800000000000005</v>
      </c>
      <c r="R245" s="22">
        <v>0.57399999999999995</v>
      </c>
      <c r="S245" s="22"/>
      <c r="T245" s="22"/>
      <c r="U245" s="22"/>
    </row>
    <row r="246" spans="1:21" x14ac:dyDescent="0.55000000000000004">
      <c r="A246" s="41" t="str">
        <f>'Population Definitions'!$A$8</f>
        <v>Prisoners</v>
      </c>
      <c r="B246" s="41" t="s">
        <v>10</v>
      </c>
      <c r="C246" s="12">
        <f t="shared" si="17"/>
        <v>0.37</v>
      </c>
      <c r="D246" s="41" t="s">
        <v>16</v>
      </c>
      <c r="E246" s="47"/>
      <c r="F246" s="22"/>
      <c r="G246" s="22"/>
      <c r="H246" s="22"/>
      <c r="I246" s="22"/>
      <c r="J246" s="22"/>
      <c r="K246" s="22"/>
      <c r="L246" s="22"/>
      <c r="M246" s="22"/>
      <c r="N246" s="22"/>
      <c r="O246" s="22"/>
      <c r="P246" s="22"/>
      <c r="Q246" s="22"/>
      <c r="R246" s="22"/>
      <c r="S246" s="22"/>
      <c r="T246" s="22"/>
      <c r="U246" s="22"/>
    </row>
    <row r="247" spans="1:21" x14ac:dyDescent="0.55000000000000004">
      <c r="A247" s="41" t="str">
        <f>'Population Definitions'!$A$9</f>
        <v>PLHIV Prisoners</v>
      </c>
      <c r="B247" s="41" t="s">
        <v>10</v>
      </c>
      <c r="C247" s="12">
        <f t="shared" si="17"/>
        <v>0.37</v>
      </c>
      <c r="D247" s="41" t="s">
        <v>16</v>
      </c>
      <c r="E247" s="47"/>
      <c r="F247" s="22"/>
      <c r="G247" s="22"/>
      <c r="H247" s="22"/>
      <c r="I247" s="22"/>
      <c r="J247" s="22"/>
      <c r="K247" s="22"/>
      <c r="L247" s="22"/>
      <c r="M247" s="22"/>
      <c r="N247" s="22"/>
      <c r="O247" s="22"/>
      <c r="P247" s="22"/>
      <c r="Q247" s="22"/>
      <c r="R247" s="22"/>
      <c r="S247" s="22"/>
      <c r="T247" s="22"/>
      <c r="U247" s="22"/>
    </row>
    <row r="248" spans="1:21" x14ac:dyDescent="0.55000000000000004">
      <c r="A248" s="41" t="str">
        <f>'Population Definitions'!$A$10</f>
        <v>HCW</v>
      </c>
      <c r="B248" s="41" t="s">
        <v>10</v>
      </c>
      <c r="C248" s="12">
        <f t="shared" si="17"/>
        <v>0.37</v>
      </c>
      <c r="D248" s="41" t="s">
        <v>16</v>
      </c>
      <c r="E248" s="47"/>
      <c r="F248" s="22"/>
      <c r="G248" s="22"/>
      <c r="H248" s="22"/>
      <c r="I248" s="22"/>
      <c r="J248" s="22"/>
      <c r="K248" s="22"/>
      <c r="L248" s="22"/>
      <c r="M248" s="22"/>
      <c r="N248" s="22"/>
      <c r="O248" s="22"/>
      <c r="P248" s="22"/>
      <c r="Q248" s="22"/>
      <c r="R248" s="22"/>
      <c r="S248" s="22"/>
      <c r="T248" s="22"/>
      <c r="U248" s="22"/>
    </row>
    <row r="249" spans="1:21" x14ac:dyDescent="0.55000000000000004">
      <c r="A249" s="41" t="str">
        <f>'Population Definitions'!$A$11</f>
        <v>PLHIV HCW</v>
      </c>
      <c r="B249" s="41" t="s">
        <v>10</v>
      </c>
      <c r="C249" s="12">
        <f t="shared" si="17"/>
        <v>0.37</v>
      </c>
      <c r="D249" s="41" t="s">
        <v>16</v>
      </c>
      <c r="E249" s="47"/>
      <c r="F249" s="22"/>
      <c r="G249" s="22"/>
      <c r="H249" s="22"/>
      <c r="I249" s="22"/>
      <c r="J249" s="22"/>
      <c r="K249" s="22"/>
      <c r="L249" s="22"/>
      <c r="M249" s="22"/>
      <c r="N249" s="22"/>
      <c r="O249" s="22"/>
      <c r="P249" s="22"/>
      <c r="Q249" s="22"/>
      <c r="R249" s="22"/>
      <c r="S249" s="22"/>
      <c r="T249" s="22"/>
      <c r="U249" s="22"/>
    </row>
    <row r="250" spans="1:21" x14ac:dyDescent="0.55000000000000004">
      <c r="A250" s="41" t="str">
        <f>'Population Definitions'!$A$12</f>
        <v>Miners</v>
      </c>
      <c r="B250" s="41" t="s">
        <v>10</v>
      </c>
      <c r="C250" s="12" t="str">
        <f t="shared" si="17"/>
        <v>N.A.</v>
      </c>
      <c r="D250" s="41" t="s">
        <v>16</v>
      </c>
      <c r="E250" s="47"/>
      <c r="F250" s="22"/>
      <c r="G250" s="22"/>
      <c r="H250" s="22"/>
      <c r="I250" s="22"/>
      <c r="J250" s="22"/>
      <c r="K250" s="22"/>
      <c r="L250" s="22"/>
      <c r="M250" s="22"/>
      <c r="N250" s="22"/>
      <c r="O250" s="22"/>
      <c r="P250" s="22"/>
      <c r="Q250" s="22"/>
      <c r="R250" s="22"/>
      <c r="S250" s="22"/>
      <c r="T250" s="48">
        <v>1</v>
      </c>
      <c r="U250" s="22"/>
    </row>
    <row r="251" spans="1:21" x14ac:dyDescent="0.55000000000000004">
      <c r="A251" s="41" t="str">
        <f>'Population Definitions'!$A$13</f>
        <v>PLHIV Miners</v>
      </c>
      <c r="B251" s="41" t="s">
        <v>10</v>
      </c>
      <c r="C251" s="12" t="str">
        <f t="shared" si="17"/>
        <v>N.A.</v>
      </c>
      <c r="D251" s="41" t="s">
        <v>16</v>
      </c>
      <c r="E251" s="47"/>
      <c r="F251" s="22"/>
      <c r="G251" s="22"/>
      <c r="H251" s="22"/>
      <c r="I251" s="22"/>
      <c r="J251" s="22"/>
      <c r="K251" s="22"/>
      <c r="L251" s="22"/>
      <c r="M251" s="22"/>
      <c r="N251" s="22"/>
      <c r="O251" s="22"/>
      <c r="P251" s="22"/>
      <c r="Q251" s="22"/>
      <c r="R251" s="22"/>
      <c r="S251" s="22"/>
      <c r="T251" s="22">
        <v>1</v>
      </c>
      <c r="U251" s="22"/>
    </row>
    <row r="252" spans="1:21" x14ac:dyDescent="0.55000000000000004">
      <c r="A252" s="37"/>
      <c r="B252" s="37"/>
      <c r="C252" s="37"/>
      <c r="D252" s="37"/>
      <c r="E252" s="37"/>
      <c r="F252" s="37"/>
      <c r="G252" s="37"/>
      <c r="H252" s="37"/>
      <c r="I252" s="37"/>
      <c r="J252" s="37"/>
      <c r="K252" s="37"/>
      <c r="L252" s="37"/>
      <c r="M252" s="37"/>
      <c r="N252" s="37"/>
      <c r="O252" s="37"/>
      <c r="P252" s="37"/>
      <c r="Q252" s="37"/>
      <c r="R252" s="37"/>
      <c r="S252" s="37"/>
      <c r="T252" s="37"/>
      <c r="U252" s="37"/>
    </row>
    <row r="253" spans="1:21" x14ac:dyDescent="0.55000000000000004">
      <c r="A253" s="21" t="s">
        <v>104</v>
      </c>
      <c r="B253" s="41" t="s">
        <v>8</v>
      </c>
      <c r="C253" s="41" t="s">
        <v>9</v>
      </c>
      <c r="D253" s="41"/>
      <c r="E253" s="41">
        <v>2000</v>
      </c>
      <c r="F253" s="41">
        <v>2001</v>
      </c>
      <c r="G253" s="41">
        <v>2002</v>
      </c>
      <c r="H253" s="41">
        <v>2003</v>
      </c>
      <c r="I253" s="41">
        <v>2004</v>
      </c>
      <c r="J253" s="41">
        <v>2005</v>
      </c>
      <c r="K253" s="41">
        <v>2006</v>
      </c>
      <c r="L253" s="41">
        <v>2007</v>
      </c>
      <c r="M253" s="41">
        <v>2008</v>
      </c>
      <c r="N253" s="41">
        <v>2009</v>
      </c>
      <c r="O253" s="41">
        <v>2010</v>
      </c>
      <c r="P253" s="41">
        <v>2011</v>
      </c>
      <c r="Q253" s="41">
        <v>2012</v>
      </c>
      <c r="R253" s="41">
        <v>2013</v>
      </c>
      <c r="S253" s="41">
        <v>2014</v>
      </c>
      <c r="T253" s="41">
        <v>2015</v>
      </c>
      <c r="U253" s="41">
        <v>2016</v>
      </c>
    </row>
    <row r="254" spans="1:21" x14ac:dyDescent="0.55000000000000004">
      <c r="A254" s="41" t="str">
        <f>'Population Definitions'!$A$2</f>
        <v>Gen 0-4</v>
      </c>
      <c r="B254" s="41" t="s">
        <v>10</v>
      </c>
      <c r="C254" s="12" t="str">
        <f t="shared" ref="C254:C265" si="18">IF(SUMPRODUCT(--(E254:U254&lt;&gt;""))=0,0.24,"N.A.")</f>
        <v>N.A.</v>
      </c>
      <c r="D254" s="41" t="s">
        <v>16</v>
      </c>
      <c r="E254" s="47"/>
      <c r="F254" s="22"/>
      <c r="G254" s="22"/>
      <c r="H254" s="22"/>
      <c r="I254" s="22"/>
      <c r="J254" s="22"/>
      <c r="K254" s="22"/>
      <c r="L254" s="22"/>
      <c r="M254" s="22"/>
      <c r="N254" s="22"/>
      <c r="O254" s="22">
        <v>0.14285714285714285</v>
      </c>
      <c r="P254" s="22">
        <v>0.30769230769230771</v>
      </c>
      <c r="Q254" s="22"/>
      <c r="R254" s="22">
        <v>0.1111111111111111</v>
      </c>
      <c r="S254" s="22"/>
      <c r="T254" s="22"/>
      <c r="U254" s="22"/>
    </row>
    <row r="255" spans="1:21" x14ac:dyDescent="0.55000000000000004">
      <c r="A255" s="41" t="str">
        <f>'Population Definitions'!$A$3</f>
        <v>Gen 5-14</v>
      </c>
      <c r="B255" s="41" t="s">
        <v>10</v>
      </c>
      <c r="C255" s="12" t="str">
        <f t="shared" si="18"/>
        <v>N.A.</v>
      </c>
      <c r="D255" s="41" t="s">
        <v>16</v>
      </c>
      <c r="E255" s="47"/>
      <c r="F255" s="22"/>
      <c r="G255" s="22"/>
      <c r="H255" s="22"/>
      <c r="I255" s="22"/>
      <c r="J255" s="22"/>
      <c r="K255" s="22"/>
      <c r="L255" s="22"/>
      <c r="M255" s="22"/>
      <c r="N255" s="22">
        <v>0.26666666666666666</v>
      </c>
      <c r="O255" s="22"/>
      <c r="P255" s="22"/>
      <c r="Q255" s="22"/>
      <c r="R255" s="22"/>
      <c r="S255" s="22">
        <v>0.25</v>
      </c>
      <c r="T255" s="22"/>
      <c r="U255" s="22"/>
    </row>
    <row r="256" spans="1:21" x14ac:dyDescent="0.55000000000000004">
      <c r="A256" s="41" t="str">
        <f>'Population Definitions'!$A$4</f>
        <v>Gen 15-64</v>
      </c>
      <c r="B256" s="41" t="s">
        <v>10</v>
      </c>
      <c r="C256" s="12" t="str">
        <f t="shared" si="18"/>
        <v>N.A.</v>
      </c>
      <c r="D256" s="41" t="s">
        <v>16</v>
      </c>
      <c r="E256" s="47"/>
      <c r="F256" s="22"/>
      <c r="G256" s="22"/>
      <c r="H256" s="22"/>
      <c r="I256" s="22"/>
      <c r="J256" s="22"/>
      <c r="K256" s="22"/>
      <c r="L256" s="22"/>
      <c r="M256" s="22"/>
      <c r="N256" s="22">
        <v>0.41949152542372881</v>
      </c>
      <c r="O256" s="22">
        <v>0.39067656765676573</v>
      </c>
      <c r="P256" s="22"/>
      <c r="Q256" s="22"/>
      <c r="R256" s="22"/>
      <c r="S256" s="22">
        <v>0.47606130476061304</v>
      </c>
      <c r="T256" s="22"/>
      <c r="U256" s="22"/>
    </row>
    <row r="257" spans="1:21" x14ac:dyDescent="0.55000000000000004">
      <c r="A257" s="41" t="str">
        <f>'Population Definitions'!$A$5</f>
        <v>Gen 65+</v>
      </c>
      <c r="B257" s="41" t="s">
        <v>10</v>
      </c>
      <c r="C257" s="12" t="str">
        <f t="shared" si="18"/>
        <v>N.A.</v>
      </c>
      <c r="D257" s="41" t="s">
        <v>16</v>
      </c>
      <c r="E257" s="47"/>
      <c r="F257" s="22"/>
      <c r="G257" s="22"/>
      <c r="H257" s="22"/>
      <c r="I257" s="22"/>
      <c r="J257" s="22"/>
      <c r="K257" s="22"/>
      <c r="L257" s="22"/>
      <c r="M257" s="22"/>
      <c r="N257" s="22">
        <v>0.85451197053407002</v>
      </c>
      <c r="O257" s="22"/>
      <c r="P257" s="22"/>
      <c r="Q257" s="22"/>
      <c r="R257" s="22">
        <v>0.35436893203883496</v>
      </c>
      <c r="S257" s="22">
        <v>0.56666666666666665</v>
      </c>
      <c r="T257" s="22"/>
      <c r="U257" s="22"/>
    </row>
    <row r="258" spans="1:21" x14ac:dyDescent="0.55000000000000004">
      <c r="A258" s="41" t="str">
        <f>'Population Definitions'!$A$6</f>
        <v>PLHIV 15-64</v>
      </c>
      <c r="B258" s="41" t="s">
        <v>10</v>
      </c>
      <c r="C258" s="12" t="str">
        <f t="shared" si="18"/>
        <v>N.A.</v>
      </c>
      <c r="D258" s="41" t="s">
        <v>16</v>
      </c>
      <c r="E258" s="47"/>
      <c r="F258" s="22"/>
      <c r="G258" s="22"/>
      <c r="H258" s="22"/>
      <c r="I258" s="22"/>
      <c r="J258" s="22"/>
      <c r="K258" s="22"/>
      <c r="L258" s="22"/>
      <c r="M258" s="22"/>
      <c r="N258" s="22">
        <v>0.40434782608695652</v>
      </c>
      <c r="O258" s="22">
        <v>0.35303144925969948</v>
      </c>
      <c r="P258" s="22"/>
      <c r="Q258" s="22">
        <v>0.34559506076894847</v>
      </c>
      <c r="R258" s="22">
        <v>0.36291031419778325</v>
      </c>
      <c r="S258" s="22">
        <v>0.39774620483963036</v>
      </c>
      <c r="T258" s="22"/>
      <c r="U258" s="22"/>
    </row>
    <row r="259" spans="1:21" x14ac:dyDescent="0.55000000000000004">
      <c r="A259" s="41" t="str">
        <f>'Population Definitions'!$A$7</f>
        <v>PLHIV 65+</v>
      </c>
      <c r="B259" s="41" t="s">
        <v>10</v>
      </c>
      <c r="C259" s="12" t="str">
        <f t="shared" si="18"/>
        <v>N.A.</v>
      </c>
      <c r="D259" s="41" t="s">
        <v>16</v>
      </c>
      <c r="E259" s="47"/>
      <c r="F259" s="22"/>
      <c r="G259" s="22"/>
      <c r="H259" s="22"/>
      <c r="I259" s="22"/>
      <c r="J259" s="22"/>
      <c r="K259" s="22"/>
      <c r="L259" s="22"/>
      <c r="M259" s="22"/>
      <c r="N259" s="22">
        <v>0.66666666666666663</v>
      </c>
      <c r="O259" s="22"/>
      <c r="P259" s="22"/>
      <c r="Q259" s="22"/>
      <c r="R259" s="22"/>
      <c r="S259" s="22">
        <v>0.26666666666666666</v>
      </c>
      <c r="T259" s="22"/>
      <c r="U259" s="22"/>
    </row>
    <row r="260" spans="1:21" x14ac:dyDescent="0.55000000000000004">
      <c r="A260" s="41" t="str">
        <f>'Population Definitions'!$A$8</f>
        <v>Prisoners</v>
      </c>
      <c r="B260" s="41" t="s">
        <v>10</v>
      </c>
      <c r="C260" s="12">
        <f t="shared" si="18"/>
        <v>0.24</v>
      </c>
      <c r="D260" s="41" t="s">
        <v>16</v>
      </c>
      <c r="E260" s="47"/>
      <c r="F260" s="22"/>
      <c r="G260" s="22"/>
      <c r="H260" s="22"/>
      <c r="I260" s="22"/>
      <c r="J260" s="22"/>
      <c r="K260" s="22"/>
      <c r="L260" s="22"/>
      <c r="M260" s="22"/>
      <c r="N260" s="22"/>
      <c r="O260" s="22"/>
      <c r="P260" s="22"/>
      <c r="Q260" s="22"/>
      <c r="R260" s="22"/>
      <c r="S260" s="22"/>
      <c r="T260" s="22"/>
      <c r="U260" s="22"/>
    </row>
    <row r="261" spans="1:21" x14ac:dyDescent="0.55000000000000004">
      <c r="A261" s="41" t="str">
        <f>'Population Definitions'!$A$9</f>
        <v>PLHIV Prisoners</v>
      </c>
      <c r="B261" s="41" t="s">
        <v>10</v>
      </c>
      <c r="C261" s="12">
        <f t="shared" si="18"/>
        <v>0.24</v>
      </c>
      <c r="D261" s="41" t="s">
        <v>16</v>
      </c>
      <c r="E261" s="47"/>
      <c r="F261" s="22"/>
      <c r="G261" s="22"/>
      <c r="H261" s="22"/>
      <c r="I261" s="22"/>
      <c r="J261" s="22"/>
      <c r="K261" s="22"/>
      <c r="L261" s="22"/>
      <c r="M261" s="22"/>
      <c r="N261" s="22"/>
      <c r="O261" s="22"/>
      <c r="P261" s="22"/>
      <c r="Q261" s="22"/>
      <c r="R261" s="22"/>
      <c r="S261" s="22"/>
      <c r="T261" s="22"/>
      <c r="U261" s="22"/>
    </row>
    <row r="262" spans="1:21" x14ac:dyDescent="0.55000000000000004">
      <c r="A262" s="41" t="str">
        <f>'Population Definitions'!$A$10</f>
        <v>HCW</v>
      </c>
      <c r="B262" s="41" t="s">
        <v>10</v>
      </c>
      <c r="C262" s="12">
        <f t="shared" si="18"/>
        <v>0.24</v>
      </c>
      <c r="D262" s="41" t="s">
        <v>16</v>
      </c>
      <c r="E262" s="47"/>
      <c r="F262" s="22"/>
      <c r="G262" s="22"/>
      <c r="H262" s="22"/>
      <c r="I262" s="22"/>
      <c r="J262" s="22"/>
      <c r="K262" s="22"/>
      <c r="L262" s="22"/>
      <c r="M262" s="22"/>
      <c r="N262" s="22"/>
      <c r="O262" s="22"/>
      <c r="P262" s="22"/>
      <c r="Q262" s="22"/>
      <c r="R262" s="22"/>
      <c r="S262" s="22"/>
      <c r="T262" s="22"/>
      <c r="U262" s="22"/>
    </row>
    <row r="263" spans="1:21" x14ac:dyDescent="0.55000000000000004">
      <c r="A263" s="41" t="str">
        <f>'Population Definitions'!$A$11</f>
        <v>PLHIV HCW</v>
      </c>
      <c r="B263" s="41" t="s">
        <v>10</v>
      </c>
      <c r="C263" s="12">
        <f t="shared" si="18"/>
        <v>0.24</v>
      </c>
      <c r="D263" s="41" t="s">
        <v>16</v>
      </c>
      <c r="E263" s="47"/>
      <c r="F263" s="22"/>
      <c r="G263" s="22"/>
      <c r="H263" s="22"/>
      <c r="I263" s="22"/>
      <c r="J263" s="22"/>
      <c r="K263" s="22"/>
      <c r="L263" s="22"/>
      <c r="M263" s="22"/>
      <c r="N263" s="22"/>
      <c r="O263" s="22"/>
      <c r="P263" s="22"/>
      <c r="Q263" s="22"/>
      <c r="R263" s="22"/>
      <c r="S263" s="22"/>
      <c r="T263" s="22"/>
      <c r="U263" s="22"/>
    </row>
    <row r="264" spans="1:21" x14ac:dyDescent="0.55000000000000004">
      <c r="A264" s="41" t="str">
        <f>'Population Definitions'!$A$12</f>
        <v>Miners</v>
      </c>
      <c r="B264" s="41" t="s">
        <v>10</v>
      </c>
      <c r="C264" s="12">
        <f t="shared" si="18"/>
        <v>0.24</v>
      </c>
      <c r="D264" s="41" t="s">
        <v>16</v>
      </c>
      <c r="E264" s="47"/>
      <c r="F264" s="22"/>
      <c r="G264" s="22"/>
      <c r="H264" s="22"/>
      <c r="I264" s="22"/>
      <c r="J264" s="22"/>
      <c r="K264" s="22"/>
      <c r="L264" s="22"/>
      <c r="M264" s="22"/>
      <c r="N264" s="22"/>
      <c r="O264" s="22"/>
      <c r="P264" s="22"/>
      <c r="Q264" s="22"/>
      <c r="R264" s="22"/>
      <c r="S264" s="22"/>
      <c r="T264" s="22"/>
      <c r="U264" s="22"/>
    </row>
    <row r="265" spans="1:21" x14ac:dyDescent="0.55000000000000004">
      <c r="A265" s="41" t="str">
        <f>'Population Definitions'!$A$13</f>
        <v>PLHIV Miners</v>
      </c>
      <c r="B265" s="41" t="s">
        <v>10</v>
      </c>
      <c r="C265" s="12">
        <f t="shared" si="18"/>
        <v>0.24</v>
      </c>
      <c r="D265" s="41" t="s">
        <v>16</v>
      </c>
      <c r="E265" s="47"/>
      <c r="F265" s="22"/>
      <c r="G265" s="22"/>
      <c r="H265" s="22"/>
      <c r="I265" s="22"/>
      <c r="J265" s="22"/>
      <c r="K265" s="22"/>
      <c r="L265" s="22"/>
      <c r="M265" s="22"/>
      <c r="N265" s="22"/>
      <c r="O265" s="22"/>
      <c r="P265" s="22"/>
      <c r="Q265" s="22"/>
      <c r="R265" s="22"/>
      <c r="S265" s="22"/>
      <c r="T265" s="22"/>
      <c r="U265" s="22"/>
    </row>
    <row r="266" spans="1:21" x14ac:dyDescent="0.55000000000000004">
      <c r="A266" s="37"/>
      <c r="B266" s="37"/>
      <c r="C266" s="37"/>
      <c r="D266" s="37"/>
      <c r="E266" s="37"/>
      <c r="F266" s="37"/>
      <c r="G266" s="37"/>
      <c r="H266" s="37"/>
      <c r="I266" s="37"/>
      <c r="J266" s="37"/>
      <c r="K266" s="37"/>
      <c r="L266" s="37"/>
      <c r="M266" s="37"/>
      <c r="N266" s="37"/>
      <c r="O266" s="37"/>
      <c r="P266" s="37"/>
      <c r="Q266" s="37"/>
      <c r="R266" s="37"/>
      <c r="S266" s="37"/>
      <c r="T266" s="37"/>
      <c r="U266" s="37"/>
    </row>
    <row r="267" spans="1:21" x14ac:dyDescent="0.55000000000000004">
      <c r="A267" s="21" t="s">
        <v>106</v>
      </c>
      <c r="B267" s="41" t="s">
        <v>8</v>
      </c>
      <c r="C267" s="41" t="s">
        <v>9</v>
      </c>
      <c r="D267" s="41"/>
      <c r="E267" s="41">
        <v>2000</v>
      </c>
      <c r="F267" s="41">
        <v>2001</v>
      </c>
      <c r="G267" s="41">
        <v>2002</v>
      </c>
      <c r="H267" s="41">
        <v>2003</v>
      </c>
      <c r="I267" s="41">
        <v>2004</v>
      </c>
      <c r="J267" s="41">
        <v>2005</v>
      </c>
      <c r="K267" s="41">
        <v>2006</v>
      </c>
      <c r="L267" s="41">
        <v>2007</v>
      </c>
      <c r="M267" s="41">
        <v>2008</v>
      </c>
      <c r="N267" s="41">
        <v>2009</v>
      </c>
      <c r="O267" s="41">
        <v>2010</v>
      </c>
      <c r="P267" s="41">
        <v>2011</v>
      </c>
      <c r="Q267" s="41">
        <v>2012</v>
      </c>
      <c r="R267" s="41">
        <v>2013</v>
      </c>
      <c r="S267" s="41">
        <v>2014</v>
      </c>
      <c r="T267" s="41">
        <v>2015</v>
      </c>
      <c r="U267" s="41">
        <v>2016</v>
      </c>
    </row>
    <row r="268" spans="1:21" x14ac:dyDescent="0.55000000000000004">
      <c r="A268" s="41" t="str">
        <f>'Population Definitions'!$A$2</f>
        <v>Gen 0-4</v>
      </c>
      <c r="B268" s="41" t="s">
        <v>10</v>
      </c>
      <c r="C268" s="12" t="str">
        <f t="shared" ref="C268:C279" si="19">IF(SUMPRODUCT(--(E268:U268&lt;&gt;""))=0,0.52,"N.A.")</f>
        <v>N.A.</v>
      </c>
      <c r="D268" s="41" t="s">
        <v>16</v>
      </c>
      <c r="E268" s="47"/>
      <c r="F268" s="22"/>
      <c r="G268" s="22"/>
      <c r="H268" s="22"/>
      <c r="I268" s="22"/>
      <c r="J268" s="22"/>
      <c r="K268" s="22"/>
      <c r="L268" s="22"/>
      <c r="M268" s="22"/>
      <c r="N268" s="22"/>
      <c r="O268" s="22">
        <v>0.7142857142857143</v>
      </c>
      <c r="P268" s="22"/>
      <c r="Q268" s="22"/>
      <c r="R268" s="22">
        <v>0.88888888888888884</v>
      </c>
      <c r="S268" s="22"/>
      <c r="T268" s="22"/>
      <c r="U268" s="22"/>
    </row>
    <row r="269" spans="1:21" x14ac:dyDescent="0.55000000000000004">
      <c r="A269" s="41" t="str">
        <f>'Population Definitions'!$A$3</f>
        <v>Gen 5-14</v>
      </c>
      <c r="B269" s="41" t="s">
        <v>10</v>
      </c>
      <c r="C269" s="12" t="str">
        <f t="shared" si="19"/>
        <v>N.A.</v>
      </c>
      <c r="D269" s="41" t="s">
        <v>16</v>
      </c>
      <c r="E269" s="47"/>
      <c r="F269" s="22"/>
      <c r="G269" s="22"/>
      <c r="H269" s="22"/>
      <c r="I269" s="22"/>
      <c r="J269" s="22"/>
      <c r="K269" s="22"/>
      <c r="L269" s="22"/>
      <c r="M269" s="22"/>
      <c r="N269" s="22">
        <v>0.66666666666666663</v>
      </c>
      <c r="O269" s="22"/>
      <c r="P269" s="22"/>
      <c r="Q269" s="22">
        <v>0.7142857142857143</v>
      </c>
      <c r="R269" s="22"/>
      <c r="S269" s="22">
        <v>0.55000000000000004</v>
      </c>
      <c r="T269" s="22"/>
      <c r="U269" s="22"/>
    </row>
    <row r="270" spans="1:21" x14ac:dyDescent="0.55000000000000004">
      <c r="A270" s="41" t="str">
        <f>'Population Definitions'!$A$4</f>
        <v>Gen 15-64</v>
      </c>
      <c r="B270" s="41" t="s">
        <v>10</v>
      </c>
      <c r="C270" s="12" t="str">
        <f t="shared" si="19"/>
        <v>N.A.</v>
      </c>
      <c r="D270" s="41" t="s">
        <v>16</v>
      </c>
      <c r="E270" s="47"/>
      <c r="F270" s="22"/>
      <c r="G270" s="22"/>
      <c r="H270" s="22"/>
      <c r="I270" s="22"/>
      <c r="J270" s="22"/>
      <c r="K270" s="22"/>
      <c r="L270" s="22"/>
      <c r="M270" s="22"/>
      <c r="N270" s="22"/>
      <c r="O270" s="22"/>
      <c r="P270" s="22">
        <v>0.5981219279583303</v>
      </c>
      <c r="Q270" s="22">
        <v>0.58178894164496853</v>
      </c>
      <c r="R270" s="22">
        <v>0.52494593276911738</v>
      </c>
      <c r="S270" s="22">
        <v>0.42567224759005584</v>
      </c>
      <c r="T270" s="22"/>
      <c r="U270" s="22"/>
    </row>
    <row r="271" spans="1:21" x14ac:dyDescent="0.55000000000000004">
      <c r="A271" s="41" t="str">
        <f>'Population Definitions'!$A$5</f>
        <v>Gen 65+</v>
      </c>
      <c r="B271" s="41" t="s">
        <v>10</v>
      </c>
      <c r="C271" s="12" t="str">
        <f t="shared" si="19"/>
        <v>N.A.</v>
      </c>
      <c r="D271" s="41" t="s">
        <v>16</v>
      </c>
      <c r="E271" s="47"/>
      <c r="F271" s="22"/>
      <c r="G271" s="22"/>
      <c r="H271" s="22"/>
      <c r="I271" s="22"/>
      <c r="J271" s="22"/>
      <c r="K271" s="22"/>
      <c r="L271" s="22"/>
      <c r="M271" s="22"/>
      <c r="N271" s="22">
        <v>0.14548802946593004</v>
      </c>
      <c r="O271" s="22"/>
      <c r="P271" s="22">
        <v>0.17025862068965519</v>
      </c>
      <c r="Q271" s="22"/>
      <c r="R271" s="22"/>
      <c r="S271" s="22">
        <v>0.2</v>
      </c>
      <c r="T271" s="22"/>
      <c r="U271" s="22"/>
    </row>
    <row r="272" spans="1:21" x14ac:dyDescent="0.55000000000000004">
      <c r="A272" s="41" t="str">
        <f>'Population Definitions'!$A$6</f>
        <v>PLHIV 15-64</v>
      </c>
      <c r="B272" s="41" t="s">
        <v>10</v>
      </c>
      <c r="C272" s="12" t="str">
        <f t="shared" si="19"/>
        <v>N.A.</v>
      </c>
      <c r="D272" s="41" t="s">
        <v>16</v>
      </c>
      <c r="E272" s="47"/>
      <c r="F272" s="22"/>
      <c r="G272" s="22"/>
      <c r="H272" s="22"/>
      <c r="I272" s="22"/>
      <c r="J272" s="22"/>
      <c r="K272" s="22"/>
      <c r="L272" s="22"/>
      <c r="M272" s="22"/>
      <c r="N272" s="22">
        <v>0.3536231884057971</v>
      </c>
      <c r="O272" s="22">
        <v>0.42502972009078133</v>
      </c>
      <c r="P272" s="22"/>
      <c r="Q272" s="22">
        <v>0.46024652980161046</v>
      </c>
      <c r="R272" s="22">
        <v>0.38980797528137756</v>
      </c>
      <c r="S272" s="22">
        <v>0.40658313236167903</v>
      </c>
      <c r="T272" s="22"/>
      <c r="U272" s="22"/>
    </row>
    <row r="273" spans="1:21" x14ac:dyDescent="0.55000000000000004">
      <c r="A273" s="41" t="str">
        <f>'Population Definitions'!$A$7</f>
        <v>PLHIV 65+</v>
      </c>
      <c r="B273" s="41" t="s">
        <v>10</v>
      </c>
      <c r="C273" s="12" t="str">
        <f t="shared" si="19"/>
        <v>N.A.</v>
      </c>
      <c r="D273" s="41" t="s">
        <v>16</v>
      </c>
      <c r="E273" s="47"/>
      <c r="F273" s="22"/>
      <c r="G273" s="22"/>
      <c r="H273" s="22"/>
      <c r="I273" s="22"/>
      <c r="J273" s="22"/>
      <c r="K273" s="22"/>
      <c r="L273" s="22"/>
      <c r="M273" s="22"/>
      <c r="N273" s="22">
        <v>0.33333333333333331</v>
      </c>
      <c r="O273" s="22"/>
      <c r="P273" s="22"/>
      <c r="Q273" s="22"/>
      <c r="R273" s="22">
        <v>0.34693877551020408</v>
      </c>
      <c r="S273" s="22">
        <v>0.4</v>
      </c>
      <c r="T273" s="22"/>
      <c r="U273" s="22"/>
    </row>
    <row r="274" spans="1:21" x14ac:dyDescent="0.55000000000000004">
      <c r="A274" s="41" t="str">
        <f>'Population Definitions'!$A$8</f>
        <v>Prisoners</v>
      </c>
      <c r="B274" s="41" t="s">
        <v>10</v>
      </c>
      <c r="C274" s="12">
        <f t="shared" si="19"/>
        <v>0.52</v>
      </c>
      <c r="D274" s="41" t="s">
        <v>16</v>
      </c>
      <c r="E274" s="47"/>
      <c r="F274" s="22"/>
      <c r="G274" s="22"/>
      <c r="H274" s="22"/>
      <c r="I274" s="22"/>
      <c r="J274" s="22"/>
      <c r="K274" s="22"/>
      <c r="L274" s="22"/>
      <c r="M274" s="22"/>
      <c r="N274" s="22"/>
      <c r="O274" s="22"/>
      <c r="P274" s="22"/>
      <c r="Q274" s="22"/>
      <c r="R274" s="22"/>
      <c r="S274" s="22"/>
      <c r="T274" s="22"/>
      <c r="U274" s="22"/>
    </row>
    <row r="275" spans="1:21" x14ac:dyDescent="0.55000000000000004">
      <c r="A275" s="41" t="str">
        <f>'Population Definitions'!$A$9</f>
        <v>PLHIV Prisoners</v>
      </c>
      <c r="B275" s="41" t="s">
        <v>10</v>
      </c>
      <c r="C275" s="12">
        <f t="shared" si="19"/>
        <v>0.52</v>
      </c>
      <c r="D275" s="41" t="s">
        <v>16</v>
      </c>
      <c r="E275" s="47"/>
      <c r="F275" s="22"/>
      <c r="G275" s="22"/>
      <c r="H275" s="22"/>
      <c r="I275" s="22"/>
      <c r="J275" s="22"/>
      <c r="K275" s="22"/>
      <c r="L275" s="22"/>
      <c r="M275" s="22"/>
      <c r="N275" s="22"/>
      <c r="O275" s="22"/>
      <c r="P275" s="22"/>
      <c r="Q275" s="22"/>
      <c r="R275" s="22"/>
      <c r="S275" s="22"/>
      <c r="T275" s="22"/>
      <c r="U275" s="22"/>
    </row>
    <row r="276" spans="1:21" x14ac:dyDescent="0.55000000000000004">
      <c r="A276" s="41" t="str">
        <f>'Population Definitions'!$A$10</f>
        <v>HCW</v>
      </c>
      <c r="B276" s="41" t="s">
        <v>10</v>
      </c>
      <c r="C276" s="12">
        <f t="shared" si="19"/>
        <v>0.52</v>
      </c>
      <c r="D276" s="41" t="s">
        <v>16</v>
      </c>
      <c r="E276" s="47"/>
      <c r="F276" s="22"/>
      <c r="G276" s="22"/>
      <c r="H276" s="22"/>
      <c r="I276" s="22"/>
      <c r="J276" s="22"/>
      <c r="K276" s="22"/>
      <c r="L276" s="22"/>
      <c r="M276" s="22"/>
      <c r="N276" s="22"/>
      <c r="O276" s="22"/>
      <c r="P276" s="22"/>
      <c r="Q276" s="22"/>
      <c r="R276" s="22"/>
      <c r="S276" s="22"/>
      <c r="T276" s="22"/>
      <c r="U276" s="22"/>
    </row>
    <row r="277" spans="1:21" x14ac:dyDescent="0.55000000000000004">
      <c r="A277" s="41" t="str">
        <f>'Population Definitions'!$A$11</f>
        <v>PLHIV HCW</v>
      </c>
      <c r="B277" s="41" t="s">
        <v>10</v>
      </c>
      <c r="C277" s="12">
        <f t="shared" si="19"/>
        <v>0.52</v>
      </c>
      <c r="D277" s="41" t="s">
        <v>16</v>
      </c>
      <c r="E277" s="47"/>
      <c r="F277" s="22"/>
      <c r="G277" s="22"/>
      <c r="H277" s="22"/>
      <c r="I277" s="22"/>
      <c r="J277" s="22"/>
      <c r="K277" s="22"/>
      <c r="L277" s="22"/>
      <c r="M277" s="22"/>
      <c r="N277" s="22"/>
      <c r="O277" s="22"/>
      <c r="P277" s="22"/>
      <c r="Q277" s="22"/>
      <c r="R277" s="22"/>
      <c r="S277" s="22"/>
      <c r="T277" s="22"/>
      <c r="U277" s="22"/>
    </row>
    <row r="278" spans="1:21" x14ac:dyDescent="0.55000000000000004">
      <c r="A278" s="41" t="str">
        <f>'Population Definitions'!$A$12</f>
        <v>Miners</v>
      </c>
      <c r="B278" s="41" t="s">
        <v>10</v>
      </c>
      <c r="C278" s="12">
        <f t="shared" si="19"/>
        <v>0.52</v>
      </c>
      <c r="D278" s="41" t="s">
        <v>16</v>
      </c>
      <c r="E278" s="47"/>
      <c r="F278" s="22"/>
      <c r="G278" s="22"/>
      <c r="H278" s="22"/>
      <c r="I278" s="22"/>
      <c r="J278" s="22"/>
      <c r="K278" s="22"/>
      <c r="L278" s="22"/>
      <c r="M278" s="22"/>
      <c r="N278" s="22"/>
      <c r="O278" s="22"/>
      <c r="P278" s="22"/>
      <c r="Q278" s="22"/>
      <c r="R278" s="22"/>
      <c r="S278" s="22"/>
      <c r="T278" s="22"/>
      <c r="U278" s="22"/>
    </row>
    <row r="279" spans="1:21" x14ac:dyDescent="0.55000000000000004">
      <c r="A279" s="41" t="str">
        <f>'Population Definitions'!$A$13</f>
        <v>PLHIV Miners</v>
      </c>
      <c r="B279" s="41" t="s">
        <v>10</v>
      </c>
      <c r="C279" s="12">
        <f t="shared" si="19"/>
        <v>0.52</v>
      </c>
      <c r="D279" s="41" t="s">
        <v>16</v>
      </c>
      <c r="E279" s="47"/>
      <c r="F279" s="22"/>
      <c r="G279" s="22"/>
      <c r="H279" s="22"/>
      <c r="I279" s="22"/>
      <c r="J279" s="22"/>
      <c r="K279" s="22"/>
      <c r="L279" s="22"/>
      <c r="M279" s="22"/>
      <c r="N279" s="22"/>
      <c r="O279" s="22"/>
      <c r="P279" s="22"/>
      <c r="Q279" s="22"/>
      <c r="R279" s="22"/>
      <c r="S279" s="22"/>
      <c r="T279" s="22"/>
      <c r="U279" s="22"/>
    </row>
    <row r="280" spans="1:21" x14ac:dyDescent="0.55000000000000004">
      <c r="A280" s="37"/>
      <c r="B280" s="37"/>
      <c r="C280" s="37"/>
      <c r="D280" s="37"/>
      <c r="E280" s="37"/>
      <c r="F280" s="37"/>
      <c r="G280" s="37"/>
      <c r="H280" s="37"/>
      <c r="I280" s="37"/>
      <c r="J280" s="37"/>
      <c r="K280" s="37"/>
      <c r="L280" s="37"/>
      <c r="M280" s="37"/>
      <c r="N280" s="37"/>
      <c r="O280" s="37"/>
      <c r="P280" s="37"/>
      <c r="Q280" s="37"/>
      <c r="R280" s="37"/>
      <c r="S280" s="37"/>
      <c r="T280" s="37"/>
      <c r="U280" s="37"/>
    </row>
    <row r="281" spans="1:21" x14ac:dyDescent="0.55000000000000004">
      <c r="A281" s="21" t="s">
        <v>108</v>
      </c>
      <c r="B281" s="41" t="s">
        <v>8</v>
      </c>
      <c r="C281" s="41" t="s">
        <v>9</v>
      </c>
      <c r="D281" s="41"/>
      <c r="E281" s="41">
        <v>2000</v>
      </c>
      <c r="F281" s="41">
        <v>2001</v>
      </c>
      <c r="G281" s="41">
        <v>2002</v>
      </c>
      <c r="H281" s="41">
        <v>2003</v>
      </c>
      <c r="I281" s="41">
        <v>2004</v>
      </c>
      <c r="J281" s="41">
        <v>2005</v>
      </c>
      <c r="K281" s="41">
        <v>2006</v>
      </c>
      <c r="L281" s="41">
        <v>2007</v>
      </c>
      <c r="M281" s="41">
        <v>2008</v>
      </c>
      <c r="N281" s="41">
        <v>2009</v>
      </c>
      <c r="O281" s="41">
        <v>2010</v>
      </c>
      <c r="P281" s="41">
        <v>2011</v>
      </c>
      <c r="Q281" s="41">
        <v>2012</v>
      </c>
      <c r="R281" s="41">
        <v>2013</v>
      </c>
      <c r="S281" s="41">
        <v>2014</v>
      </c>
      <c r="T281" s="41">
        <v>2015</v>
      </c>
      <c r="U281" s="41">
        <v>2016</v>
      </c>
    </row>
    <row r="282" spans="1:21" x14ac:dyDescent="0.55000000000000004">
      <c r="A282" s="41" t="str">
        <f>'Population Definitions'!$A$2</f>
        <v>Gen 0-4</v>
      </c>
      <c r="B282" s="41" t="s">
        <v>10</v>
      </c>
      <c r="C282" s="12">
        <f t="shared" ref="C282:C293" si="20">IF(SUMPRODUCT(--(E282:U282&lt;&gt;""))=0,0.59,"N.A.")</f>
        <v>0.59</v>
      </c>
      <c r="D282" s="41" t="s">
        <v>16</v>
      </c>
      <c r="E282" s="47"/>
      <c r="F282" s="22"/>
      <c r="G282" s="22"/>
      <c r="H282" s="22"/>
      <c r="I282" s="22"/>
      <c r="J282" s="22"/>
      <c r="K282" s="22"/>
      <c r="L282" s="22"/>
      <c r="M282" s="22"/>
      <c r="N282" s="22"/>
      <c r="O282" s="22"/>
      <c r="P282" s="22"/>
      <c r="Q282" s="22"/>
      <c r="R282" s="22"/>
      <c r="S282" s="22"/>
      <c r="T282" s="22"/>
      <c r="U282" s="22"/>
    </row>
    <row r="283" spans="1:21" x14ac:dyDescent="0.55000000000000004">
      <c r="A283" s="41" t="str">
        <f>'Population Definitions'!$A$3</f>
        <v>Gen 5-14</v>
      </c>
      <c r="B283" s="41" t="s">
        <v>10</v>
      </c>
      <c r="C283" s="12">
        <f t="shared" si="20"/>
        <v>0.59</v>
      </c>
      <c r="D283" s="41" t="s">
        <v>16</v>
      </c>
      <c r="E283" s="47"/>
      <c r="F283" s="22"/>
      <c r="G283" s="22"/>
      <c r="H283" s="22"/>
      <c r="I283" s="22"/>
      <c r="J283" s="22"/>
      <c r="K283" s="22"/>
      <c r="L283" s="22"/>
      <c r="M283" s="22"/>
      <c r="N283" s="22"/>
      <c r="O283" s="22"/>
      <c r="P283" s="22"/>
      <c r="Q283" s="22"/>
      <c r="R283" s="22"/>
      <c r="S283" s="22"/>
      <c r="T283" s="22"/>
      <c r="U283" s="22"/>
    </row>
    <row r="284" spans="1:21" x14ac:dyDescent="0.55000000000000004">
      <c r="A284" s="41" t="str">
        <f>'Population Definitions'!$A$4</f>
        <v>Gen 15-64</v>
      </c>
      <c r="B284" s="41" t="s">
        <v>10</v>
      </c>
      <c r="C284" s="12" t="str">
        <f t="shared" si="20"/>
        <v>N.A.</v>
      </c>
      <c r="D284" s="41" t="s">
        <v>16</v>
      </c>
      <c r="E284" s="47"/>
      <c r="F284" s="22"/>
      <c r="G284" s="22"/>
      <c r="H284" s="22"/>
      <c r="I284" s="22"/>
      <c r="J284" s="22"/>
      <c r="K284" s="22"/>
      <c r="L284" s="22">
        <f>'[4]Notified Cases'!M74/'[4]Active TB Prevalence'!L200</f>
        <v>0.33098598364479603</v>
      </c>
      <c r="M284" s="22"/>
      <c r="N284" s="22"/>
      <c r="O284" s="22"/>
      <c r="P284" s="22"/>
      <c r="Q284" s="22">
        <f>'[4]Notified Cases'!R74/'[4]Active TB Prevalence'!Q200</f>
        <v>0.59879784637283007</v>
      </c>
      <c r="R284" s="22"/>
      <c r="S284" s="22">
        <f>'[4]Notified Cases'!T74/'[4]Active TB Prevalence'!S200</f>
        <v>0.6687151410712604</v>
      </c>
      <c r="T284" s="22"/>
      <c r="U284" s="22"/>
    </row>
    <row r="285" spans="1:21" x14ac:dyDescent="0.55000000000000004">
      <c r="A285" s="41" t="str">
        <f>'Population Definitions'!$A$5</f>
        <v>Gen 65+</v>
      </c>
      <c r="B285" s="41" t="s">
        <v>10</v>
      </c>
      <c r="C285" s="12" t="str">
        <f t="shared" si="20"/>
        <v>N.A.</v>
      </c>
      <c r="D285" s="41" t="s">
        <v>16</v>
      </c>
      <c r="E285" s="47"/>
      <c r="F285" s="22"/>
      <c r="G285" s="22"/>
      <c r="H285" s="22"/>
      <c r="I285" s="22"/>
      <c r="J285" s="22"/>
      <c r="K285" s="22"/>
      <c r="L285" s="22"/>
      <c r="M285" s="22"/>
      <c r="N285" s="22"/>
      <c r="O285" s="22">
        <f>'[4]Notified Cases'!P75/'[4]Active TB Prevalence'!O201</f>
        <v>0.89302372102225125</v>
      </c>
      <c r="P285" s="22"/>
      <c r="Q285" s="22"/>
      <c r="R285" s="22"/>
      <c r="S285" s="22"/>
      <c r="T285" s="22"/>
      <c r="U285" s="22"/>
    </row>
    <row r="286" spans="1:21" x14ac:dyDescent="0.55000000000000004">
      <c r="A286" s="41" t="str">
        <f>'Population Definitions'!$A$6</f>
        <v>PLHIV 15-64</v>
      </c>
      <c r="B286" s="41" t="s">
        <v>10</v>
      </c>
      <c r="C286" s="12" t="str">
        <f t="shared" si="20"/>
        <v>N.A.</v>
      </c>
      <c r="D286" s="41" t="s">
        <v>16</v>
      </c>
      <c r="E286" s="47"/>
      <c r="F286" s="22"/>
      <c r="G286" s="22"/>
      <c r="H286" s="22"/>
      <c r="I286" s="22"/>
      <c r="J286" s="22"/>
      <c r="K286" s="22"/>
      <c r="L286" s="22">
        <f>'[4]Notified Cases'!M76/'[4]Active TB Prevalence'!L202</f>
        <v>0.33098598364479542</v>
      </c>
      <c r="M286" s="22"/>
      <c r="N286" s="22"/>
      <c r="O286" s="22"/>
      <c r="P286" s="22">
        <f>'[4]Notified Cases'!Q76/'[4]Active TB Prevalence'!P202</f>
        <v>0.65734297223736105</v>
      </c>
      <c r="Q286" s="22">
        <f>'[4]Notified Cases'!R76/'[4]Active TB Prevalence'!Q202</f>
        <v>0.77117904457106845</v>
      </c>
      <c r="R286" s="22"/>
      <c r="S286" s="22"/>
      <c r="T286" s="22"/>
      <c r="U286" s="22"/>
    </row>
    <row r="287" spans="1:21" x14ac:dyDescent="0.55000000000000004">
      <c r="A287" s="41" t="str">
        <f>'Population Definitions'!$A$7</f>
        <v>PLHIV 65+</v>
      </c>
      <c r="B287" s="41" t="s">
        <v>10</v>
      </c>
      <c r="C287" s="12">
        <f t="shared" si="20"/>
        <v>0.59</v>
      </c>
      <c r="D287" s="41" t="s">
        <v>16</v>
      </c>
      <c r="E287" s="47"/>
      <c r="F287" s="22"/>
      <c r="G287" s="22"/>
      <c r="H287" s="22"/>
      <c r="I287" s="22"/>
      <c r="J287" s="22"/>
      <c r="K287" s="22"/>
      <c r="L287" s="22"/>
      <c r="M287" s="22"/>
      <c r="N287" s="22"/>
      <c r="O287" s="22"/>
      <c r="P287" s="22"/>
      <c r="Q287" s="22"/>
      <c r="R287" s="22"/>
      <c r="S287" s="22"/>
      <c r="T287" s="22"/>
      <c r="U287" s="22"/>
    </row>
    <row r="288" spans="1:21" x14ac:dyDescent="0.55000000000000004">
      <c r="A288" s="41" t="str">
        <f>'Population Definitions'!$A$8</f>
        <v>Prisoners</v>
      </c>
      <c r="B288" s="41" t="s">
        <v>10</v>
      </c>
      <c r="C288" s="12">
        <f t="shared" si="20"/>
        <v>0.59</v>
      </c>
      <c r="D288" s="41" t="s">
        <v>16</v>
      </c>
      <c r="E288" s="47"/>
      <c r="F288" s="22"/>
      <c r="G288" s="22"/>
      <c r="H288" s="22"/>
      <c r="I288" s="22"/>
      <c r="J288" s="22"/>
      <c r="K288" s="22"/>
      <c r="L288" s="22"/>
      <c r="M288" s="22"/>
      <c r="N288" s="22"/>
      <c r="O288" s="22"/>
      <c r="P288" s="22"/>
      <c r="Q288" s="22"/>
      <c r="R288" s="22"/>
      <c r="S288" s="22"/>
      <c r="T288" s="22"/>
      <c r="U288" s="22"/>
    </row>
    <row r="289" spans="1:21" x14ac:dyDescent="0.55000000000000004">
      <c r="A289" s="41" t="str">
        <f>'Population Definitions'!$A$9</f>
        <v>PLHIV Prisoners</v>
      </c>
      <c r="B289" s="41" t="s">
        <v>10</v>
      </c>
      <c r="C289" s="12">
        <f t="shared" si="20"/>
        <v>0.59</v>
      </c>
      <c r="D289" s="41" t="s">
        <v>16</v>
      </c>
      <c r="E289" s="47"/>
      <c r="F289" s="22"/>
      <c r="G289" s="22"/>
      <c r="H289" s="22"/>
      <c r="I289" s="22"/>
      <c r="J289" s="22"/>
      <c r="K289" s="22"/>
      <c r="L289" s="22"/>
      <c r="M289" s="22"/>
      <c r="N289" s="22"/>
      <c r="O289" s="22"/>
      <c r="P289" s="22"/>
      <c r="Q289" s="22"/>
      <c r="R289" s="22"/>
      <c r="S289" s="22"/>
      <c r="T289" s="22"/>
      <c r="U289" s="22"/>
    </row>
    <row r="290" spans="1:21" x14ac:dyDescent="0.55000000000000004">
      <c r="A290" s="41" t="str">
        <f>'Population Definitions'!$A$10</f>
        <v>HCW</v>
      </c>
      <c r="B290" s="41" t="s">
        <v>10</v>
      </c>
      <c r="C290" s="12">
        <f t="shared" si="20"/>
        <v>0.59</v>
      </c>
      <c r="D290" s="41" t="s">
        <v>16</v>
      </c>
      <c r="E290" s="47"/>
      <c r="F290" s="22"/>
      <c r="G290" s="22"/>
      <c r="H290" s="22"/>
      <c r="I290" s="22"/>
      <c r="J290" s="22"/>
      <c r="K290" s="22"/>
      <c r="L290" s="22"/>
      <c r="M290" s="22"/>
      <c r="N290" s="22"/>
      <c r="O290" s="22"/>
      <c r="P290" s="22"/>
      <c r="Q290" s="22"/>
      <c r="R290" s="22"/>
      <c r="S290" s="22"/>
      <c r="T290" s="22"/>
      <c r="U290" s="22"/>
    </row>
    <row r="291" spans="1:21" x14ac:dyDescent="0.55000000000000004">
      <c r="A291" s="41" t="str">
        <f>'Population Definitions'!$A$11</f>
        <v>PLHIV HCW</v>
      </c>
      <c r="B291" s="41" t="s">
        <v>10</v>
      </c>
      <c r="C291" s="12">
        <f t="shared" si="20"/>
        <v>0.59</v>
      </c>
      <c r="D291" s="41" t="s">
        <v>16</v>
      </c>
      <c r="E291" s="47"/>
      <c r="F291" s="22"/>
      <c r="G291" s="22"/>
      <c r="H291" s="22"/>
      <c r="I291" s="22"/>
      <c r="J291" s="22"/>
      <c r="K291" s="22"/>
      <c r="L291" s="22"/>
      <c r="M291" s="22"/>
      <c r="N291" s="22"/>
      <c r="O291" s="22"/>
      <c r="P291" s="22"/>
      <c r="Q291" s="22"/>
      <c r="R291" s="22"/>
      <c r="S291" s="22"/>
      <c r="T291" s="22"/>
      <c r="U291" s="22"/>
    </row>
    <row r="292" spans="1:21" x14ac:dyDescent="0.55000000000000004">
      <c r="A292" s="41" t="str">
        <f>'Population Definitions'!$A$12</f>
        <v>Miners</v>
      </c>
      <c r="B292" s="41" t="s">
        <v>10</v>
      </c>
      <c r="C292" s="12" t="str">
        <f t="shared" si="20"/>
        <v>N.A.</v>
      </c>
      <c r="D292" s="41" t="s">
        <v>16</v>
      </c>
      <c r="E292" s="47"/>
      <c r="F292" s="22"/>
      <c r="G292" s="22"/>
      <c r="H292" s="22"/>
      <c r="I292" s="22"/>
      <c r="J292" s="22"/>
      <c r="K292" s="22"/>
      <c r="L292" s="22"/>
      <c r="M292" s="22"/>
      <c r="N292" s="22"/>
      <c r="O292" s="22"/>
      <c r="P292" s="22"/>
      <c r="Q292" s="22"/>
      <c r="R292" s="22"/>
      <c r="S292" s="22"/>
      <c r="T292" s="22">
        <v>0.8</v>
      </c>
      <c r="U292" s="22"/>
    </row>
    <row r="293" spans="1:21" x14ac:dyDescent="0.55000000000000004">
      <c r="A293" s="41" t="str">
        <f>'Population Definitions'!$A$13</f>
        <v>PLHIV Miners</v>
      </c>
      <c r="B293" s="41" t="s">
        <v>10</v>
      </c>
      <c r="C293" s="12" t="str">
        <f t="shared" si="20"/>
        <v>N.A.</v>
      </c>
      <c r="D293" s="41" t="s">
        <v>16</v>
      </c>
      <c r="E293" s="47"/>
      <c r="F293" s="22"/>
      <c r="G293" s="22"/>
      <c r="H293" s="22"/>
      <c r="I293" s="22"/>
      <c r="J293" s="22"/>
      <c r="K293" s="22"/>
      <c r="L293" s="22"/>
      <c r="M293" s="22"/>
      <c r="N293" s="22"/>
      <c r="O293" s="22"/>
      <c r="P293" s="22"/>
      <c r="Q293" s="22"/>
      <c r="R293" s="22"/>
      <c r="S293" s="22"/>
      <c r="T293" s="22">
        <v>0.8</v>
      </c>
      <c r="U293" s="22"/>
    </row>
    <row r="294" spans="1:21" x14ac:dyDescent="0.55000000000000004">
      <c r="A294" s="37"/>
      <c r="B294" s="37"/>
      <c r="C294" s="37"/>
      <c r="D294" s="37"/>
      <c r="E294" s="37"/>
      <c r="F294" s="37"/>
      <c r="G294" s="37"/>
      <c r="H294" s="37"/>
      <c r="I294" s="37"/>
      <c r="J294" s="37"/>
      <c r="K294" s="37"/>
      <c r="L294" s="37"/>
      <c r="M294" s="37"/>
      <c r="N294" s="37"/>
      <c r="O294" s="37"/>
      <c r="P294" s="37"/>
      <c r="Q294" s="37"/>
      <c r="R294" s="37"/>
      <c r="S294" s="37"/>
      <c r="T294" s="37"/>
      <c r="U294" s="37"/>
    </row>
    <row r="295" spans="1:21" x14ac:dyDescent="0.55000000000000004">
      <c r="A295" s="21" t="s">
        <v>110</v>
      </c>
      <c r="B295" s="41" t="s">
        <v>8</v>
      </c>
      <c r="C295" s="41" t="s">
        <v>9</v>
      </c>
      <c r="D295" s="41"/>
      <c r="E295" s="41">
        <v>2000</v>
      </c>
      <c r="F295" s="41">
        <v>2001</v>
      </c>
      <c r="G295" s="41">
        <v>2002</v>
      </c>
      <c r="H295" s="41">
        <v>2003</v>
      </c>
      <c r="I295" s="41">
        <v>2004</v>
      </c>
      <c r="J295" s="41">
        <v>2005</v>
      </c>
      <c r="K295" s="41">
        <v>2006</v>
      </c>
      <c r="L295" s="41">
        <v>2007</v>
      </c>
      <c r="M295" s="41">
        <v>2008</v>
      </c>
      <c r="N295" s="41">
        <v>2009</v>
      </c>
      <c r="O295" s="41">
        <v>2010</v>
      </c>
      <c r="P295" s="41">
        <v>2011</v>
      </c>
      <c r="Q295" s="41">
        <v>2012</v>
      </c>
      <c r="R295" s="41">
        <v>2013</v>
      </c>
      <c r="S295" s="41">
        <v>2014</v>
      </c>
      <c r="T295" s="41">
        <v>2015</v>
      </c>
      <c r="U295" s="41">
        <v>2016</v>
      </c>
    </row>
    <row r="296" spans="1:21" x14ac:dyDescent="0.55000000000000004">
      <c r="A296" s="41" t="str">
        <f>'Population Definitions'!$A$2</f>
        <v>Gen 0-4</v>
      </c>
      <c r="B296" s="41" t="s">
        <v>10</v>
      </c>
      <c r="C296" s="12" t="str">
        <f t="shared" ref="C296:C307" si="21">IF(SUMPRODUCT(--(E296:U296&lt;&gt;""))=0,0.37,"N.A.")</f>
        <v>N.A.</v>
      </c>
      <c r="D296" s="41" t="s">
        <v>16</v>
      </c>
      <c r="E296" s="47"/>
      <c r="F296" s="22"/>
      <c r="G296" s="22"/>
      <c r="H296" s="22"/>
      <c r="I296" s="22"/>
      <c r="J296" s="22"/>
      <c r="K296" s="22"/>
      <c r="L296" s="22"/>
      <c r="M296" s="22"/>
      <c r="N296" s="22"/>
      <c r="O296" s="22"/>
      <c r="P296" s="22"/>
      <c r="Q296" s="22">
        <v>0.81</v>
      </c>
      <c r="R296" s="22">
        <v>1</v>
      </c>
      <c r="S296" s="22"/>
      <c r="T296" s="22"/>
      <c r="U296" s="22"/>
    </row>
    <row r="297" spans="1:21" x14ac:dyDescent="0.55000000000000004">
      <c r="A297" s="41" t="str">
        <f>'Population Definitions'!$A$3</f>
        <v>Gen 5-14</v>
      </c>
      <c r="B297" s="41" t="s">
        <v>10</v>
      </c>
      <c r="C297" s="12" t="str">
        <f t="shared" si="21"/>
        <v>N.A.</v>
      </c>
      <c r="D297" s="41" t="s">
        <v>16</v>
      </c>
      <c r="E297" s="47"/>
      <c r="F297" s="22"/>
      <c r="G297" s="22"/>
      <c r="H297" s="22"/>
      <c r="I297" s="22"/>
      <c r="J297" s="22"/>
      <c r="K297" s="22"/>
      <c r="L297" s="22"/>
      <c r="M297" s="22"/>
      <c r="N297" s="22"/>
      <c r="O297" s="22"/>
      <c r="P297" s="22"/>
      <c r="Q297" s="22">
        <v>0.81</v>
      </c>
      <c r="R297" s="22">
        <v>1</v>
      </c>
      <c r="S297" s="22"/>
      <c r="T297" s="22"/>
      <c r="U297" s="22"/>
    </row>
    <row r="298" spans="1:21" x14ac:dyDescent="0.55000000000000004">
      <c r="A298" s="41" t="str">
        <f>'Population Definitions'!$A$4</f>
        <v>Gen 15-64</v>
      </c>
      <c r="B298" s="41" t="s">
        <v>10</v>
      </c>
      <c r="C298" s="12" t="str">
        <f t="shared" si="21"/>
        <v>N.A.</v>
      </c>
      <c r="D298" s="41" t="s">
        <v>16</v>
      </c>
      <c r="E298" s="47"/>
      <c r="F298" s="22"/>
      <c r="G298" s="22"/>
      <c r="H298" s="22"/>
      <c r="I298" s="22"/>
      <c r="J298" s="22"/>
      <c r="K298" s="22"/>
      <c r="L298" s="22"/>
      <c r="M298" s="22"/>
      <c r="N298" s="22"/>
      <c r="O298" s="22"/>
      <c r="P298" s="22"/>
      <c r="Q298" s="22">
        <v>0.81</v>
      </c>
      <c r="R298" s="22">
        <v>1</v>
      </c>
      <c r="S298" s="22"/>
      <c r="T298" s="22"/>
      <c r="U298" s="22"/>
    </row>
    <row r="299" spans="1:21" x14ac:dyDescent="0.55000000000000004">
      <c r="A299" s="41" t="str">
        <f>'Population Definitions'!$A$5</f>
        <v>Gen 65+</v>
      </c>
      <c r="B299" s="41" t="s">
        <v>10</v>
      </c>
      <c r="C299" s="12" t="str">
        <f t="shared" si="21"/>
        <v>N.A.</v>
      </c>
      <c r="D299" s="41" t="s">
        <v>16</v>
      </c>
      <c r="E299" s="47"/>
      <c r="F299" s="22"/>
      <c r="G299" s="22"/>
      <c r="H299" s="22"/>
      <c r="I299" s="22"/>
      <c r="J299" s="22"/>
      <c r="K299" s="22"/>
      <c r="L299" s="22"/>
      <c r="M299" s="22"/>
      <c r="N299" s="22"/>
      <c r="O299" s="22"/>
      <c r="P299" s="22"/>
      <c r="Q299" s="22">
        <v>0.81</v>
      </c>
      <c r="R299" s="22">
        <v>1</v>
      </c>
      <c r="S299" s="22"/>
      <c r="T299" s="22"/>
      <c r="U299" s="22"/>
    </row>
    <row r="300" spans="1:21" x14ac:dyDescent="0.55000000000000004">
      <c r="A300" s="41" t="str">
        <f>'Population Definitions'!$A$6</f>
        <v>PLHIV 15-64</v>
      </c>
      <c r="B300" s="41" t="s">
        <v>10</v>
      </c>
      <c r="C300" s="12" t="str">
        <f t="shared" si="21"/>
        <v>N.A.</v>
      </c>
      <c r="D300" s="41" t="s">
        <v>16</v>
      </c>
      <c r="E300" s="47"/>
      <c r="F300" s="22"/>
      <c r="G300" s="22"/>
      <c r="H300" s="22"/>
      <c r="I300" s="22"/>
      <c r="J300" s="22"/>
      <c r="K300" s="22"/>
      <c r="L300" s="22"/>
      <c r="M300" s="22"/>
      <c r="N300" s="22"/>
      <c r="O300" s="22"/>
      <c r="P300" s="22"/>
      <c r="Q300" s="22">
        <v>0.81</v>
      </c>
      <c r="R300" s="22">
        <v>1</v>
      </c>
      <c r="S300" s="22"/>
      <c r="T300" s="22"/>
      <c r="U300" s="22"/>
    </row>
    <row r="301" spans="1:21" x14ac:dyDescent="0.55000000000000004">
      <c r="A301" s="41" t="str">
        <f>'Population Definitions'!$A$7</f>
        <v>PLHIV 65+</v>
      </c>
      <c r="B301" s="41" t="s">
        <v>10</v>
      </c>
      <c r="C301" s="12" t="str">
        <f t="shared" si="21"/>
        <v>N.A.</v>
      </c>
      <c r="D301" s="41" t="s">
        <v>16</v>
      </c>
      <c r="E301" s="47"/>
      <c r="F301" s="22"/>
      <c r="G301" s="22"/>
      <c r="H301" s="22"/>
      <c r="I301" s="22"/>
      <c r="J301" s="22"/>
      <c r="K301" s="22"/>
      <c r="L301" s="22"/>
      <c r="M301" s="22"/>
      <c r="N301" s="22"/>
      <c r="O301" s="22"/>
      <c r="P301" s="22"/>
      <c r="Q301" s="22">
        <v>0.81</v>
      </c>
      <c r="R301" s="22">
        <v>1</v>
      </c>
      <c r="S301" s="22"/>
      <c r="T301" s="22"/>
      <c r="U301" s="22"/>
    </row>
    <row r="302" spans="1:21" x14ac:dyDescent="0.55000000000000004">
      <c r="A302" s="41" t="str">
        <f>'Population Definitions'!$A$8</f>
        <v>Prisoners</v>
      </c>
      <c r="B302" s="41" t="s">
        <v>10</v>
      </c>
      <c r="C302" s="12">
        <f t="shared" si="21"/>
        <v>0.37</v>
      </c>
      <c r="D302" s="41" t="s">
        <v>16</v>
      </c>
      <c r="E302" s="47"/>
      <c r="F302" s="22"/>
      <c r="G302" s="22"/>
      <c r="H302" s="22"/>
      <c r="I302" s="22"/>
      <c r="J302" s="22"/>
      <c r="K302" s="22"/>
      <c r="L302" s="22"/>
      <c r="M302" s="22"/>
      <c r="N302" s="22"/>
      <c r="O302" s="22"/>
      <c r="P302" s="22"/>
      <c r="Q302" s="22"/>
      <c r="R302" s="22"/>
      <c r="S302" s="22"/>
      <c r="T302" s="22"/>
      <c r="U302" s="22"/>
    </row>
    <row r="303" spans="1:21" x14ac:dyDescent="0.55000000000000004">
      <c r="A303" s="41" t="str">
        <f>'Population Definitions'!$A$9</f>
        <v>PLHIV Prisoners</v>
      </c>
      <c r="B303" s="41" t="s">
        <v>10</v>
      </c>
      <c r="C303" s="12">
        <f t="shared" si="21"/>
        <v>0.37</v>
      </c>
      <c r="D303" s="41" t="s">
        <v>16</v>
      </c>
      <c r="E303" s="47"/>
      <c r="F303" s="22"/>
      <c r="G303" s="22"/>
      <c r="H303" s="22"/>
      <c r="I303" s="22"/>
      <c r="J303" s="22"/>
      <c r="K303" s="22"/>
      <c r="L303" s="22"/>
      <c r="M303" s="22"/>
      <c r="N303" s="22"/>
      <c r="O303" s="22"/>
      <c r="P303" s="22"/>
      <c r="Q303" s="22"/>
      <c r="R303" s="22"/>
      <c r="S303" s="22"/>
      <c r="T303" s="22"/>
      <c r="U303" s="22"/>
    </row>
    <row r="304" spans="1:21" x14ac:dyDescent="0.55000000000000004">
      <c r="A304" s="41" t="str">
        <f>'Population Definitions'!$A$10</f>
        <v>HCW</v>
      </c>
      <c r="B304" s="41" t="s">
        <v>10</v>
      </c>
      <c r="C304" s="12">
        <f t="shared" si="21"/>
        <v>0.37</v>
      </c>
      <c r="D304" s="41" t="s">
        <v>16</v>
      </c>
      <c r="E304" s="47"/>
      <c r="F304" s="22"/>
      <c r="G304" s="22"/>
      <c r="H304" s="22"/>
      <c r="I304" s="22"/>
      <c r="J304" s="22"/>
      <c r="K304" s="22"/>
      <c r="L304" s="22"/>
      <c r="M304" s="22"/>
      <c r="N304" s="22"/>
      <c r="O304" s="22"/>
      <c r="P304" s="22"/>
      <c r="Q304" s="22"/>
      <c r="R304" s="22"/>
      <c r="S304" s="22"/>
      <c r="T304" s="22"/>
      <c r="U304" s="22"/>
    </row>
    <row r="305" spans="1:21" x14ac:dyDescent="0.55000000000000004">
      <c r="A305" s="41" t="str">
        <f>'Population Definitions'!$A$11</f>
        <v>PLHIV HCW</v>
      </c>
      <c r="B305" s="41" t="s">
        <v>10</v>
      </c>
      <c r="C305" s="12">
        <f t="shared" si="21"/>
        <v>0.37</v>
      </c>
      <c r="D305" s="41" t="s">
        <v>16</v>
      </c>
      <c r="E305" s="47"/>
      <c r="F305" s="22"/>
      <c r="G305" s="22"/>
      <c r="H305" s="22"/>
      <c r="I305" s="22"/>
      <c r="J305" s="22"/>
      <c r="K305" s="22"/>
      <c r="L305" s="22"/>
      <c r="M305" s="22"/>
      <c r="N305" s="22"/>
      <c r="O305" s="22"/>
      <c r="P305" s="22"/>
      <c r="Q305" s="22"/>
      <c r="R305" s="22"/>
      <c r="S305" s="22"/>
      <c r="T305" s="22"/>
      <c r="U305" s="22"/>
    </row>
    <row r="306" spans="1:21" x14ac:dyDescent="0.55000000000000004">
      <c r="A306" s="41" t="str">
        <f>'Population Definitions'!$A$12</f>
        <v>Miners</v>
      </c>
      <c r="B306" s="41" t="s">
        <v>10</v>
      </c>
      <c r="C306" s="12" t="str">
        <f t="shared" si="21"/>
        <v>N.A.</v>
      </c>
      <c r="D306" s="41" t="s">
        <v>16</v>
      </c>
      <c r="E306" s="47"/>
      <c r="F306" s="22"/>
      <c r="G306" s="22"/>
      <c r="H306" s="22"/>
      <c r="I306" s="22"/>
      <c r="J306" s="22"/>
      <c r="K306" s="22"/>
      <c r="L306" s="22"/>
      <c r="M306" s="22"/>
      <c r="N306" s="22"/>
      <c r="O306" s="22"/>
      <c r="P306" s="22"/>
      <c r="Q306" s="22"/>
      <c r="R306" s="22"/>
      <c r="S306" s="22"/>
      <c r="T306" s="22">
        <v>0.75</v>
      </c>
      <c r="U306" s="22"/>
    </row>
    <row r="307" spans="1:21" x14ac:dyDescent="0.55000000000000004">
      <c r="A307" s="41" t="str">
        <f>'Population Definitions'!$A$13</f>
        <v>PLHIV Miners</v>
      </c>
      <c r="B307" s="41" t="s">
        <v>10</v>
      </c>
      <c r="C307" s="12" t="str">
        <f t="shared" si="21"/>
        <v>N.A.</v>
      </c>
      <c r="D307" s="41" t="s">
        <v>16</v>
      </c>
      <c r="E307" s="47"/>
      <c r="F307" s="22"/>
      <c r="G307" s="22"/>
      <c r="H307" s="22"/>
      <c r="I307" s="22"/>
      <c r="J307" s="22"/>
      <c r="K307" s="22"/>
      <c r="L307" s="22"/>
      <c r="M307" s="22"/>
      <c r="N307" s="22"/>
      <c r="O307" s="22"/>
      <c r="P307" s="22"/>
      <c r="Q307" s="22"/>
      <c r="R307" s="22"/>
      <c r="S307" s="22"/>
      <c r="T307" s="22">
        <v>0.75</v>
      </c>
      <c r="U307" s="22"/>
    </row>
    <row r="308" spans="1:21" x14ac:dyDescent="0.55000000000000004">
      <c r="A308" s="37"/>
      <c r="B308" s="37"/>
      <c r="C308" s="37"/>
      <c r="D308" s="37"/>
      <c r="E308" s="37"/>
      <c r="F308" s="37"/>
      <c r="G308" s="37"/>
      <c r="H308" s="37"/>
      <c r="I308" s="37"/>
      <c r="J308" s="37"/>
      <c r="K308" s="37"/>
      <c r="L308" s="37"/>
      <c r="M308" s="37"/>
      <c r="N308" s="37"/>
      <c r="O308" s="37"/>
      <c r="P308" s="37"/>
      <c r="Q308" s="37"/>
      <c r="R308" s="37"/>
      <c r="S308" s="37"/>
      <c r="T308" s="37"/>
      <c r="U308" s="37"/>
    </row>
    <row r="309" spans="1:21" x14ac:dyDescent="0.55000000000000004">
      <c r="A309" s="21" t="s">
        <v>111</v>
      </c>
      <c r="B309" s="41" t="s">
        <v>8</v>
      </c>
      <c r="C309" s="41" t="s">
        <v>9</v>
      </c>
      <c r="D309" s="41"/>
      <c r="E309" s="41">
        <v>2000</v>
      </c>
      <c r="F309" s="41">
        <v>2001</v>
      </c>
      <c r="G309" s="41">
        <v>2002</v>
      </c>
      <c r="H309" s="41">
        <v>2003</v>
      </c>
      <c r="I309" s="41">
        <v>2004</v>
      </c>
      <c r="J309" s="41">
        <v>2005</v>
      </c>
      <c r="K309" s="41">
        <v>2006</v>
      </c>
      <c r="L309" s="41">
        <v>2007</v>
      </c>
      <c r="M309" s="41">
        <v>2008</v>
      </c>
      <c r="N309" s="41">
        <v>2009</v>
      </c>
      <c r="O309" s="41">
        <v>2010</v>
      </c>
      <c r="P309" s="41">
        <v>2011</v>
      </c>
      <c r="Q309" s="41">
        <v>2012</v>
      </c>
      <c r="R309" s="41">
        <v>2013</v>
      </c>
      <c r="S309" s="41">
        <v>2014</v>
      </c>
      <c r="T309" s="41">
        <v>2015</v>
      </c>
      <c r="U309" s="41">
        <v>2016</v>
      </c>
    </row>
    <row r="310" spans="1:21" x14ac:dyDescent="0.55000000000000004">
      <c r="A310" s="41" t="str">
        <f>'Population Definitions'!$A$2</f>
        <v>Gen 0-4</v>
      </c>
      <c r="B310" s="41" t="s">
        <v>10</v>
      </c>
      <c r="C310" s="12">
        <f t="shared" ref="C310:C321" si="22">IF(SUMPRODUCT(--(E310:U310&lt;&gt;""))=0,0.44,"N.A.")</f>
        <v>0.44</v>
      </c>
      <c r="D310" s="41" t="s">
        <v>16</v>
      </c>
      <c r="E310" s="47"/>
      <c r="F310" s="22"/>
      <c r="G310" s="22"/>
      <c r="H310" s="22"/>
      <c r="I310" s="22"/>
      <c r="J310" s="22"/>
      <c r="K310" s="22"/>
      <c r="L310" s="22"/>
      <c r="M310" s="22"/>
      <c r="N310" s="22"/>
      <c r="O310" s="22"/>
      <c r="P310" s="22"/>
      <c r="Q310" s="22"/>
      <c r="R310" s="22"/>
      <c r="S310" s="22"/>
      <c r="T310" s="22"/>
      <c r="U310" s="22"/>
    </row>
    <row r="311" spans="1:21" x14ac:dyDescent="0.55000000000000004">
      <c r="A311" s="41" t="str">
        <f>'Population Definitions'!$A$3</f>
        <v>Gen 5-14</v>
      </c>
      <c r="B311" s="41" t="s">
        <v>10</v>
      </c>
      <c r="C311" s="12">
        <f t="shared" si="22"/>
        <v>0.44</v>
      </c>
      <c r="D311" s="41" t="s">
        <v>16</v>
      </c>
      <c r="E311" s="47"/>
      <c r="F311" s="22"/>
      <c r="G311" s="22"/>
      <c r="H311" s="22"/>
      <c r="I311" s="22"/>
      <c r="J311" s="22"/>
      <c r="K311" s="22"/>
      <c r="L311" s="22"/>
      <c r="M311" s="22"/>
      <c r="N311" s="22"/>
      <c r="O311" s="22"/>
      <c r="P311" s="22"/>
      <c r="Q311" s="22"/>
      <c r="R311" s="22"/>
      <c r="S311" s="22"/>
      <c r="T311" s="22"/>
      <c r="U311" s="22"/>
    </row>
    <row r="312" spans="1:21" x14ac:dyDescent="0.55000000000000004">
      <c r="A312" s="41" t="str">
        <f>'Population Definitions'!$A$4</f>
        <v>Gen 15-64</v>
      </c>
      <c r="B312" s="41" t="s">
        <v>10</v>
      </c>
      <c r="C312" s="12" t="str">
        <f t="shared" si="22"/>
        <v>N.A.</v>
      </c>
      <c r="D312" s="41" t="s">
        <v>16</v>
      </c>
      <c r="E312" s="47"/>
      <c r="F312" s="22"/>
      <c r="G312" s="22"/>
      <c r="H312" s="22"/>
      <c r="I312" s="22"/>
      <c r="J312" s="22"/>
      <c r="K312" s="22"/>
      <c r="L312" s="22"/>
      <c r="M312" s="22"/>
      <c r="N312" s="22"/>
      <c r="O312" s="22">
        <v>0.79564495499999999</v>
      </c>
      <c r="P312" s="22">
        <v>0.79797633300000004</v>
      </c>
      <c r="Q312" s="22"/>
      <c r="R312" s="22"/>
      <c r="S312" s="22"/>
      <c r="T312" s="22"/>
      <c r="U312" s="22"/>
    </row>
    <row r="313" spans="1:21" x14ac:dyDescent="0.55000000000000004">
      <c r="A313" s="41" t="str">
        <f>'Population Definitions'!$A$5</f>
        <v>Gen 65+</v>
      </c>
      <c r="B313" s="41" t="s">
        <v>10</v>
      </c>
      <c r="C313" s="12" t="str">
        <f t="shared" si="22"/>
        <v>N.A.</v>
      </c>
      <c r="D313" s="41" t="s">
        <v>16</v>
      </c>
      <c r="E313" s="47"/>
      <c r="F313" s="22"/>
      <c r="G313" s="22"/>
      <c r="H313" s="22"/>
      <c r="I313" s="22"/>
      <c r="J313" s="22"/>
      <c r="K313" s="22"/>
      <c r="L313" s="22"/>
      <c r="M313" s="22"/>
      <c r="N313" s="22">
        <v>0.25816993500000002</v>
      </c>
      <c r="O313" s="22"/>
      <c r="P313" s="22"/>
      <c r="Q313" s="22"/>
      <c r="R313" s="22"/>
      <c r="S313" s="22"/>
      <c r="T313" s="22"/>
      <c r="U313" s="22"/>
    </row>
    <row r="314" spans="1:21" x14ac:dyDescent="0.55000000000000004">
      <c r="A314" s="41" t="str">
        <f>'Population Definitions'!$A$6</f>
        <v>PLHIV 15-64</v>
      </c>
      <c r="B314" s="41" t="s">
        <v>10</v>
      </c>
      <c r="C314" s="12" t="str">
        <f t="shared" si="22"/>
        <v>N.A.</v>
      </c>
      <c r="D314" s="41" t="s">
        <v>16</v>
      </c>
      <c r="E314" s="47"/>
      <c r="F314" s="22"/>
      <c r="G314" s="22"/>
      <c r="H314" s="22"/>
      <c r="I314" s="22"/>
      <c r="J314" s="22"/>
      <c r="K314" s="22"/>
      <c r="L314" s="22"/>
      <c r="M314" s="22"/>
      <c r="N314" s="22"/>
      <c r="O314" s="22"/>
      <c r="P314" s="22">
        <v>0.83095587000000004</v>
      </c>
      <c r="Q314" s="22"/>
      <c r="R314" s="22"/>
      <c r="S314" s="22"/>
      <c r="T314" s="22"/>
      <c r="U314" s="22"/>
    </row>
    <row r="315" spans="1:21" x14ac:dyDescent="0.55000000000000004">
      <c r="A315" s="41" t="str">
        <f>'Population Definitions'!$A$7</f>
        <v>PLHIV 65+</v>
      </c>
      <c r="B315" s="41" t="s">
        <v>10</v>
      </c>
      <c r="C315" s="12">
        <f t="shared" si="22"/>
        <v>0.44</v>
      </c>
      <c r="D315" s="41" t="s">
        <v>16</v>
      </c>
      <c r="E315" s="47"/>
      <c r="F315" s="22"/>
      <c r="G315" s="22"/>
      <c r="H315" s="22"/>
      <c r="I315" s="22"/>
      <c r="J315" s="22"/>
      <c r="K315" s="22"/>
      <c r="L315" s="22"/>
      <c r="M315" s="22"/>
      <c r="N315" s="22"/>
      <c r="O315" s="22"/>
      <c r="P315" s="22"/>
      <c r="Q315" s="22"/>
      <c r="R315" s="22"/>
      <c r="S315" s="22"/>
      <c r="T315" s="22"/>
      <c r="U315" s="22"/>
    </row>
    <row r="316" spans="1:21" x14ac:dyDescent="0.55000000000000004">
      <c r="A316" s="41" t="str">
        <f>'Population Definitions'!$A$8</f>
        <v>Prisoners</v>
      </c>
      <c r="B316" s="41" t="s">
        <v>10</v>
      </c>
      <c r="C316" s="12">
        <f t="shared" si="22"/>
        <v>0.44</v>
      </c>
      <c r="D316" s="41" t="s">
        <v>16</v>
      </c>
      <c r="E316" s="47"/>
      <c r="F316" s="22"/>
      <c r="G316" s="22"/>
      <c r="H316" s="22"/>
      <c r="I316" s="22"/>
      <c r="J316" s="22"/>
      <c r="K316" s="22"/>
      <c r="L316" s="22"/>
      <c r="M316" s="22"/>
      <c r="N316" s="22"/>
      <c r="O316" s="22"/>
      <c r="P316" s="22"/>
      <c r="Q316" s="22"/>
      <c r="R316" s="22"/>
      <c r="S316" s="22"/>
      <c r="T316" s="22"/>
      <c r="U316" s="22"/>
    </row>
    <row r="317" spans="1:21" x14ac:dyDescent="0.55000000000000004">
      <c r="A317" s="41" t="str">
        <f>'Population Definitions'!$A$9</f>
        <v>PLHIV Prisoners</v>
      </c>
      <c r="B317" s="41" t="s">
        <v>10</v>
      </c>
      <c r="C317" s="12">
        <f t="shared" si="22"/>
        <v>0.44</v>
      </c>
      <c r="D317" s="41" t="s">
        <v>16</v>
      </c>
      <c r="E317" s="47"/>
      <c r="F317" s="22"/>
      <c r="G317" s="22"/>
      <c r="H317" s="22"/>
      <c r="I317" s="22"/>
      <c r="J317" s="22"/>
      <c r="K317" s="22"/>
      <c r="L317" s="22"/>
      <c r="M317" s="22"/>
      <c r="N317" s="22"/>
      <c r="O317" s="22"/>
      <c r="P317" s="22"/>
      <c r="Q317" s="22"/>
      <c r="R317" s="22"/>
      <c r="S317" s="22"/>
      <c r="T317" s="22"/>
      <c r="U317" s="22"/>
    </row>
    <row r="318" spans="1:21" x14ac:dyDescent="0.55000000000000004">
      <c r="A318" s="41" t="str">
        <f>'Population Definitions'!$A$10</f>
        <v>HCW</v>
      </c>
      <c r="B318" s="41" t="s">
        <v>10</v>
      </c>
      <c r="C318" s="12">
        <f t="shared" si="22"/>
        <v>0.44</v>
      </c>
      <c r="D318" s="41" t="s">
        <v>16</v>
      </c>
      <c r="E318" s="47"/>
      <c r="F318" s="22"/>
      <c r="G318" s="22"/>
      <c r="H318" s="22"/>
      <c r="I318" s="22"/>
      <c r="J318" s="22"/>
      <c r="K318" s="22"/>
      <c r="L318" s="22"/>
      <c r="M318" s="22"/>
      <c r="N318" s="22"/>
      <c r="O318" s="22"/>
      <c r="P318" s="22"/>
      <c r="Q318" s="22"/>
      <c r="R318" s="22"/>
      <c r="S318" s="22"/>
      <c r="T318" s="22"/>
      <c r="U318" s="22"/>
    </row>
    <row r="319" spans="1:21" x14ac:dyDescent="0.55000000000000004">
      <c r="A319" s="41" t="str">
        <f>'Population Definitions'!$A$11</f>
        <v>PLHIV HCW</v>
      </c>
      <c r="B319" s="41" t="s">
        <v>10</v>
      </c>
      <c r="C319" s="12">
        <f t="shared" si="22"/>
        <v>0.44</v>
      </c>
      <c r="D319" s="41" t="s">
        <v>16</v>
      </c>
      <c r="E319" s="47"/>
      <c r="F319" s="22"/>
      <c r="G319" s="22"/>
      <c r="H319" s="22"/>
      <c r="I319" s="22"/>
      <c r="J319" s="22"/>
      <c r="K319" s="22"/>
      <c r="L319" s="22"/>
      <c r="M319" s="22"/>
      <c r="N319" s="22"/>
      <c r="O319" s="22"/>
      <c r="P319" s="22"/>
      <c r="Q319" s="22"/>
      <c r="R319" s="22"/>
      <c r="S319" s="22"/>
      <c r="T319" s="22"/>
      <c r="U319" s="22"/>
    </row>
    <row r="320" spans="1:21" x14ac:dyDescent="0.55000000000000004">
      <c r="A320" s="41" t="str">
        <f>'Population Definitions'!$A$12</f>
        <v>Miners</v>
      </c>
      <c r="B320" s="41" t="s">
        <v>10</v>
      </c>
      <c r="C320" s="12">
        <f t="shared" si="22"/>
        <v>0.44</v>
      </c>
      <c r="D320" s="41" t="s">
        <v>16</v>
      </c>
      <c r="E320" s="47"/>
      <c r="F320" s="22"/>
      <c r="G320" s="22"/>
      <c r="H320" s="22"/>
      <c r="I320" s="22"/>
      <c r="J320" s="22"/>
      <c r="K320" s="22"/>
      <c r="L320" s="22"/>
      <c r="M320" s="22"/>
      <c r="N320" s="22"/>
      <c r="O320" s="22"/>
      <c r="P320" s="22"/>
      <c r="Q320" s="22"/>
      <c r="R320" s="22"/>
      <c r="S320" s="22"/>
      <c r="T320" s="22"/>
      <c r="U320" s="22"/>
    </row>
    <row r="321" spans="1:21" x14ac:dyDescent="0.55000000000000004">
      <c r="A321" s="41" t="str">
        <f>'Population Definitions'!$A$13</f>
        <v>PLHIV Miners</v>
      </c>
      <c r="B321" s="41" t="s">
        <v>10</v>
      </c>
      <c r="C321" s="12">
        <f t="shared" si="22"/>
        <v>0.44</v>
      </c>
      <c r="D321" s="41" t="s">
        <v>16</v>
      </c>
      <c r="E321" s="47"/>
      <c r="F321" s="22"/>
      <c r="G321" s="22"/>
      <c r="H321" s="22"/>
      <c r="I321" s="22"/>
      <c r="J321" s="22"/>
      <c r="K321" s="22"/>
      <c r="L321" s="22"/>
      <c r="M321" s="22"/>
      <c r="N321" s="22"/>
      <c r="O321" s="22"/>
      <c r="P321" s="22"/>
      <c r="Q321" s="22"/>
      <c r="R321" s="22"/>
      <c r="S321" s="22"/>
      <c r="T321" s="22"/>
      <c r="U321" s="22"/>
    </row>
    <row r="322" spans="1:21" x14ac:dyDescent="0.55000000000000004">
      <c r="A322" s="37"/>
      <c r="B322" s="37"/>
      <c r="C322" s="37"/>
      <c r="D322" s="37"/>
      <c r="E322" s="37"/>
      <c r="F322" s="37"/>
      <c r="G322" s="37"/>
      <c r="H322" s="37"/>
      <c r="I322" s="37"/>
      <c r="J322" s="37"/>
      <c r="K322" s="37"/>
      <c r="L322" s="37"/>
      <c r="M322" s="37"/>
      <c r="N322" s="37"/>
      <c r="O322" s="37"/>
      <c r="P322" s="37"/>
      <c r="Q322" s="37"/>
      <c r="R322" s="37"/>
      <c r="S322" s="37"/>
      <c r="T322" s="37"/>
      <c r="U322" s="37"/>
    </row>
    <row r="323" spans="1:21" x14ac:dyDescent="0.55000000000000004">
      <c r="A323" s="21" t="s">
        <v>112</v>
      </c>
      <c r="B323" s="41" t="s">
        <v>8</v>
      </c>
      <c r="C323" s="41" t="s">
        <v>9</v>
      </c>
      <c r="D323" s="41"/>
      <c r="E323" s="41">
        <v>2000</v>
      </c>
      <c r="F323" s="41">
        <v>2001</v>
      </c>
      <c r="G323" s="41">
        <v>2002</v>
      </c>
      <c r="H323" s="41">
        <v>2003</v>
      </c>
      <c r="I323" s="41">
        <v>2004</v>
      </c>
      <c r="J323" s="41">
        <v>2005</v>
      </c>
      <c r="K323" s="41">
        <v>2006</v>
      </c>
      <c r="L323" s="41">
        <v>2007</v>
      </c>
      <c r="M323" s="41">
        <v>2008</v>
      </c>
      <c r="N323" s="41">
        <v>2009</v>
      </c>
      <c r="O323" s="41">
        <v>2010</v>
      </c>
      <c r="P323" s="41">
        <v>2011</v>
      </c>
      <c r="Q323" s="41">
        <v>2012</v>
      </c>
      <c r="R323" s="41">
        <v>2013</v>
      </c>
      <c r="S323" s="41">
        <v>2014</v>
      </c>
      <c r="T323" s="41">
        <v>2015</v>
      </c>
      <c r="U323" s="41">
        <v>2016</v>
      </c>
    </row>
    <row r="324" spans="1:21" x14ac:dyDescent="0.55000000000000004">
      <c r="A324" s="41" t="str">
        <f>'Population Definitions'!$A$2</f>
        <v>Gen 0-4</v>
      </c>
      <c r="B324" s="41" t="s">
        <v>10</v>
      </c>
      <c r="C324" s="12">
        <f t="shared" ref="C324:C335" si="23">IF(SUMPRODUCT(--(E324:U324&lt;&gt;""))=0,0.28,"N.A.")</f>
        <v>0.28000000000000003</v>
      </c>
      <c r="D324" s="41" t="s">
        <v>16</v>
      </c>
      <c r="E324" s="47"/>
      <c r="F324" s="22"/>
      <c r="G324" s="22"/>
      <c r="H324" s="22"/>
      <c r="I324" s="22"/>
      <c r="J324" s="22"/>
      <c r="K324" s="22"/>
      <c r="L324" s="22"/>
      <c r="M324" s="22"/>
      <c r="N324" s="22"/>
      <c r="O324" s="22"/>
      <c r="P324" s="22"/>
      <c r="Q324" s="22"/>
      <c r="R324" s="22"/>
      <c r="S324" s="22"/>
      <c r="T324" s="22"/>
      <c r="U324" s="22"/>
    </row>
    <row r="325" spans="1:21" x14ac:dyDescent="0.55000000000000004">
      <c r="A325" s="41" t="str">
        <f>'Population Definitions'!$A$3</f>
        <v>Gen 5-14</v>
      </c>
      <c r="B325" s="41" t="s">
        <v>10</v>
      </c>
      <c r="C325" s="12">
        <f t="shared" si="23"/>
        <v>0.28000000000000003</v>
      </c>
      <c r="D325" s="41" t="s">
        <v>16</v>
      </c>
      <c r="E325" s="47"/>
      <c r="F325" s="22"/>
      <c r="G325" s="22"/>
      <c r="H325" s="22"/>
      <c r="I325" s="22"/>
      <c r="J325" s="22"/>
      <c r="K325" s="22"/>
      <c r="L325" s="22"/>
      <c r="M325" s="22"/>
      <c r="N325" s="22"/>
      <c r="O325" s="22"/>
      <c r="P325" s="22"/>
      <c r="Q325" s="22"/>
      <c r="R325" s="22"/>
      <c r="S325" s="22"/>
      <c r="T325" s="22"/>
      <c r="U325" s="22"/>
    </row>
    <row r="326" spans="1:21" x14ac:dyDescent="0.55000000000000004">
      <c r="A326" s="41" t="str">
        <f>'Population Definitions'!$A$4</f>
        <v>Gen 15-64</v>
      </c>
      <c r="B326" s="41" t="s">
        <v>10</v>
      </c>
      <c r="C326" s="12" t="str">
        <f t="shared" si="23"/>
        <v>N.A.</v>
      </c>
      <c r="D326" s="41" t="s">
        <v>16</v>
      </c>
      <c r="E326" s="47"/>
      <c r="F326" s="22"/>
      <c r="G326" s="22"/>
      <c r="H326" s="22"/>
      <c r="I326" s="22"/>
      <c r="J326" s="22"/>
      <c r="K326" s="22"/>
      <c r="L326" s="22"/>
      <c r="M326" s="22"/>
      <c r="N326" s="22"/>
      <c r="O326" s="22">
        <v>0.13574660633484162</v>
      </c>
      <c r="P326" s="22"/>
      <c r="Q326" s="22">
        <v>0.5714285714285714</v>
      </c>
      <c r="R326" s="22">
        <v>0.68</v>
      </c>
      <c r="S326" s="22">
        <v>0.62727272727272732</v>
      </c>
      <c r="T326" s="22"/>
      <c r="U326" s="22"/>
    </row>
    <row r="327" spans="1:21" x14ac:dyDescent="0.55000000000000004">
      <c r="A327" s="41" t="str">
        <f>'Population Definitions'!$A$5</f>
        <v>Gen 65+</v>
      </c>
      <c r="B327" s="41" t="s">
        <v>10</v>
      </c>
      <c r="C327" s="12" t="str">
        <f t="shared" si="23"/>
        <v>N.A.</v>
      </c>
      <c r="D327" s="41" t="s">
        <v>16</v>
      </c>
      <c r="E327" s="47"/>
      <c r="F327" s="22"/>
      <c r="G327" s="22"/>
      <c r="H327" s="22"/>
      <c r="I327" s="22"/>
      <c r="J327" s="22"/>
      <c r="K327" s="22"/>
      <c r="L327" s="22"/>
      <c r="M327" s="22"/>
      <c r="N327" s="22">
        <v>0</v>
      </c>
      <c r="O327" s="22"/>
      <c r="P327" s="22"/>
      <c r="Q327" s="22"/>
      <c r="R327" s="22"/>
      <c r="S327" s="22"/>
      <c r="T327" s="22"/>
      <c r="U327" s="22"/>
    </row>
    <row r="328" spans="1:21" x14ac:dyDescent="0.55000000000000004">
      <c r="A328" s="41" t="str">
        <f>'Population Definitions'!$A$6</f>
        <v>PLHIV 15-64</v>
      </c>
      <c r="B328" s="41" t="s">
        <v>10</v>
      </c>
      <c r="C328" s="12" t="str">
        <f t="shared" si="23"/>
        <v>N.A.</v>
      </c>
      <c r="D328" s="41" t="s">
        <v>16</v>
      </c>
      <c r="E328" s="47"/>
      <c r="F328" s="22"/>
      <c r="G328" s="22"/>
      <c r="H328" s="22"/>
      <c r="I328" s="22"/>
      <c r="J328" s="22"/>
      <c r="K328" s="22"/>
      <c r="L328" s="22"/>
      <c r="M328" s="22"/>
      <c r="N328" s="22"/>
      <c r="O328" s="22"/>
      <c r="P328" s="22">
        <v>0.33333333333333331</v>
      </c>
      <c r="Q328" s="22"/>
      <c r="R328" s="22">
        <v>0.39130434782608697</v>
      </c>
      <c r="S328" s="22">
        <v>0.41417910447761191</v>
      </c>
      <c r="T328" s="22"/>
      <c r="U328" s="22"/>
    </row>
    <row r="329" spans="1:21" x14ac:dyDescent="0.55000000000000004">
      <c r="A329" s="41" t="str">
        <f>'Population Definitions'!$A$7</f>
        <v>PLHIV 65+</v>
      </c>
      <c r="B329" s="41" t="s">
        <v>10</v>
      </c>
      <c r="C329" s="12">
        <f t="shared" si="23"/>
        <v>0.28000000000000003</v>
      </c>
      <c r="D329" s="41" t="s">
        <v>16</v>
      </c>
      <c r="E329" s="47"/>
      <c r="F329" s="22"/>
      <c r="G329" s="22"/>
      <c r="H329" s="22"/>
      <c r="I329" s="22"/>
      <c r="J329" s="22"/>
      <c r="K329" s="22"/>
      <c r="L329" s="22"/>
      <c r="M329" s="22"/>
      <c r="N329" s="22"/>
      <c r="O329" s="22"/>
      <c r="P329" s="22"/>
      <c r="Q329" s="22"/>
      <c r="R329" s="22"/>
      <c r="S329" s="22"/>
      <c r="T329" s="22"/>
      <c r="U329" s="22"/>
    </row>
    <row r="330" spans="1:21" x14ac:dyDescent="0.55000000000000004">
      <c r="A330" s="41" t="str">
        <f>'Population Definitions'!$A$8</f>
        <v>Prisoners</v>
      </c>
      <c r="B330" s="41" t="s">
        <v>10</v>
      </c>
      <c r="C330" s="12">
        <f t="shared" si="23"/>
        <v>0.28000000000000003</v>
      </c>
      <c r="D330" s="41" t="s">
        <v>16</v>
      </c>
      <c r="E330" s="47"/>
      <c r="F330" s="22"/>
      <c r="G330" s="22"/>
      <c r="H330" s="22"/>
      <c r="I330" s="22"/>
      <c r="J330" s="22"/>
      <c r="K330" s="22"/>
      <c r="L330" s="22"/>
      <c r="M330" s="22"/>
      <c r="N330" s="22"/>
      <c r="O330" s="22"/>
      <c r="P330" s="22"/>
      <c r="Q330" s="22"/>
      <c r="R330" s="22"/>
      <c r="S330" s="22"/>
      <c r="T330" s="22"/>
      <c r="U330" s="22"/>
    </row>
    <row r="331" spans="1:21" x14ac:dyDescent="0.55000000000000004">
      <c r="A331" s="41" t="str">
        <f>'Population Definitions'!$A$9</f>
        <v>PLHIV Prisoners</v>
      </c>
      <c r="B331" s="41" t="s">
        <v>10</v>
      </c>
      <c r="C331" s="12">
        <f t="shared" si="23"/>
        <v>0.28000000000000003</v>
      </c>
      <c r="D331" s="41" t="s">
        <v>16</v>
      </c>
      <c r="E331" s="47"/>
      <c r="F331" s="22"/>
      <c r="G331" s="22"/>
      <c r="H331" s="22"/>
      <c r="I331" s="22"/>
      <c r="J331" s="22"/>
      <c r="K331" s="22"/>
      <c r="L331" s="22"/>
      <c r="M331" s="22"/>
      <c r="N331" s="22"/>
      <c r="O331" s="22"/>
      <c r="P331" s="22"/>
      <c r="Q331" s="22"/>
      <c r="R331" s="22"/>
      <c r="S331" s="22"/>
      <c r="T331" s="22"/>
      <c r="U331" s="22"/>
    </row>
    <row r="332" spans="1:21" x14ac:dyDescent="0.55000000000000004">
      <c r="A332" s="41" t="str">
        <f>'Population Definitions'!$A$10</f>
        <v>HCW</v>
      </c>
      <c r="B332" s="41" t="s">
        <v>10</v>
      </c>
      <c r="C332" s="12">
        <f t="shared" si="23"/>
        <v>0.28000000000000003</v>
      </c>
      <c r="D332" s="41" t="s">
        <v>16</v>
      </c>
      <c r="E332" s="47"/>
      <c r="F332" s="22"/>
      <c r="G332" s="22"/>
      <c r="H332" s="22"/>
      <c r="I332" s="22"/>
      <c r="J332" s="22"/>
      <c r="K332" s="22"/>
      <c r="L332" s="22"/>
      <c r="M332" s="22"/>
      <c r="N332" s="22"/>
      <c r="O332" s="22"/>
      <c r="P332" s="22"/>
      <c r="Q332" s="22"/>
      <c r="R332" s="22"/>
      <c r="S332" s="22"/>
      <c r="T332" s="22"/>
      <c r="U332" s="22"/>
    </row>
    <row r="333" spans="1:21" x14ac:dyDescent="0.55000000000000004">
      <c r="A333" s="41" t="str">
        <f>'Population Definitions'!$A$11</f>
        <v>PLHIV HCW</v>
      </c>
      <c r="B333" s="41" t="s">
        <v>10</v>
      </c>
      <c r="C333" s="12">
        <f t="shared" si="23"/>
        <v>0.28000000000000003</v>
      </c>
      <c r="D333" s="41" t="s">
        <v>16</v>
      </c>
      <c r="E333" s="47"/>
      <c r="F333" s="22"/>
      <c r="G333" s="22"/>
      <c r="H333" s="22"/>
      <c r="I333" s="22"/>
      <c r="J333" s="22"/>
      <c r="K333" s="22"/>
      <c r="L333" s="22"/>
      <c r="M333" s="22"/>
      <c r="N333" s="22"/>
      <c r="O333" s="22"/>
      <c r="P333" s="22"/>
      <c r="Q333" s="22"/>
      <c r="R333" s="22"/>
      <c r="S333" s="22"/>
      <c r="T333" s="22"/>
      <c r="U333" s="22"/>
    </row>
    <row r="334" spans="1:21" x14ac:dyDescent="0.55000000000000004">
      <c r="A334" s="41" t="str">
        <f>'Population Definitions'!$A$12</f>
        <v>Miners</v>
      </c>
      <c r="B334" s="41" t="s">
        <v>10</v>
      </c>
      <c r="C334" s="12">
        <f t="shared" si="23"/>
        <v>0.28000000000000003</v>
      </c>
      <c r="D334" s="41" t="s">
        <v>16</v>
      </c>
      <c r="E334" s="47"/>
      <c r="F334" s="22"/>
      <c r="G334" s="22"/>
      <c r="H334" s="22"/>
      <c r="I334" s="22"/>
      <c r="J334" s="22"/>
      <c r="K334" s="22"/>
      <c r="L334" s="22"/>
      <c r="M334" s="22"/>
      <c r="N334" s="22"/>
      <c r="O334" s="22"/>
      <c r="P334" s="22"/>
      <c r="Q334" s="22"/>
      <c r="R334" s="22"/>
      <c r="S334" s="22"/>
      <c r="T334" s="22"/>
      <c r="U334" s="22"/>
    </row>
    <row r="335" spans="1:21" x14ac:dyDescent="0.55000000000000004">
      <c r="A335" s="41" t="str">
        <f>'Population Definitions'!$A$13</f>
        <v>PLHIV Miners</v>
      </c>
      <c r="B335" s="41" t="s">
        <v>10</v>
      </c>
      <c r="C335" s="12">
        <f t="shared" si="23"/>
        <v>0.28000000000000003</v>
      </c>
      <c r="D335" s="41" t="s">
        <v>16</v>
      </c>
      <c r="E335" s="47"/>
      <c r="F335" s="22"/>
      <c r="G335" s="22"/>
      <c r="H335" s="22"/>
      <c r="I335" s="22"/>
      <c r="J335" s="22"/>
      <c r="K335" s="22"/>
      <c r="L335" s="22"/>
      <c r="M335" s="22"/>
      <c r="N335" s="22"/>
      <c r="O335" s="22"/>
      <c r="P335" s="22"/>
      <c r="Q335" s="22"/>
      <c r="R335" s="22"/>
      <c r="S335" s="22"/>
      <c r="T335" s="22"/>
      <c r="U335" s="22"/>
    </row>
    <row r="336" spans="1:21" x14ac:dyDescent="0.55000000000000004">
      <c r="A336" s="37"/>
      <c r="B336" s="37"/>
      <c r="C336" s="37"/>
      <c r="D336" s="37"/>
      <c r="E336" s="37"/>
      <c r="F336" s="37"/>
      <c r="G336" s="37"/>
      <c r="H336" s="37"/>
      <c r="I336" s="37"/>
      <c r="J336" s="37"/>
      <c r="K336" s="37"/>
      <c r="L336" s="37"/>
      <c r="M336" s="37"/>
      <c r="N336" s="37"/>
      <c r="O336" s="37"/>
      <c r="P336" s="37"/>
      <c r="Q336" s="37"/>
      <c r="R336" s="37"/>
      <c r="S336" s="37"/>
      <c r="T336" s="37"/>
      <c r="U336" s="37"/>
    </row>
  </sheetData>
  <dataValidations count="1">
    <dataValidation type="list" showInputMessage="1" showErrorMessage="1" sqref="B324:B335 B310:B321 B296:B307 B282:B293 B268:B279 B254:B265 B240:B251 B226:B237 B212:B223 B198:B209 B184:B195 B170:B181 B156:B167 B142:B153 B128:B139 B114:B125 B100:B111 B86:B97 B72:B83 B58:B69 B44:B55 B30:B41 B16:B27 B2:B13">
      <formula1>"Fraction,Number"</formula1>
    </dataValidation>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9"/>
  <sheetViews>
    <sheetView workbookViewId="0">
      <selection activeCell="A152" sqref="A152"/>
    </sheetView>
  </sheetViews>
  <sheetFormatPr defaultColWidth="8.83984375" defaultRowHeight="14.4" x14ac:dyDescent="0.55000000000000004"/>
  <cols>
    <col min="1" max="1" width="60.68359375" style="37" customWidth="1"/>
    <col min="2" max="3" width="10.68359375" style="37" customWidth="1"/>
    <col min="4" max="16384" width="8.83984375" style="37"/>
  </cols>
  <sheetData>
    <row r="1" spans="1:21" x14ac:dyDescent="0.55000000000000004">
      <c r="A1" s="21" t="s">
        <v>25</v>
      </c>
      <c r="B1" s="41" t="s">
        <v>8</v>
      </c>
      <c r="C1" s="41" t="s">
        <v>9</v>
      </c>
      <c r="D1" s="41"/>
      <c r="E1" s="41">
        <v>2000</v>
      </c>
      <c r="F1" s="41">
        <v>2001</v>
      </c>
      <c r="G1" s="41">
        <v>2002</v>
      </c>
      <c r="H1" s="41">
        <v>2003</v>
      </c>
      <c r="I1" s="41">
        <v>2004</v>
      </c>
      <c r="J1" s="41">
        <v>2005</v>
      </c>
      <c r="K1" s="41">
        <v>2006</v>
      </c>
      <c r="L1" s="41">
        <v>2007</v>
      </c>
      <c r="M1" s="41">
        <v>2008</v>
      </c>
      <c r="N1" s="41">
        <v>2009</v>
      </c>
      <c r="O1" s="41">
        <v>2010</v>
      </c>
      <c r="P1" s="41">
        <v>2011</v>
      </c>
      <c r="Q1" s="41">
        <v>2012</v>
      </c>
      <c r="R1" s="41">
        <v>2013</v>
      </c>
      <c r="S1" s="41">
        <v>2014</v>
      </c>
      <c r="T1" s="41">
        <v>2015</v>
      </c>
      <c r="U1" s="41">
        <v>2016</v>
      </c>
    </row>
    <row r="2" spans="1:21" x14ac:dyDescent="0.55000000000000004">
      <c r="A2" s="41" t="str">
        <f>'Population Definitions'!$A$2</f>
        <v>Gen 0-4</v>
      </c>
      <c r="B2" s="41" t="s">
        <v>10</v>
      </c>
      <c r="C2" s="4">
        <f t="shared" ref="C2:C12" si="0">IF(SUMPRODUCT(--(E2:U2&lt;&gt;""))=0,0.03,"N.A.")</f>
        <v>0.03</v>
      </c>
      <c r="D2" s="41" t="s">
        <v>16</v>
      </c>
      <c r="E2" s="23"/>
      <c r="F2" s="22"/>
      <c r="G2" s="22"/>
      <c r="H2" s="22"/>
      <c r="I2" s="22"/>
      <c r="J2" s="22"/>
      <c r="K2" s="22"/>
      <c r="L2" s="22"/>
      <c r="M2" s="22"/>
      <c r="N2" s="22"/>
      <c r="O2" s="22"/>
      <c r="P2" s="22"/>
      <c r="Q2" s="22"/>
      <c r="R2" s="22"/>
      <c r="S2" s="22"/>
      <c r="T2" s="22"/>
      <c r="U2" s="22"/>
    </row>
    <row r="3" spans="1:21" x14ac:dyDescent="0.55000000000000004">
      <c r="A3" s="41" t="str">
        <f>'Population Definitions'!$A$3</f>
        <v>Gen 5-14</v>
      </c>
      <c r="B3" s="41" t="s">
        <v>10</v>
      </c>
      <c r="C3" s="4">
        <f t="shared" si="0"/>
        <v>0.03</v>
      </c>
      <c r="D3" s="41" t="s">
        <v>16</v>
      </c>
      <c r="E3" s="23"/>
      <c r="F3" s="22"/>
      <c r="G3" s="22"/>
      <c r="H3" s="22"/>
      <c r="I3" s="22"/>
      <c r="J3" s="22"/>
      <c r="K3" s="22"/>
      <c r="L3" s="22"/>
      <c r="M3" s="22"/>
      <c r="N3" s="22"/>
      <c r="O3" s="22"/>
      <c r="P3" s="22"/>
      <c r="Q3" s="22"/>
      <c r="R3" s="22"/>
      <c r="S3" s="22"/>
      <c r="T3" s="22"/>
      <c r="U3" s="22"/>
    </row>
    <row r="4" spans="1:21" x14ac:dyDescent="0.55000000000000004">
      <c r="A4" s="41" t="str">
        <f>'Population Definitions'!$A$4</f>
        <v>Gen 15-64</v>
      </c>
      <c r="B4" s="41" t="s">
        <v>10</v>
      </c>
      <c r="C4" s="4">
        <f t="shared" si="0"/>
        <v>0.03</v>
      </c>
      <c r="D4" s="41" t="s">
        <v>16</v>
      </c>
      <c r="E4" s="23"/>
      <c r="F4" s="22"/>
      <c r="G4" s="22"/>
      <c r="H4" s="22"/>
      <c r="I4" s="22"/>
      <c r="J4" s="22"/>
      <c r="K4" s="22"/>
      <c r="L4" s="22"/>
      <c r="M4" s="22"/>
      <c r="N4" s="22"/>
      <c r="O4" s="22"/>
      <c r="P4" s="22"/>
      <c r="Q4" s="22"/>
      <c r="R4" s="22"/>
      <c r="S4" s="22"/>
      <c r="T4" s="22"/>
      <c r="U4" s="22"/>
    </row>
    <row r="5" spans="1:21" x14ac:dyDescent="0.55000000000000004">
      <c r="A5" s="41" t="str">
        <f>'Population Definitions'!$A$5</f>
        <v>Gen 65+</v>
      </c>
      <c r="B5" s="41" t="s">
        <v>10</v>
      </c>
      <c r="C5" s="4">
        <f t="shared" si="0"/>
        <v>0.03</v>
      </c>
      <c r="D5" s="41" t="s">
        <v>16</v>
      </c>
      <c r="E5" s="23"/>
      <c r="F5" s="22"/>
      <c r="G5" s="22"/>
      <c r="H5" s="22"/>
      <c r="I5" s="22"/>
      <c r="J5" s="22"/>
      <c r="K5" s="22"/>
      <c r="L5" s="22"/>
      <c r="M5" s="22"/>
      <c r="N5" s="22"/>
      <c r="O5" s="22"/>
      <c r="P5" s="22"/>
      <c r="Q5" s="22"/>
      <c r="R5" s="22"/>
      <c r="S5" s="22"/>
      <c r="T5" s="22"/>
      <c r="U5" s="22"/>
    </row>
    <row r="6" spans="1:21" x14ac:dyDescent="0.55000000000000004">
      <c r="A6" s="41" t="str">
        <f>'Population Definitions'!$A$6</f>
        <v>PLHIV 15-64</v>
      </c>
      <c r="B6" s="41" t="s">
        <v>10</v>
      </c>
      <c r="C6" s="4" t="str">
        <f>IF(SUMPRODUCT(--(E6:U6&lt;&gt;""))=0,0,"N.A.")</f>
        <v>N.A.</v>
      </c>
      <c r="D6" s="41" t="s">
        <v>16</v>
      </c>
      <c r="E6" s="24">
        <v>0</v>
      </c>
      <c r="F6" s="22"/>
      <c r="G6" s="22"/>
      <c r="H6" s="22"/>
      <c r="I6" s="22"/>
      <c r="J6" s="22"/>
      <c r="K6" s="22"/>
      <c r="L6" s="22"/>
      <c r="M6" s="22"/>
      <c r="N6" s="22"/>
      <c r="O6" s="22"/>
      <c r="P6" s="22"/>
      <c r="Q6" s="22"/>
      <c r="R6" s="22"/>
      <c r="S6" s="22"/>
      <c r="T6" s="22"/>
      <c r="U6" s="22"/>
    </row>
    <row r="7" spans="1:21" x14ac:dyDescent="0.55000000000000004">
      <c r="A7" s="41" t="str">
        <f>'Population Definitions'!$A$7</f>
        <v>PLHIV 65+</v>
      </c>
      <c r="B7" s="41" t="s">
        <v>10</v>
      </c>
      <c r="C7" s="4" t="str">
        <f>IF(SUMPRODUCT(--(E7:U7&lt;&gt;""))=0,0,"N.A.")</f>
        <v>N.A.</v>
      </c>
      <c r="D7" s="41" t="s">
        <v>16</v>
      </c>
      <c r="E7" s="24">
        <v>0</v>
      </c>
      <c r="F7" s="22"/>
      <c r="G7" s="22"/>
      <c r="H7" s="22"/>
      <c r="I7" s="22"/>
      <c r="J7" s="22"/>
      <c r="K7" s="22"/>
      <c r="L7" s="22"/>
      <c r="M7" s="22"/>
      <c r="N7" s="22"/>
      <c r="O7" s="22"/>
      <c r="P7" s="22"/>
      <c r="Q7" s="22"/>
      <c r="R7" s="22"/>
      <c r="S7" s="22"/>
      <c r="T7" s="22"/>
      <c r="U7" s="22"/>
    </row>
    <row r="8" spans="1:21" x14ac:dyDescent="0.55000000000000004">
      <c r="A8" s="41" t="str">
        <f>'Population Definitions'!$A$8</f>
        <v>Prisoners</v>
      </c>
      <c r="B8" s="41" t="s">
        <v>10</v>
      </c>
      <c r="C8" s="4">
        <f t="shared" si="0"/>
        <v>0.03</v>
      </c>
      <c r="D8" s="41" t="s">
        <v>16</v>
      </c>
      <c r="E8" s="24"/>
      <c r="F8" s="22"/>
      <c r="G8" s="22"/>
      <c r="H8" s="22"/>
      <c r="I8" s="22"/>
      <c r="J8" s="22"/>
      <c r="K8" s="22"/>
      <c r="L8" s="22"/>
      <c r="M8" s="22"/>
      <c r="N8" s="22"/>
      <c r="O8" s="22"/>
      <c r="P8" s="22"/>
      <c r="Q8" s="22"/>
      <c r="R8" s="22"/>
      <c r="S8" s="22"/>
      <c r="T8" s="22"/>
      <c r="U8" s="22"/>
    </row>
    <row r="9" spans="1:21" x14ac:dyDescent="0.55000000000000004">
      <c r="A9" s="41" t="str">
        <f>'Population Definitions'!$A$9</f>
        <v>PLHIV Prisoners</v>
      </c>
      <c r="B9" s="41" t="s">
        <v>10</v>
      </c>
      <c r="C9" s="4" t="str">
        <f>IF(SUMPRODUCT(--(E9:U9&lt;&gt;""))=0,0,"N.A.")</f>
        <v>N.A.</v>
      </c>
      <c r="D9" s="41" t="s">
        <v>16</v>
      </c>
      <c r="E9" s="24">
        <v>0</v>
      </c>
      <c r="F9" s="22"/>
      <c r="G9" s="22"/>
      <c r="H9" s="22"/>
      <c r="I9" s="22"/>
      <c r="J9" s="22"/>
      <c r="K9" s="22"/>
      <c r="L9" s="22"/>
      <c r="M9" s="22"/>
      <c r="N9" s="22"/>
      <c r="O9" s="22"/>
      <c r="P9" s="22"/>
      <c r="Q9" s="22"/>
      <c r="R9" s="22"/>
      <c r="S9" s="22"/>
      <c r="T9" s="22"/>
      <c r="U9" s="22"/>
    </row>
    <row r="10" spans="1:21" x14ac:dyDescent="0.55000000000000004">
      <c r="A10" s="41" t="str">
        <f>'Population Definitions'!$A$10</f>
        <v>HCW</v>
      </c>
      <c r="B10" s="41" t="s">
        <v>10</v>
      </c>
      <c r="C10" s="4">
        <f t="shared" si="0"/>
        <v>0.03</v>
      </c>
      <c r="D10" s="41" t="s">
        <v>16</v>
      </c>
      <c r="E10" s="24"/>
      <c r="F10" s="22"/>
      <c r="G10" s="22"/>
      <c r="H10" s="22"/>
      <c r="I10" s="22"/>
      <c r="J10" s="22"/>
      <c r="K10" s="22"/>
      <c r="L10" s="22"/>
      <c r="M10" s="22"/>
      <c r="N10" s="22"/>
      <c r="O10" s="22"/>
      <c r="P10" s="22"/>
      <c r="Q10" s="22"/>
      <c r="R10" s="22"/>
      <c r="S10" s="22"/>
      <c r="T10" s="22"/>
      <c r="U10" s="22"/>
    </row>
    <row r="11" spans="1:21" x14ac:dyDescent="0.55000000000000004">
      <c r="A11" s="41" t="str">
        <f>'Population Definitions'!$A$11</f>
        <v>PLHIV HCW</v>
      </c>
      <c r="B11" s="41" t="s">
        <v>10</v>
      </c>
      <c r="C11" s="4" t="str">
        <f>IF(SUMPRODUCT(--(E11:U11&lt;&gt;""))=0,0,"N.A.")</f>
        <v>N.A.</v>
      </c>
      <c r="D11" s="41" t="s">
        <v>16</v>
      </c>
      <c r="E11" s="24">
        <v>0</v>
      </c>
      <c r="F11" s="22"/>
      <c r="G11" s="22"/>
      <c r="H11" s="22"/>
      <c r="I11" s="22"/>
      <c r="J11" s="22"/>
      <c r="K11" s="22"/>
      <c r="L11" s="22"/>
      <c r="M11" s="22"/>
      <c r="N11" s="22"/>
      <c r="O11" s="22"/>
      <c r="P11" s="22"/>
      <c r="Q11" s="22"/>
      <c r="R11" s="22"/>
      <c r="S11" s="22"/>
      <c r="T11" s="22"/>
      <c r="U11" s="22"/>
    </row>
    <row r="12" spans="1:21" x14ac:dyDescent="0.55000000000000004">
      <c r="A12" s="41" t="str">
        <f>'Population Definitions'!$A$12</f>
        <v>Miners</v>
      </c>
      <c r="B12" s="41" t="s">
        <v>10</v>
      </c>
      <c r="C12" s="4">
        <f t="shared" si="0"/>
        <v>0.03</v>
      </c>
      <c r="D12" s="41" t="s">
        <v>16</v>
      </c>
      <c r="E12" s="24"/>
      <c r="F12" s="22"/>
      <c r="G12" s="22"/>
      <c r="H12" s="22"/>
      <c r="I12" s="22"/>
      <c r="J12" s="22"/>
      <c r="K12" s="22"/>
      <c r="L12" s="22"/>
      <c r="M12" s="22"/>
      <c r="N12" s="22"/>
      <c r="O12" s="22"/>
      <c r="P12" s="22"/>
      <c r="Q12" s="22"/>
      <c r="R12" s="22"/>
      <c r="S12" s="22"/>
      <c r="T12" s="22"/>
      <c r="U12" s="22"/>
    </row>
    <row r="13" spans="1:21" x14ac:dyDescent="0.55000000000000004">
      <c r="A13" s="41" t="str">
        <f>'Population Definitions'!$A$13</f>
        <v>PLHIV Miners</v>
      </c>
      <c r="B13" s="41" t="s">
        <v>10</v>
      </c>
      <c r="C13" s="4" t="str">
        <f>IF(SUMPRODUCT(--(E13:U13&lt;&gt;""))=0,0,"N.A.")</f>
        <v>N.A.</v>
      </c>
      <c r="D13" s="41" t="s">
        <v>16</v>
      </c>
      <c r="E13" s="24">
        <v>0</v>
      </c>
      <c r="F13" s="22"/>
      <c r="G13" s="22"/>
      <c r="H13" s="22"/>
      <c r="I13" s="22"/>
      <c r="J13" s="22"/>
      <c r="K13" s="22"/>
      <c r="L13" s="22"/>
      <c r="M13" s="22"/>
      <c r="N13" s="22"/>
      <c r="O13" s="22"/>
      <c r="P13" s="22"/>
      <c r="Q13" s="22"/>
      <c r="R13" s="22"/>
      <c r="S13" s="22"/>
      <c r="T13" s="22"/>
      <c r="U13" s="22"/>
    </row>
    <row r="15" spans="1:21" x14ac:dyDescent="0.55000000000000004">
      <c r="A15" s="21" t="s">
        <v>33</v>
      </c>
      <c r="B15" s="41" t="s">
        <v>8</v>
      </c>
      <c r="C15" s="41" t="s">
        <v>9</v>
      </c>
      <c r="D15" s="41"/>
      <c r="E15" s="41">
        <v>2000</v>
      </c>
      <c r="F15" s="41">
        <v>2001</v>
      </c>
      <c r="G15" s="41">
        <v>2002</v>
      </c>
      <c r="H15" s="41">
        <v>2003</v>
      </c>
      <c r="I15" s="41">
        <v>2004</v>
      </c>
      <c r="J15" s="41">
        <v>2005</v>
      </c>
      <c r="K15" s="41">
        <v>2006</v>
      </c>
      <c r="L15" s="41">
        <v>2007</v>
      </c>
      <c r="M15" s="41">
        <v>2008</v>
      </c>
      <c r="N15" s="41">
        <v>2009</v>
      </c>
      <c r="O15" s="41">
        <v>2010</v>
      </c>
      <c r="P15" s="41">
        <v>2011</v>
      </c>
      <c r="Q15" s="41">
        <v>2012</v>
      </c>
      <c r="R15" s="41">
        <v>2013</v>
      </c>
      <c r="S15" s="41">
        <v>2014</v>
      </c>
      <c r="T15" s="41">
        <v>2015</v>
      </c>
      <c r="U15" s="41">
        <v>2016</v>
      </c>
    </row>
    <row r="16" spans="1:21" x14ac:dyDescent="0.55000000000000004">
      <c r="A16" s="41" t="str">
        <f>'Population Definitions'!$A$2</f>
        <v>Gen 0-4</v>
      </c>
      <c r="B16" s="41" t="s">
        <v>10</v>
      </c>
      <c r="C16" s="4">
        <f t="shared" ref="C16:C27" si="1">IF(SUMPRODUCT(--(E16:U16&lt;&gt;""))=0,0.03,"N.A.")</f>
        <v>0.03</v>
      </c>
      <c r="D16" s="41" t="s">
        <v>16</v>
      </c>
      <c r="E16" s="23"/>
      <c r="F16" s="22"/>
      <c r="G16" s="22"/>
      <c r="H16" s="22"/>
      <c r="I16" s="22"/>
      <c r="J16" s="22"/>
      <c r="K16" s="22"/>
      <c r="L16" s="22"/>
      <c r="M16" s="22"/>
      <c r="N16" s="22"/>
      <c r="O16" s="22"/>
      <c r="P16" s="22"/>
      <c r="Q16" s="22"/>
      <c r="R16" s="22"/>
      <c r="S16" s="22"/>
      <c r="T16" s="22"/>
      <c r="U16" s="22"/>
    </row>
    <row r="17" spans="1:21" x14ac:dyDescent="0.55000000000000004">
      <c r="A17" s="41" t="str">
        <f>'Population Definitions'!$A$3</f>
        <v>Gen 5-14</v>
      </c>
      <c r="B17" s="41" t="s">
        <v>10</v>
      </c>
      <c r="C17" s="4">
        <f t="shared" si="1"/>
        <v>0.03</v>
      </c>
      <c r="D17" s="41" t="s">
        <v>16</v>
      </c>
      <c r="E17" s="23"/>
      <c r="F17" s="22"/>
      <c r="G17" s="22"/>
      <c r="H17" s="22"/>
      <c r="I17" s="22"/>
      <c r="J17" s="22"/>
      <c r="K17" s="22"/>
      <c r="L17" s="22"/>
      <c r="M17" s="22"/>
      <c r="N17" s="22"/>
      <c r="O17" s="22"/>
      <c r="P17" s="22"/>
      <c r="Q17" s="22"/>
      <c r="R17" s="22"/>
      <c r="S17" s="22"/>
      <c r="T17" s="22"/>
      <c r="U17" s="22"/>
    </row>
    <row r="18" spans="1:21" x14ac:dyDescent="0.55000000000000004">
      <c r="A18" s="41" t="str">
        <f>'Population Definitions'!$A$4</f>
        <v>Gen 15-64</v>
      </c>
      <c r="B18" s="41" t="s">
        <v>10</v>
      </c>
      <c r="C18" s="4">
        <f t="shared" si="1"/>
        <v>0.03</v>
      </c>
      <c r="D18" s="41" t="s">
        <v>16</v>
      </c>
      <c r="E18" s="23"/>
      <c r="F18" s="22"/>
      <c r="G18" s="22"/>
      <c r="H18" s="22"/>
      <c r="I18" s="22"/>
      <c r="J18" s="22"/>
      <c r="K18" s="22"/>
      <c r="L18" s="22"/>
      <c r="M18" s="22"/>
      <c r="N18" s="22"/>
      <c r="O18" s="22"/>
      <c r="P18" s="22"/>
      <c r="Q18" s="22"/>
      <c r="R18" s="22"/>
      <c r="S18" s="22"/>
      <c r="T18" s="22"/>
      <c r="U18" s="22"/>
    </row>
    <row r="19" spans="1:21" x14ac:dyDescent="0.55000000000000004">
      <c r="A19" s="41" t="str">
        <f>'Population Definitions'!$A$5</f>
        <v>Gen 65+</v>
      </c>
      <c r="B19" s="41" t="s">
        <v>10</v>
      </c>
      <c r="C19" s="4">
        <f t="shared" si="1"/>
        <v>0.03</v>
      </c>
      <c r="D19" s="41" t="s">
        <v>16</v>
      </c>
      <c r="E19" s="23"/>
      <c r="F19" s="22"/>
      <c r="G19" s="22"/>
      <c r="H19" s="22"/>
      <c r="I19" s="22"/>
      <c r="J19" s="22"/>
      <c r="K19" s="22"/>
      <c r="L19" s="22"/>
      <c r="M19" s="22"/>
      <c r="N19" s="22"/>
      <c r="O19" s="22"/>
      <c r="P19" s="22"/>
      <c r="Q19" s="22"/>
      <c r="R19" s="22"/>
      <c r="S19" s="22"/>
      <c r="T19" s="22"/>
      <c r="U19" s="22"/>
    </row>
    <row r="20" spans="1:21" x14ac:dyDescent="0.55000000000000004">
      <c r="A20" s="41" t="str">
        <f>'Population Definitions'!$A$6</f>
        <v>PLHIV 15-64</v>
      </c>
      <c r="B20" s="41" t="s">
        <v>10</v>
      </c>
      <c r="C20" s="4" t="str">
        <f t="shared" si="1"/>
        <v>N.A.</v>
      </c>
      <c r="D20" s="41" t="s">
        <v>16</v>
      </c>
      <c r="E20" s="24">
        <v>0</v>
      </c>
      <c r="F20" s="22"/>
      <c r="G20" s="22"/>
      <c r="H20" s="22"/>
      <c r="I20" s="22"/>
      <c r="J20" s="22"/>
      <c r="K20" s="22"/>
      <c r="L20" s="22"/>
      <c r="M20" s="22"/>
      <c r="N20" s="22"/>
      <c r="O20" s="22"/>
      <c r="P20" s="22"/>
      <c r="Q20" s="22"/>
      <c r="R20" s="22"/>
      <c r="S20" s="22"/>
      <c r="T20" s="22"/>
      <c r="U20" s="22"/>
    </row>
    <row r="21" spans="1:21" x14ac:dyDescent="0.55000000000000004">
      <c r="A21" s="41" t="str">
        <f>'Population Definitions'!$A$7</f>
        <v>PLHIV 65+</v>
      </c>
      <c r="B21" s="41" t="s">
        <v>10</v>
      </c>
      <c r="C21" s="4" t="str">
        <f t="shared" si="1"/>
        <v>N.A.</v>
      </c>
      <c r="D21" s="41" t="s">
        <v>16</v>
      </c>
      <c r="E21" s="24">
        <v>0</v>
      </c>
      <c r="F21" s="22"/>
      <c r="G21" s="22"/>
      <c r="H21" s="22"/>
      <c r="I21" s="22"/>
      <c r="J21" s="22"/>
      <c r="K21" s="22"/>
      <c r="L21" s="22"/>
      <c r="M21" s="22"/>
      <c r="N21" s="22"/>
      <c r="O21" s="22"/>
      <c r="P21" s="22"/>
      <c r="Q21" s="22"/>
      <c r="R21" s="22"/>
      <c r="S21" s="22"/>
      <c r="T21" s="22"/>
      <c r="U21" s="22"/>
    </row>
    <row r="22" spans="1:21" x14ac:dyDescent="0.55000000000000004">
      <c r="A22" s="41" t="str">
        <f>'Population Definitions'!$A$8</f>
        <v>Prisoners</v>
      </c>
      <c r="B22" s="41" t="s">
        <v>10</v>
      </c>
      <c r="C22" s="4">
        <f t="shared" si="1"/>
        <v>0.03</v>
      </c>
      <c r="D22" s="41" t="s">
        <v>16</v>
      </c>
      <c r="E22" s="24"/>
      <c r="F22" s="22"/>
      <c r="G22" s="22"/>
      <c r="H22" s="22"/>
      <c r="I22" s="22"/>
      <c r="J22" s="22"/>
      <c r="K22" s="22"/>
      <c r="L22" s="22"/>
      <c r="M22" s="22"/>
      <c r="N22" s="22"/>
      <c r="O22" s="22"/>
      <c r="P22" s="22"/>
      <c r="Q22" s="22"/>
      <c r="R22" s="22"/>
      <c r="S22" s="22"/>
      <c r="T22" s="22"/>
      <c r="U22" s="22"/>
    </row>
    <row r="23" spans="1:21" x14ac:dyDescent="0.55000000000000004">
      <c r="A23" s="41" t="str">
        <f>'Population Definitions'!$A$9</f>
        <v>PLHIV Prisoners</v>
      </c>
      <c r="B23" s="41" t="s">
        <v>10</v>
      </c>
      <c r="C23" s="4" t="str">
        <f t="shared" si="1"/>
        <v>N.A.</v>
      </c>
      <c r="D23" s="41" t="s">
        <v>16</v>
      </c>
      <c r="E23" s="24">
        <v>0</v>
      </c>
      <c r="F23" s="22"/>
      <c r="G23" s="22"/>
      <c r="H23" s="22"/>
      <c r="I23" s="22"/>
      <c r="J23" s="22"/>
      <c r="K23" s="22"/>
      <c r="L23" s="22"/>
      <c r="M23" s="22"/>
      <c r="N23" s="22"/>
      <c r="O23" s="22"/>
      <c r="P23" s="22"/>
      <c r="Q23" s="22"/>
      <c r="R23" s="22"/>
      <c r="S23" s="22"/>
      <c r="T23" s="22"/>
      <c r="U23" s="22"/>
    </row>
    <row r="24" spans="1:21" x14ac:dyDescent="0.55000000000000004">
      <c r="A24" s="41" t="str">
        <f>'Population Definitions'!$A$10</f>
        <v>HCW</v>
      </c>
      <c r="B24" s="41" t="s">
        <v>10</v>
      </c>
      <c r="C24" s="4">
        <f t="shared" si="1"/>
        <v>0.03</v>
      </c>
      <c r="D24" s="41" t="s">
        <v>16</v>
      </c>
      <c r="E24" s="24"/>
      <c r="F24" s="22"/>
      <c r="G24" s="22"/>
      <c r="H24" s="22"/>
      <c r="I24" s="22"/>
      <c r="J24" s="22"/>
      <c r="K24" s="22"/>
      <c r="L24" s="22"/>
      <c r="M24" s="22"/>
      <c r="N24" s="22"/>
      <c r="O24" s="22"/>
      <c r="P24" s="22"/>
      <c r="Q24" s="22"/>
      <c r="R24" s="22"/>
      <c r="S24" s="22"/>
      <c r="T24" s="22"/>
      <c r="U24" s="22"/>
    </row>
    <row r="25" spans="1:21" x14ac:dyDescent="0.55000000000000004">
      <c r="A25" s="41" t="str">
        <f>'Population Definitions'!$A$11</f>
        <v>PLHIV HCW</v>
      </c>
      <c r="B25" s="41" t="s">
        <v>10</v>
      </c>
      <c r="C25" s="4" t="str">
        <f t="shared" si="1"/>
        <v>N.A.</v>
      </c>
      <c r="D25" s="41" t="s">
        <v>16</v>
      </c>
      <c r="E25" s="24">
        <v>0</v>
      </c>
      <c r="F25" s="22"/>
      <c r="G25" s="22"/>
      <c r="H25" s="22"/>
      <c r="I25" s="22"/>
      <c r="J25" s="22"/>
      <c r="K25" s="22"/>
      <c r="L25" s="22"/>
      <c r="M25" s="22"/>
      <c r="N25" s="22"/>
      <c r="O25" s="22"/>
      <c r="P25" s="22"/>
      <c r="Q25" s="22"/>
      <c r="R25" s="22"/>
      <c r="S25" s="22"/>
      <c r="T25" s="22"/>
      <c r="U25" s="22"/>
    </row>
    <row r="26" spans="1:21" x14ac:dyDescent="0.55000000000000004">
      <c r="A26" s="41" t="str">
        <f>'Population Definitions'!$A$12</f>
        <v>Miners</v>
      </c>
      <c r="B26" s="41" t="s">
        <v>10</v>
      </c>
      <c r="C26" s="4">
        <f t="shared" si="1"/>
        <v>0.03</v>
      </c>
      <c r="D26" s="41" t="s">
        <v>16</v>
      </c>
      <c r="E26" s="24"/>
      <c r="F26" s="22"/>
      <c r="G26" s="22"/>
      <c r="H26" s="22"/>
      <c r="I26" s="22"/>
      <c r="J26" s="22"/>
      <c r="K26" s="22"/>
      <c r="L26" s="22"/>
      <c r="M26" s="22"/>
      <c r="N26" s="22"/>
      <c r="O26" s="22"/>
      <c r="P26" s="22"/>
      <c r="Q26" s="22"/>
      <c r="R26" s="22"/>
      <c r="S26" s="22"/>
      <c r="T26" s="22"/>
      <c r="U26" s="22"/>
    </row>
    <row r="27" spans="1:21" x14ac:dyDescent="0.55000000000000004">
      <c r="A27" s="41" t="str">
        <f>'Population Definitions'!$A$13</f>
        <v>PLHIV Miners</v>
      </c>
      <c r="B27" s="41" t="s">
        <v>10</v>
      </c>
      <c r="C27" s="4" t="str">
        <f t="shared" si="1"/>
        <v>N.A.</v>
      </c>
      <c r="D27" s="41" t="s">
        <v>16</v>
      </c>
      <c r="E27" s="24">
        <v>0</v>
      </c>
      <c r="F27" s="22"/>
      <c r="G27" s="22"/>
      <c r="H27" s="22"/>
      <c r="I27" s="22"/>
      <c r="J27" s="22"/>
      <c r="K27" s="22"/>
      <c r="L27" s="22"/>
      <c r="M27" s="22"/>
      <c r="N27" s="22"/>
      <c r="O27" s="22"/>
      <c r="P27" s="22"/>
      <c r="Q27" s="22"/>
      <c r="R27" s="22"/>
      <c r="S27" s="22"/>
      <c r="T27" s="22"/>
      <c r="U27" s="22"/>
    </row>
    <row r="29" spans="1:21" x14ac:dyDescent="0.55000000000000004">
      <c r="A29" s="21" t="s">
        <v>39</v>
      </c>
      <c r="B29" s="41" t="s">
        <v>8</v>
      </c>
      <c r="C29" s="41" t="s">
        <v>9</v>
      </c>
      <c r="D29" s="41"/>
      <c r="E29" s="41">
        <v>2000</v>
      </c>
      <c r="F29" s="41">
        <v>2001</v>
      </c>
      <c r="G29" s="41">
        <v>2002</v>
      </c>
      <c r="H29" s="41">
        <v>2003</v>
      </c>
      <c r="I29" s="41">
        <v>2004</v>
      </c>
      <c r="J29" s="41">
        <v>2005</v>
      </c>
      <c r="K29" s="41">
        <v>2006</v>
      </c>
      <c r="L29" s="41">
        <v>2007</v>
      </c>
      <c r="M29" s="41">
        <v>2008</v>
      </c>
      <c r="N29" s="41">
        <v>2009</v>
      </c>
      <c r="O29" s="41">
        <v>2010</v>
      </c>
      <c r="P29" s="41">
        <v>2011</v>
      </c>
      <c r="Q29" s="41">
        <v>2012</v>
      </c>
      <c r="R29" s="41">
        <v>2013</v>
      </c>
      <c r="S29" s="41">
        <v>2014</v>
      </c>
      <c r="T29" s="41">
        <v>2015</v>
      </c>
      <c r="U29" s="41">
        <v>2016</v>
      </c>
    </row>
    <row r="30" spans="1:21" x14ac:dyDescent="0.55000000000000004">
      <c r="A30" s="41" t="str">
        <f>'Population Definitions'!$A$2</f>
        <v>Gen 0-4</v>
      </c>
      <c r="B30" s="41" t="s">
        <v>10</v>
      </c>
      <c r="C30" s="4">
        <f t="shared" ref="C30:C41" si="2">IF(SUMPRODUCT(--(E30:U30&lt;&gt;""))=0,0.03,"N.A.")</f>
        <v>0.03</v>
      </c>
      <c r="D30" s="41" t="s">
        <v>16</v>
      </c>
      <c r="E30" s="23"/>
      <c r="F30" s="22"/>
      <c r="G30" s="22"/>
      <c r="H30" s="22"/>
      <c r="I30" s="22"/>
      <c r="J30" s="22"/>
      <c r="K30" s="22"/>
      <c r="L30" s="22"/>
      <c r="M30" s="22"/>
      <c r="N30" s="22"/>
      <c r="O30" s="22"/>
      <c r="P30" s="22"/>
      <c r="Q30" s="22"/>
      <c r="R30" s="22"/>
      <c r="S30" s="22"/>
      <c r="T30" s="22"/>
      <c r="U30" s="22"/>
    </row>
    <row r="31" spans="1:21" x14ac:dyDescent="0.55000000000000004">
      <c r="A31" s="41" t="str">
        <f>'Population Definitions'!$A$3</f>
        <v>Gen 5-14</v>
      </c>
      <c r="B31" s="41" t="s">
        <v>10</v>
      </c>
      <c r="C31" s="4">
        <f t="shared" si="2"/>
        <v>0.03</v>
      </c>
      <c r="D31" s="41" t="s">
        <v>16</v>
      </c>
      <c r="E31" s="23"/>
      <c r="F31" s="22"/>
      <c r="G31" s="22"/>
      <c r="H31" s="22"/>
      <c r="I31" s="22"/>
      <c r="J31" s="22"/>
      <c r="K31" s="22"/>
      <c r="L31" s="22"/>
      <c r="M31" s="22"/>
      <c r="N31" s="22"/>
      <c r="O31" s="22"/>
      <c r="P31" s="22"/>
      <c r="Q31" s="22"/>
      <c r="R31" s="22"/>
      <c r="S31" s="22"/>
      <c r="T31" s="22"/>
      <c r="U31" s="22"/>
    </row>
    <row r="32" spans="1:21" x14ac:dyDescent="0.55000000000000004">
      <c r="A32" s="41" t="str">
        <f>'Population Definitions'!$A$4</f>
        <v>Gen 15-64</v>
      </c>
      <c r="B32" s="41" t="s">
        <v>10</v>
      </c>
      <c r="C32" s="4">
        <f t="shared" si="2"/>
        <v>0.03</v>
      </c>
      <c r="D32" s="41" t="s">
        <v>16</v>
      </c>
      <c r="E32" s="23"/>
      <c r="F32" s="22"/>
      <c r="G32" s="22"/>
      <c r="H32" s="22"/>
      <c r="I32" s="22"/>
      <c r="J32" s="22"/>
      <c r="K32" s="22"/>
      <c r="L32" s="22"/>
      <c r="M32" s="22"/>
      <c r="N32" s="22"/>
      <c r="O32" s="22"/>
      <c r="P32" s="22"/>
      <c r="Q32" s="22"/>
      <c r="R32" s="22"/>
      <c r="S32" s="22"/>
      <c r="T32" s="22"/>
      <c r="U32" s="22"/>
    </row>
    <row r="33" spans="1:21" x14ac:dyDescent="0.55000000000000004">
      <c r="A33" s="41" t="str">
        <f>'Population Definitions'!$A$5</f>
        <v>Gen 65+</v>
      </c>
      <c r="B33" s="41" t="s">
        <v>10</v>
      </c>
      <c r="C33" s="4">
        <f t="shared" si="2"/>
        <v>0.03</v>
      </c>
      <c r="D33" s="41" t="s">
        <v>16</v>
      </c>
      <c r="E33" s="23"/>
      <c r="F33" s="22"/>
      <c r="G33" s="22"/>
      <c r="H33" s="22"/>
      <c r="I33" s="22"/>
      <c r="J33" s="22"/>
      <c r="K33" s="22"/>
      <c r="L33" s="22"/>
      <c r="M33" s="22"/>
      <c r="N33" s="22"/>
      <c r="O33" s="22"/>
      <c r="P33" s="22"/>
      <c r="Q33" s="22"/>
      <c r="R33" s="22"/>
      <c r="S33" s="22"/>
      <c r="T33" s="22"/>
      <c r="U33" s="22"/>
    </row>
    <row r="34" spans="1:21" x14ac:dyDescent="0.55000000000000004">
      <c r="A34" s="41" t="str">
        <f>'Population Definitions'!$A$6</f>
        <v>PLHIV 15-64</v>
      </c>
      <c r="B34" s="41" t="s">
        <v>10</v>
      </c>
      <c r="C34" s="4" t="str">
        <f t="shared" si="2"/>
        <v>N.A.</v>
      </c>
      <c r="D34" s="41" t="s">
        <v>16</v>
      </c>
      <c r="E34" s="24">
        <v>0</v>
      </c>
      <c r="F34" s="22"/>
      <c r="G34" s="22"/>
      <c r="H34" s="22"/>
      <c r="I34" s="22"/>
      <c r="J34" s="22"/>
      <c r="K34" s="22"/>
      <c r="L34" s="22"/>
      <c r="M34" s="22"/>
      <c r="N34" s="22"/>
      <c r="O34" s="22"/>
      <c r="P34" s="22"/>
      <c r="Q34" s="22"/>
      <c r="R34" s="22"/>
      <c r="S34" s="22"/>
      <c r="T34" s="22"/>
      <c r="U34" s="22"/>
    </row>
    <row r="35" spans="1:21" x14ac:dyDescent="0.55000000000000004">
      <c r="A35" s="41" t="str">
        <f>'Population Definitions'!$A$7</f>
        <v>PLHIV 65+</v>
      </c>
      <c r="B35" s="41" t="s">
        <v>10</v>
      </c>
      <c r="C35" s="4" t="str">
        <f t="shared" si="2"/>
        <v>N.A.</v>
      </c>
      <c r="D35" s="41" t="s">
        <v>16</v>
      </c>
      <c r="E35" s="24">
        <v>0</v>
      </c>
      <c r="F35" s="22"/>
      <c r="G35" s="22"/>
      <c r="H35" s="22"/>
      <c r="I35" s="22"/>
      <c r="J35" s="22"/>
      <c r="K35" s="22"/>
      <c r="L35" s="22"/>
      <c r="M35" s="22"/>
      <c r="N35" s="22"/>
      <c r="O35" s="22"/>
      <c r="P35" s="22"/>
      <c r="Q35" s="22"/>
      <c r="R35" s="22"/>
      <c r="S35" s="22"/>
      <c r="T35" s="22"/>
      <c r="U35" s="22"/>
    </row>
    <row r="36" spans="1:21" x14ac:dyDescent="0.55000000000000004">
      <c r="A36" s="41" t="str">
        <f>'Population Definitions'!$A$8</f>
        <v>Prisoners</v>
      </c>
      <c r="B36" s="41" t="s">
        <v>10</v>
      </c>
      <c r="C36" s="4">
        <f t="shared" si="2"/>
        <v>0.03</v>
      </c>
      <c r="D36" s="41" t="s">
        <v>16</v>
      </c>
      <c r="E36" s="24"/>
      <c r="F36" s="22"/>
      <c r="G36" s="22"/>
      <c r="H36" s="22"/>
      <c r="I36" s="22"/>
      <c r="J36" s="22"/>
      <c r="K36" s="22"/>
      <c r="L36" s="22"/>
      <c r="M36" s="22"/>
      <c r="N36" s="22"/>
      <c r="O36" s="22"/>
      <c r="P36" s="22"/>
      <c r="Q36" s="22"/>
      <c r="R36" s="22"/>
      <c r="S36" s="22"/>
      <c r="T36" s="22"/>
      <c r="U36" s="22"/>
    </row>
    <row r="37" spans="1:21" x14ac:dyDescent="0.55000000000000004">
      <c r="A37" s="41" t="str">
        <f>'Population Definitions'!$A$9</f>
        <v>PLHIV Prisoners</v>
      </c>
      <c r="B37" s="41" t="s">
        <v>10</v>
      </c>
      <c r="C37" s="4" t="str">
        <f t="shared" si="2"/>
        <v>N.A.</v>
      </c>
      <c r="D37" s="41" t="s">
        <v>16</v>
      </c>
      <c r="E37" s="24">
        <v>0</v>
      </c>
      <c r="F37" s="22"/>
      <c r="G37" s="22"/>
      <c r="H37" s="22"/>
      <c r="I37" s="22"/>
      <c r="J37" s="22"/>
      <c r="K37" s="22"/>
      <c r="L37" s="22"/>
      <c r="M37" s="22"/>
      <c r="N37" s="22"/>
      <c r="O37" s="22"/>
      <c r="P37" s="22"/>
      <c r="Q37" s="22"/>
      <c r="R37" s="22"/>
      <c r="S37" s="22"/>
      <c r="T37" s="22"/>
      <c r="U37" s="22"/>
    </row>
    <row r="38" spans="1:21" x14ac:dyDescent="0.55000000000000004">
      <c r="A38" s="41" t="str">
        <f>'Population Definitions'!$A$10</f>
        <v>HCW</v>
      </c>
      <c r="B38" s="41" t="s">
        <v>10</v>
      </c>
      <c r="C38" s="4">
        <f t="shared" si="2"/>
        <v>0.03</v>
      </c>
      <c r="D38" s="41" t="s">
        <v>16</v>
      </c>
      <c r="E38" s="24"/>
      <c r="F38" s="22"/>
      <c r="G38" s="22"/>
      <c r="H38" s="22"/>
      <c r="I38" s="22"/>
      <c r="J38" s="22"/>
      <c r="K38" s="22"/>
      <c r="L38" s="22"/>
      <c r="M38" s="22"/>
      <c r="N38" s="22"/>
      <c r="O38" s="22"/>
      <c r="P38" s="22"/>
      <c r="Q38" s="22"/>
      <c r="R38" s="22"/>
      <c r="S38" s="22"/>
      <c r="T38" s="22"/>
      <c r="U38" s="22"/>
    </row>
    <row r="39" spans="1:21" x14ac:dyDescent="0.55000000000000004">
      <c r="A39" s="41" t="str">
        <f>'Population Definitions'!$A$11</f>
        <v>PLHIV HCW</v>
      </c>
      <c r="B39" s="41" t="s">
        <v>10</v>
      </c>
      <c r="C39" s="4" t="str">
        <f t="shared" si="2"/>
        <v>N.A.</v>
      </c>
      <c r="D39" s="41" t="s">
        <v>16</v>
      </c>
      <c r="E39" s="24">
        <v>0</v>
      </c>
      <c r="F39" s="22"/>
      <c r="G39" s="22"/>
      <c r="H39" s="22"/>
      <c r="I39" s="22"/>
      <c r="J39" s="22"/>
      <c r="K39" s="22"/>
      <c r="L39" s="22"/>
      <c r="M39" s="22"/>
      <c r="N39" s="22"/>
      <c r="O39" s="22"/>
      <c r="P39" s="22"/>
      <c r="Q39" s="22"/>
      <c r="R39" s="22"/>
      <c r="S39" s="22"/>
      <c r="T39" s="22"/>
      <c r="U39" s="22"/>
    </row>
    <row r="40" spans="1:21" x14ac:dyDescent="0.55000000000000004">
      <c r="A40" s="41" t="str">
        <f>'Population Definitions'!$A$12</f>
        <v>Miners</v>
      </c>
      <c r="B40" s="41" t="s">
        <v>10</v>
      </c>
      <c r="C40" s="4">
        <f t="shared" si="2"/>
        <v>0.03</v>
      </c>
      <c r="D40" s="41" t="s">
        <v>16</v>
      </c>
      <c r="E40" s="24"/>
      <c r="F40" s="22"/>
      <c r="G40" s="22"/>
      <c r="H40" s="22"/>
      <c r="I40" s="22"/>
      <c r="J40" s="22"/>
      <c r="K40" s="22"/>
      <c r="L40" s="22"/>
      <c r="M40" s="22"/>
      <c r="N40" s="22"/>
      <c r="O40" s="22"/>
      <c r="P40" s="22"/>
      <c r="Q40" s="22"/>
      <c r="R40" s="22"/>
      <c r="S40" s="22"/>
      <c r="T40" s="22"/>
      <c r="U40" s="22"/>
    </row>
    <row r="41" spans="1:21" x14ac:dyDescent="0.55000000000000004">
      <c r="A41" s="41" t="str">
        <f>'Population Definitions'!$A$13</f>
        <v>PLHIV Miners</v>
      </c>
      <c r="B41" s="41" t="s">
        <v>10</v>
      </c>
      <c r="C41" s="4" t="str">
        <f t="shared" si="2"/>
        <v>N.A.</v>
      </c>
      <c r="D41" s="41" t="s">
        <v>16</v>
      </c>
      <c r="E41" s="24">
        <v>0</v>
      </c>
      <c r="F41" s="22"/>
      <c r="G41" s="22"/>
      <c r="H41" s="22"/>
      <c r="I41" s="22"/>
      <c r="J41" s="22"/>
      <c r="K41" s="22"/>
      <c r="L41" s="22"/>
      <c r="M41" s="22"/>
      <c r="N41" s="22"/>
      <c r="O41" s="22"/>
      <c r="P41" s="22"/>
      <c r="Q41" s="22"/>
      <c r="R41" s="22"/>
      <c r="S41" s="22"/>
      <c r="T41" s="22"/>
      <c r="U41" s="22"/>
    </row>
    <row r="43" spans="1:21" x14ac:dyDescent="0.55000000000000004">
      <c r="A43" s="21" t="s">
        <v>46</v>
      </c>
      <c r="B43" s="41" t="s">
        <v>8</v>
      </c>
      <c r="C43" s="41" t="s">
        <v>9</v>
      </c>
      <c r="D43" s="41"/>
      <c r="E43" s="41">
        <v>2000</v>
      </c>
      <c r="F43" s="41">
        <v>2001</v>
      </c>
      <c r="G43" s="41">
        <v>2002</v>
      </c>
      <c r="H43" s="41">
        <v>2003</v>
      </c>
      <c r="I43" s="41">
        <v>2004</v>
      </c>
      <c r="J43" s="41">
        <v>2005</v>
      </c>
      <c r="K43" s="41">
        <v>2006</v>
      </c>
      <c r="L43" s="41">
        <v>2007</v>
      </c>
      <c r="M43" s="41">
        <v>2008</v>
      </c>
      <c r="N43" s="41">
        <v>2009</v>
      </c>
      <c r="O43" s="41">
        <v>2010</v>
      </c>
      <c r="P43" s="41">
        <v>2011</v>
      </c>
      <c r="Q43" s="41">
        <v>2012</v>
      </c>
      <c r="R43" s="41">
        <v>2013</v>
      </c>
      <c r="S43" s="41">
        <v>2014</v>
      </c>
      <c r="T43" s="41">
        <v>2015</v>
      </c>
      <c r="U43" s="41">
        <v>2016</v>
      </c>
    </row>
    <row r="44" spans="1:21" x14ac:dyDescent="0.55000000000000004">
      <c r="A44" s="41" t="str">
        <f>'Population Definitions'!$A$2</f>
        <v>Gen 0-4</v>
      </c>
      <c r="B44" s="41" t="s">
        <v>10</v>
      </c>
      <c r="C44" s="4">
        <f t="shared" ref="C44:C55" si="3">IF(SUMPRODUCT(--(E44:U44&lt;&gt;""))=0,0.16,"N.A.")</f>
        <v>0.16</v>
      </c>
      <c r="D44" s="41" t="s">
        <v>16</v>
      </c>
      <c r="E44" s="23"/>
      <c r="F44" s="22"/>
      <c r="G44" s="22"/>
      <c r="H44" s="22"/>
      <c r="I44" s="22"/>
      <c r="J44" s="22"/>
      <c r="K44" s="22"/>
      <c r="L44" s="22"/>
      <c r="M44" s="22"/>
      <c r="N44" s="22"/>
      <c r="O44" s="22"/>
      <c r="P44" s="22"/>
      <c r="Q44" s="22"/>
      <c r="R44" s="22"/>
      <c r="S44" s="22"/>
      <c r="T44" s="22"/>
      <c r="U44" s="22"/>
    </row>
    <row r="45" spans="1:21" x14ac:dyDescent="0.55000000000000004">
      <c r="A45" s="41" t="str">
        <f>'Population Definitions'!$A$3</f>
        <v>Gen 5-14</v>
      </c>
      <c r="B45" s="41" t="s">
        <v>10</v>
      </c>
      <c r="C45" s="4">
        <f t="shared" si="3"/>
        <v>0.16</v>
      </c>
      <c r="D45" s="41" t="s">
        <v>16</v>
      </c>
      <c r="E45" s="23"/>
      <c r="F45" s="22"/>
      <c r="G45" s="22"/>
      <c r="H45" s="22"/>
      <c r="I45" s="22"/>
      <c r="J45" s="22"/>
      <c r="K45" s="22"/>
      <c r="L45" s="22"/>
      <c r="M45" s="22"/>
      <c r="N45" s="22"/>
      <c r="O45" s="22"/>
      <c r="P45" s="22"/>
      <c r="Q45" s="22"/>
      <c r="R45" s="22"/>
      <c r="S45" s="22"/>
      <c r="T45" s="22"/>
      <c r="U45" s="22"/>
    </row>
    <row r="46" spans="1:21" x14ac:dyDescent="0.55000000000000004">
      <c r="A46" s="41" t="str">
        <f>'Population Definitions'!$A$4</f>
        <v>Gen 15-64</v>
      </c>
      <c r="B46" s="41" t="s">
        <v>10</v>
      </c>
      <c r="C46" s="4">
        <f t="shared" si="3"/>
        <v>0.16</v>
      </c>
      <c r="D46" s="41" t="s">
        <v>16</v>
      </c>
      <c r="E46" s="23"/>
      <c r="F46" s="22"/>
      <c r="G46" s="22"/>
      <c r="H46" s="22"/>
      <c r="I46" s="22"/>
      <c r="J46" s="22"/>
      <c r="K46" s="22"/>
      <c r="L46" s="22"/>
      <c r="M46" s="22"/>
      <c r="N46" s="22"/>
      <c r="O46" s="22"/>
      <c r="P46" s="22"/>
      <c r="Q46" s="22"/>
      <c r="R46" s="22"/>
      <c r="S46" s="22"/>
      <c r="T46" s="22"/>
      <c r="U46" s="22"/>
    </row>
    <row r="47" spans="1:21" x14ac:dyDescent="0.55000000000000004">
      <c r="A47" s="41" t="str">
        <f>'Population Definitions'!$A$5</f>
        <v>Gen 65+</v>
      </c>
      <c r="B47" s="41" t="s">
        <v>10</v>
      </c>
      <c r="C47" s="4">
        <f t="shared" si="3"/>
        <v>0.16</v>
      </c>
      <c r="D47" s="41" t="s">
        <v>16</v>
      </c>
      <c r="E47" s="23"/>
      <c r="F47" s="22"/>
      <c r="G47" s="22"/>
      <c r="H47" s="22"/>
      <c r="I47" s="22"/>
      <c r="J47" s="22"/>
      <c r="K47" s="22"/>
      <c r="L47" s="22"/>
      <c r="M47" s="22"/>
      <c r="N47" s="22"/>
      <c r="O47" s="22"/>
      <c r="P47" s="22"/>
      <c r="Q47" s="22"/>
      <c r="R47" s="22"/>
      <c r="S47" s="22"/>
      <c r="T47" s="22"/>
      <c r="U47" s="22"/>
    </row>
    <row r="48" spans="1:21" x14ac:dyDescent="0.55000000000000004">
      <c r="A48" s="41" t="str">
        <f>'Population Definitions'!$A$6</f>
        <v>PLHIV 15-64</v>
      </c>
      <c r="B48" s="41" t="s">
        <v>10</v>
      </c>
      <c r="C48" s="4" t="str">
        <f t="shared" si="3"/>
        <v>N.A.</v>
      </c>
      <c r="D48" s="41" t="s">
        <v>16</v>
      </c>
      <c r="E48" s="24">
        <v>0</v>
      </c>
      <c r="F48" s="22"/>
      <c r="G48" s="22"/>
      <c r="H48" s="22"/>
      <c r="I48" s="22"/>
      <c r="J48" s="22"/>
      <c r="K48" s="22"/>
      <c r="L48" s="22"/>
      <c r="M48" s="22"/>
      <c r="N48" s="22"/>
      <c r="O48" s="22"/>
      <c r="P48" s="22"/>
      <c r="Q48" s="22"/>
      <c r="R48" s="22"/>
      <c r="S48" s="22"/>
      <c r="T48" s="22"/>
      <c r="U48" s="22"/>
    </row>
    <row r="49" spans="1:21" x14ac:dyDescent="0.55000000000000004">
      <c r="A49" s="41" t="str">
        <f>'Population Definitions'!$A$7</f>
        <v>PLHIV 65+</v>
      </c>
      <c r="B49" s="41" t="s">
        <v>10</v>
      </c>
      <c r="C49" s="4" t="str">
        <f t="shared" si="3"/>
        <v>N.A.</v>
      </c>
      <c r="D49" s="41" t="s">
        <v>16</v>
      </c>
      <c r="E49" s="24">
        <v>0</v>
      </c>
      <c r="F49" s="22"/>
      <c r="G49" s="22"/>
      <c r="H49" s="22"/>
      <c r="I49" s="22"/>
      <c r="J49" s="22"/>
      <c r="K49" s="22"/>
      <c r="L49" s="22"/>
      <c r="M49" s="22"/>
      <c r="N49" s="22"/>
      <c r="O49" s="22"/>
      <c r="P49" s="22"/>
      <c r="Q49" s="22"/>
      <c r="R49" s="22"/>
      <c r="S49" s="22"/>
      <c r="T49" s="22"/>
      <c r="U49" s="22"/>
    </row>
    <row r="50" spans="1:21" x14ac:dyDescent="0.55000000000000004">
      <c r="A50" s="41" t="str">
        <f>'Population Definitions'!$A$8</f>
        <v>Prisoners</v>
      </c>
      <c r="B50" s="41" t="s">
        <v>10</v>
      </c>
      <c r="C50" s="4">
        <f t="shared" si="3"/>
        <v>0.16</v>
      </c>
      <c r="D50" s="41" t="s">
        <v>16</v>
      </c>
      <c r="E50" s="24"/>
      <c r="F50" s="22"/>
      <c r="G50" s="22"/>
      <c r="H50" s="22"/>
      <c r="I50" s="22"/>
      <c r="J50" s="22"/>
      <c r="K50" s="22"/>
      <c r="L50" s="22"/>
      <c r="M50" s="22"/>
      <c r="N50" s="22"/>
      <c r="O50" s="22"/>
      <c r="P50" s="22"/>
      <c r="Q50" s="22"/>
      <c r="R50" s="22"/>
      <c r="S50" s="22"/>
      <c r="T50" s="22"/>
      <c r="U50" s="22"/>
    </row>
    <row r="51" spans="1:21" x14ac:dyDescent="0.55000000000000004">
      <c r="A51" s="41" t="str">
        <f>'Population Definitions'!$A$9</f>
        <v>PLHIV Prisoners</v>
      </c>
      <c r="B51" s="41" t="s">
        <v>10</v>
      </c>
      <c r="C51" s="4" t="str">
        <f t="shared" si="3"/>
        <v>N.A.</v>
      </c>
      <c r="D51" s="41" t="s">
        <v>16</v>
      </c>
      <c r="E51" s="24">
        <v>0</v>
      </c>
      <c r="F51" s="22"/>
      <c r="G51" s="22"/>
      <c r="H51" s="22"/>
      <c r="I51" s="22"/>
      <c r="J51" s="22"/>
      <c r="K51" s="22"/>
      <c r="L51" s="22"/>
      <c r="M51" s="22"/>
      <c r="N51" s="22"/>
      <c r="O51" s="22"/>
      <c r="P51" s="22"/>
      <c r="Q51" s="22"/>
      <c r="R51" s="22"/>
      <c r="S51" s="22"/>
      <c r="T51" s="22"/>
      <c r="U51" s="22"/>
    </row>
    <row r="52" spans="1:21" x14ac:dyDescent="0.55000000000000004">
      <c r="A52" s="41" t="str">
        <f>'Population Definitions'!$A$10</f>
        <v>HCW</v>
      </c>
      <c r="B52" s="41" t="s">
        <v>10</v>
      </c>
      <c r="C52" s="4">
        <f t="shared" si="3"/>
        <v>0.16</v>
      </c>
      <c r="D52" s="41" t="s">
        <v>16</v>
      </c>
      <c r="E52" s="24"/>
      <c r="F52" s="22"/>
      <c r="G52" s="22"/>
      <c r="H52" s="22"/>
      <c r="I52" s="22"/>
      <c r="J52" s="22"/>
      <c r="K52" s="22"/>
      <c r="L52" s="22"/>
      <c r="M52" s="22"/>
      <c r="N52" s="22"/>
      <c r="O52" s="22"/>
      <c r="P52" s="22"/>
      <c r="Q52" s="22"/>
      <c r="R52" s="22"/>
      <c r="S52" s="22"/>
      <c r="T52" s="22"/>
      <c r="U52" s="22"/>
    </row>
    <row r="53" spans="1:21" x14ac:dyDescent="0.55000000000000004">
      <c r="A53" s="41" t="str">
        <f>'Population Definitions'!$A$11</f>
        <v>PLHIV HCW</v>
      </c>
      <c r="B53" s="41" t="s">
        <v>10</v>
      </c>
      <c r="C53" s="4" t="str">
        <f t="shared" si="3"/>
        <v>N.A.</v>
      </c>
      <c r="D53" s="41" t="s">
        <v>16</v>
      </c>
      <c r="E53" s="24">
        <v>0</v>
      </c>
      <c r="F53" s="22"/>
      <c r="G53" s="22"/>
      <c r="H53" s="22"/>
      <c r="I53" s="22"/>
      <c r="J53" s="22"/>
      <c r="K53" s="22"/>
      <c r="L53" s="22"/>
      <c r="M53" s="22"/>
      <c r="N53" s="22"/>
      <c r="O53" s="22"/>
      <c r="P53" s="22"/>
      <c r="Q53" s="22"/>
      <c r="R53" s="22"/>
      <c r="S53" s="22"/>
      <c r="T53" s="22"/>
      <c r="U53" s="22"/>
    </row>
    <row r="54" spans="1:21" x14ac:dyDescent="0.55000000000000004">
      <c r="A54" s="41" t="str">
        <f>'Population Definitions'!$A$12</f>
        <v>Miners</v>
      </c>
      <c r="B54" s="41" t="s">
        <v>10</v>
      </c>
      <c r="C54" s="4">
        <f t="shared" si="3"/>
        <v>0.16</v>
      </c>
      <c r="D54" s="41" t="s">
        <v>16</v>
      </c>
      <c r="E54" s="24"/>
      <c r="F54" s="22"/>
      <c r="G54" s="22"/>
      <c r="H54" s="22"/>
      <c r="I54" s="22"/>
      <c r="J54" s="22"/>
      <c r="K54" s="22"/>
      <c r="L54" s="22"/>
      <c r="M54" s="22"/>
      <c r="N54" s="22"/>
      <c r="O54" s="22"/>
      <c r="P54" s="22"/>
      <c r="Q54" s="22"/>
      <c r="R54" s="22"/>
      <c r="S54" s="22"/>
      <c r="T54" s="22"/>
      <c r="U54" s="22"/>
    </row>
    <row r="55" spans="1:21" x14ac:dyDescent="0.55000000000000004">
      <c r="A55" s="41" t="str">
        <f>'Population Definitions'!$A$13</f>
        <v>PLHIV Miners</v>
      </c>
      <c r="B55" s="41" t="s">
        <v>10</v>
      </c>
      <c r="C55" s="4" t="str">
        <f t="shared" si="3"/>
        <v>N.A.</v>
      </c>
      <c r="D55" s="41" t="s">
        <v>16</v>
      </c>
      <c r="E55" s="24">
        <v>0</v>
      </c>
      <c r="F55" s="22"/>
      <c r="G55" s="22"/>
      <c r="H55" s="22"/>
      <c r="I55" s="22"/>
      <c r="J55" s="22"/>
      <c r="K55" s="22"/>
      <c r="L55" s="22"/>
      <c r="M55" s="22"/>
      <c r="N55" s="22"/>
      <c r="O55" s="22"/>
      <c r="P55" s="22"/>
      <c r="Q55" s="22"/>
      <c r="R55" s="22"/>
      <c r="S55" s="22"/>
      <c r="T55" s="22"/>
      <c r="U55" s="22"/>
    </row>
    <row r="57" spans="1:21" x14ac:dyDescent="0.55000000000000004">
      <c r="A57" s="21" t="s">
        <v>53</v>
      </c>
      <c r="B57" s="41" t="s">
        <v>8</v>
      </c>
      <c r="C57" s="41" t="s">
        <v>9</v>
      </c>
      <c r="D57" s="41"/>
      <c r="E57" s="41">
        <v>2000</v>
      </c>
      <c r="F57" s="41">
        <v>2001</v>
      </c>
      <c r="G57" s="41">
        <v>2002</v>
      </c>
      <c r="H57" s="41">
        <v>2003</v>
      </c>
      <c r="I57" s="41">
        <v>2004</v>
      </c>
      <c r="J57" s="41">
        <v>2005</v>
      </c>
      <c r="K57" s="41">
        <v>2006</v>
      </c>
      <c r="L57" s="41">
        <v>2007</v>
      </c>
      <c r="M57" s="41">
        <v>2008</v>
      </c>
      <c r="N57" s="41">
        <v>2009</v>
      </c>
      <c r="O57" s="41">
        <v>2010</v>
      </c>
      <c r="P57" s="41">
        <v>2011</v>
      </c>
      <c r="Q57" s="41">
        <v>2012</v>
      </c>
      <c r="R57" s="41">
        <v>2013</v>
      </c>
      <c r="S57" s="41">
        <v>2014</v>
      </c>
      <c r="T57" s="41">
        <v>2015</v>
      </c>
      <c r="U57" s="41">
        <v>2016</v>
      </c>
    </row>
    <row r="58" spans="1:21" x14ac:dyDescent="0.55000000000000004">
      <c r="A58" s="41" t="str">
        <f>'Population Definitions'!$A$2</f>
        <v>Gen 0-4</v>
      </c>
      <c r="B58" s="41" t="s">
        <v>10</v>
      </c>
      <c r="C58" s="4">
        <f t="shared" ref="C58:C69" si="4">IF(SUMPRODUCT(--(E58:U58&lt;&gt;""))=0,0.16,"N.A.")</f>
        <v>0.16</v>
      </c>
      <c r="D58" s="41" t="s">
        <v>16</v>
      </c>
      <c r="E58" s="23"/>
      <c r="F58" s="22"/>
      <c r="G58" s="22"/>
      <c r="H58" s="22"/>
      <c r="I58" s="22"/>
      <c r="J58" s="22"/>
      <c r="K58" s="22"/>
      <c r="L58" s="22"/>
      <c r="M58" s="22"/>
      <c r="N58" s="22"/>
      <c r="O58" s="22"/>
      <c r="P58" s="22"/>
      <c r="Q58" s="22"/>
      <c r="R58" s="22"/>
      <c r="S58" s="22"/>
      <c r="T58" s="22"/>
      <c r="U58" s="22"/>
    </row>
    <row r="59" spans="1:21" x14ac:dyDescent="0.55000000000000004">
      <c r="A59" s="41" t="str">
        <f>'Population Definitions'!$A$3</f>
        <v>Gen 5-14</v>
      </c>
      <c r="B59" s="41" t="s">
        <v>10</v>
      </c>
      <c r="C59" s="4">
        <f t="shared" si="4"/>
        <v>0.16</v>
      </c>
      <c r="D59" s="41" t="s">
        <v>16</v>
      </c>
      <c r="E59" s="23"/>
      <c r="F59" s="22"/>
      <c r="G59" s="22"/>
      <c r="H59" s="22"/>
      <c r="I59" s="22"/>
      <c r="J59" s="22"/>
      <c r="K59" s="22"/>
      <c r="L59" s="22"/>
      <c r="M59" s="22"/>
      <c r="N59" s="22"/>
      <c r="O59" s="22"/>
      <c r="P59" s="22"/>
      <c r="Q59" s="22"/>
      <c r="R59" s="22"/>
      <c r="S59" s="22"/>
      <c r="T59" s="22"/>
      <c r="U59" s="22"/>
    </row>
    <row r="60" spans="1:21" x14ac:dyDescent="0.55000000000000004">
      <c r="A60" s="41" t="str">
        <f>'Population Definitions'!$A$4</f>
        <v>Gen 15-64</v>
      </c>
      <c r="B60" s="41" t="s">
        <v>10</v>
      </c>
      <c r="C60" s="4">
        <f t="shared" si="4"/>
        <v>0.16</v>
      </c>
      <c r="D60" s="41" t="s">
        <v>16</v>
      </c>
      <c r="E60" s="23"/>
      <c r="F60" s="22"/>
      <c r="G60" s="22"/>
      <c r="H60" s="22"/>
      <c r="I60" s="22"/>
      <c r="J60" s="22"/>
      <c r="K60" s="22"/>
      <c r="L60" s="22"/>
      <c r="M60" s="22"/>
      <c r="N60" s="22"/>
      <c r="O60" s="22"/>
      <c r="P60" s="22"/>
      <c r="Q60" s="22"/>
      <c r="R60" s="22"/>
      <c r="S60" s="22"/>
      <c r="T60" s="22"/>
      <c r="U60" s="22"/>
    </row>
    <row r="61" spans="1:21" x14ac:dyDescent="0.55000000000000004">
      <c r="A61" s="41" t="str">
        <f>'Population Definitions'!$A$5</f>
        <v>Gen 65+</v>
      </c>
      <c r="B61" s="41" t="s">
        <v>10</v>
      </c>
      <c r="C61" s="4">
        <f t="shared" si="4"/>
        <v>0.16</v>
      </c>
      <c r="D61" s="41" t="s">
        <v>16</v>
      </c>
      <c r="E61" s="23"/>
      <c r="F61" s="22"/>
      <c r="G61" s="22"/>
      <c r="H61" s="22"/>
      <c r="I61" s="22"/>
      <c r="J61" s="22"/>
      <c r="K61" s="22"/>
      <c r="L61" s="22"/>
      <c r="M61" s="22"/>
      <c r="N61" s="22"/>
      <c r="O61" s="22"/>
      <c r="P61" s="22"/>
      <c r="Q61" s="22"/>
      <c r="R61" s="22"/>
      <c r="S61" s="22"/>
      <c r="T61" s="22"/>
      <c r="U61" s="22"/>
    </row>
    <row r="62" spans="1:21" x14ac:dyDescent="0.55000000000000004">
      <c r="A62" s="41" t="str">
        <f>'Population Definitions'!$A$6</f>
        <v>PLHIV 15-64</v>
      </c>
      <c r="B62" s="41" t="s">
        <v>10</v>
      </c>
      <c r="C62" s="4" t="str">
        <f t="shared" si="4"/>
        <v>N.A.</v>
      </c>
      <c r="D62" s="41" t="s">
        <v>16</v>
      </c>
      <c r="E62" s="24">
        <v>0</v>
      </c>
      <c r="F62" s="22"/>
      <c r="G62" s="22"/>
      <c r="H62" s="22"/>
      <c r="I62" s="22"/>
      <c r="J62" s="22"/>
      <c r="K62" s="22"/>
      <c r="L62" s="22"/>
      <c r="M62" s="22"/>
      <c r="N62" s="22"/>
      <c r="O62" s="22"/>
      <c r="P62" s="22"/>
      <c r="Q62" s="22"/>
      <c r="R62" s="22"/>
      <c r="S62" s="22"/>
      <c r="T62" s="22"/>
      <c r="U62" s="22"/>
    </row>
    <row r="63" spans="1:21" x14ac:dyDescent="0.55000000000000004">
      <c r="A63" s="41" t="str">
        <f>'Population Definitions'!$A$7</f>
        <v>PLHIV 65+</v>
      </c>
      <c r="B63" s="41" t="s">
        <v>10</v>
      </c>
      <c r="C63" s="4" t="str">
        <f t="shared" si="4"/>
        <v>N.A.</v>
      </c>
      <c r="D63" s="41" t="s">
        <v>16</v>
      </c>
      <c r="E63" s="24">
        <v>0</v>
      </c>
      <c r="F63" s="22"/>
      <c r="G63" s="22"/>
      <c r="H63" s="22"/>
      <c r="I63" s="22"/>
      <c r="J63" s="22"/>
      <c r="K63" s="22"/>
      <c r="L63" s="22"/>
      <c r="M63" s="22"/>
      <c r="N63" s="22"/>
      <c r="O63" s="22"/>
      <c r="P63" s="22"/>
      <c r="Q63" s="22"/>
      <c r="R63" s="22"/>
      <c r="S63" s="22"/>
      <c r="T63" s="22"/>
      <c r="U63" s="22"/>
    </row>
    <row r="64" spans="1:21" x14ac:dyDescent="0.55000000000000004">
      <c r="A64" s="41" t="str">
        <f>'Population Definitions'!$A$8</f>
        <v>Prisoners</v>
      </c>
      <c r="B64" s="41" t="s">
        <v>10</v>
      </c>
      <c r="C64" s="4">
        <f t="shared" si="4"/>
        <v>0.16</v>
      </c>
      <c r="D64" s="41" t="s">
        <v>16</v>
      </c>
      <c r="E64" s="24"/>
      <c r="F64" s="22"/>
      <c r="G64" s="22"/>
      <c r="H64" s="22"/>
      <c r="I64" s="22"/>
      <c r="J64" s="22"/>
      <c r="K64" s="22"/>
      <c r="L64" s="22"/>
      <c r="M64" s="22"/>
      <c r="N64" s="22"/>
      <c r="O64" s="22"/>
      <c r="P64" s="22"/>
      <c r="Q64" s="22"/>
      <c r="R64" s="22"/>
      <c r="S64" s="22"/>
      <c r="T64" s="22"/>
      <c r="U64" s="22"/>
    </row>
    <row r="65" spans="1:21" x14ac:dyDescent="0.55000000000000004">
      <c r="A65" s="41" t="str">
        <f>'Population Definitions'!$A$9</f>
        <v>PLHIV Prisoners</v>
      </c>
      <c r="B65" s="41" t="s">
        <v>10</v>
      </c>
      <c r="C65" s="4" t="str">
        <f t="shared" si="4"/>
        <v>N.A.</v>
      </c>
      <c r="D65" s="41" t="s">
        <v>16</v>
      </c>
      <c r="E65" s="24">
        <v>0</v>
      </c>
      <c r="F65" s="22"/>
      <c r="G65" s="22"/>
      <c r="H65" s="22"/>
      <c r="I65" s="22"/>
      <c r="J65" s="22"/>
      <c r="K65" s="22"/>
      <c r="L65" s="22"/>
      <c r="M65" s="22"/>
      <c r="N65" s="22"/>
      <c r="O65" s="22"/>
      <c r="P65" s="22"/>
      <c r="Q65" s="22"/>
      <c r="R65" s="22"/>
      <c r="S65" s="22"/>
      <c r="T65" s="22"/>
      <c r="U65" s="22"/>
    </row>
    <row r="66" spans="1:21" x14ac:dyDescent="0.55000000000000004">
      <c r="A66" s="41" t="str">
        <f>'Population Definitions'!$A$10</f>
        <v>HCW</v>
      </c>
      <c r="B66" s="41" t="s">
        <v>10</v>
      </c>
      <c r="C66" s="4">
        <f t="shared" si="4"/>
        <v>0.16</v>
      </c>
      <c r="D66" s="41" t="s">
        <v>16</v>
      </c>
      <c r="E66" s="24"/>
      <c r="F66" s="22"/>
      <c r="G66" s="22"/>
      <c r="H66" s="22"/>
      <c r="I66" s="22"/>
      <c r="J66" s="22"/>
      <c r="K66" s="22"/>
      <c r="L66" s="22"/>
      <c r="M66" s="22"/>
      <c r="N66" s="22"/>
      <c r="O66" s="22"/>
      <c r="P66" s="22"/>
      <c r="Q66" s="22"/>
      <c r="R66" s="22"/>
      <c r="S66" s="22"/>
      <c r="T66" s="22"/>
      <c r="U66" s="22"/>
    </row>
    <row r="67" spans="1:21" x14ac:dyDescent="0.55000000000000004">
      <c r="A67" s="41" t="str">
        <f>'Population Definitions'!$A$11</f>
        <v>PLHIV HCW</v>
      </c>
      <c r="B67" s="41" t="s">
        <v>10</v>
      </c>
      <c r="C67" s="4" t="str">
        <f t="shared" si="4"/>
        <v>N.A.</v>
      </c>
      <c r="D67" s="41" t="s">
        <v>16</v>
      </c>
      <c r="E67" s="24">
        <v>0</v>
      </c>
      <c r="F67" s="22"/>
      <c r="G67" s="22"/>
      <c r="H67" s="22"/>
      <c r="I67" s="22"/>
      <c r="J67" s="22"/>
      <c r="K67" s="22"/>
      <c r="L67" s="22"/>
      <c r="M67" s="22"/>
      <c r="N67" s="22"/>
      <c r="O67" s="22"/>
      <c r="P67" s="22"/>
      <c r="Q67" s="22"/>
      <c r="R67" s="22"/>
      <c r="S67" s="22"/>
      <c r="T67" s="22"/>
      <c r="U67" s="22"/>
    </row>
    <row r="68" spans="1:21" x14ac:dyDescent="0.55000000000000004">
      <c r="A68" s="41" t="str">
        <f>'Population Definitions'!$A$12</f>
        <v>Miners</v>
      </c>
      <c r="B68" s="41" t="s">
        <v>10</v>
      </c>
      <c r="C68" s="4">
        <f t="shared" si="4"/>
        <v>0.16</v>
      </c>
      <c r="D68" s="41" t="s">
        <v>16</v>
      </c>
      <c r="E68" s="24"/>
      <c r="F68" s="22"/>
      <c r="G68" s="22"/>
      <c r="H68" s="22"/>
      <c r="I68" s="22"/>
      <c r="J68" s="22"/>
      <c r="K68" s="22"/>
      <c r="L68" s="22"/>
      <c r="M68" s="22"/>
      <c r="N68" s="22"/>
      <c r="O68" s="22"/>
      <c r="P68" s="22"/>
      <c r="Q68" s="22"/>
      <c r="R68" s="22"/>
      <c r="S68" s="22"/>
      <c r="T68" s="22"/>
      <c r="U68" s="22"/>
    </row>
    <row r="69" spans="1:21" x14ac:dyDescent="0.55000000000000004">
      <c r="A69" s="41" t="str">
        <f>'Population Definitions'!$A$13</f>
        <v>PLHIV Miners</v>
      </c>
      <c r="B69" s="41" t="s">
        <v>10</v>
      </c>
      <c r="C69" s="4" t="str">
        <f t="shared" si="4"/>
        <v>N.A.</v>
      </c>
      <c r="D69" s="41" t="s">
        <v>16</v>
      </c>
      <c r="E69" s="24">
        <v>0</v>
      </c>
      <c r="F69" s="22"/>
      <c r="G69" s="22"/>
      <c r="H69" s="22"/>
      <c r="I69" s="22"/>
      <c r="J69" s="22"/>
      <c r="K69" s="22"/>
      <c r="L69" s="22"/>
      <c r="M69" s="22"/>
      <c r="N69" s="22"/>
      <c r="O69" s="22"/>
      <c r="P69" s="22"/>
      <c r="Q69" s="22"/>
      <c r="R69" s="22"/>
      <c r="S69" s="22"/>
      <c r="T69" s="22"/>
      <c r="U69" s="22"/>
    </row>
    <row r="71" spans="1:21" x14ac:dyDescent="0.55000000000000004">
      <c r="A71" s="21" t="s">
        <v>60</v>
      </c>
      <c r="B71" s="41" t="s">
        <v>8</v>
      </c>
      <c r="C71" s="41" t="s">
        <v>9</v>
      </c>
      <c r="D71" s="41"/>
      <c r="E71" s="41">
        <v>2000</v>
      </c>
      <c r="F71" s="41">
        <v>2001</v>
      </c>
      <c r="G71" s="41">
        <v>2002</v>
      </c>
      <c r="H71" s="41">
        <v>2003</v>
      </c>
      <c r="I71" s="41">
        <v>2004</v>
      </c>
      <c r="J71" s="41">
        <v>2005</v>
      </c>
      <c r="K71" s="41">
        <v>2006</v>
      </c>
      <c r="L71" s="41">
        <v>2007</v>
      </c>
      <c r="M71" s="41">
        <v>2008</v>
      </c>
      <c r="N71" s="41">
        <v>2009</v>
      </c>
      <c r="O71" s="41">
        <v>2010</v>
      </c>
      <c r="P71" s="41">
        <v>2011</v>
      </c>
      <c r="Q71" s="41">
        <v>2012</v>
      </c>
      <c r="R71" s="41">
        <v>2013</v>
      </c>
      <c r="S71" s="41">
        <v>2014</v>
      </c>
      <c r="T71" s="41">
        <v>2015</v>
      </c>
      <c r="U71" s="41">
        <v>2016</v>
      </c>
    </row>
    <row r="72" spans="1:21" x14ac:dyDescent="0.55000000000000004">
      <c r="A72" s="41" t="str">
        <f>'Population Definitions'!$A$2</f>
        <v>Gen 0-4</v>
      </c>
      <c r="B72" s="41" t="s">
        <v>10</v>
      </c>
      <c r="C72" s="4">
        <f t="shared" ref="C72:C83" si="5">IF(SUMPRODUCT(--(E72:U72&lt;&gt;""))=0,0.16,"N.A.")</f>
        <v>0.16</v>
      </c>
      <c r="D72" s="41" t="s">
        <v>16</v>
      </c>
      <c r="E72" s="23"/>
      <c r="F72" s="22"/>
      <c r="G72" s="22"/>
      <c r="H72" s="22"/>
      <c r="I72" s="22"/>
      <c r="J72" s="22"/>
      <c r="K72" s="22"/>
      <c r="L72" s="22"/>
      <c r="M72" s="22"/>
      <c r="N72" s="22"/>
      <c r="O72" s="22"/>
      <c r="P72" s="22"/>
      <c r="Q72" s="22"/>
      <c r="R72" s="22"/>
      <c r="S72" s="22"/>
      <c r="T72" s="22"/>
      <c r="U72" s="22"/>
    </row>
    <row r="73" spans="1:21" x14ac:dyDescent="0.55000000000000004">
      <c r="A73" s="41" t="str">
        <f>'Population Definitions'!$A$3</f>
        <v>Gen 5-14</v>
      </c>
      <c r="B73" s="41" t="s">
        <v>10</v>
      </c>
      <c r="C73" s="4">
        <f t="shared" si="5"/>
        <v>0.16</v>
      </c>
      <c r="D73" s="41" t="s">
        <v>16</v>
      </c>
      <c r="E73" s="23"/>
      <c r="F73" s="22"/>
      <c r="G73" s="22"/>
      <c r="H73" s="22"/>
      <c r="I73" s="22"/>
      <c r="J73" s="22"/>
      <c r="K73" s="22"/>
      <c r="L73" s="22"/>
      <c r="M73" s="22"/>
      <c r="N73" s="22"/>
      <c r="O73" s="22"/>
      <c r="P73" s="22"/>
      <c r="Q73" s="22"/>
      <c r="R73" s="22"/>
      <c r="S73" s="22"/>
      <c r="T73" s="22"/>
      <c r="U73" s="22"/>
    </row>
    <row r="74" spans="1:21" x14ac:dyDescent="0.55000000000000004">
      <c r="A74" s="41" t="str">
        <f>'Population Definitions'!$A$4</f>
        <v>Gen 15-64</v>
      </c>
      <c r="B74" s="41" t="s">
        <v>10</v>
      </c>
      <c r="C74" s="4">
        <f t="shared" si="5"/>
        <v>0.16</v>
      </c>
      <c r="D74" s="41" t="s">
        <v>16</v>
      </c>
      <c r="E74" s="23"/>
      <c r="F74" s="22"/>
      <c r="G74" s="22"/>
      <c r="H74" s="22"/>
      <c r="I74" s="22"/>
      <c r="J74" s="22"/>
      <c r="K74" s="22"/>
      <c r="L74" s="22"/>
      <c r="M74" s="22"/>
      <c r="N74" s="22"/>
      <c r="O74" s="22"/>
      <c r="P74" s="22"/>
      <c r="Q74" s="22"/>
      <c r="R74" s="22"/>
      <c r="S74" s="22"/>
      <c r="T74" s="22"/>
      <c r="U74" s="22"/>
    </row>
    <row r="75" spans="1:21" x14ac:dyDescent="0.55000000000000004">
      <c r="A75" s="41" t="str">
        <f>'Population Definitions'!$A$5</f>
        <v>Gen 65+</v>
      </c>
      <c r="B75" s="41" t="s">
        <v>10</v>
      </c>
      <c r="C75" s="4">
        <f t="shared" si="5"/>
        <v>0.16</v>
      </c>
      <c r="D75" s="41" t="s">
        <v>16</v>
      </c>
      <c r="E75" s="23"/>
      <c r="F75" s="22"/>
      <c r="G75" s="22"/>
      <c r="H75" s="22"/>
      <c r="I75" s="22"/>
      <c r="J75" s="22"/>
      <c r="K75" s="22"/>
      <c r="L75" s="22"/>
      <c r="M75" s="22"/>
      <c r="N75" s="22"/>
      <c r="O75" s="22"/>
      <c r="P75" s="22"/>
      <c r="Q75" s="22"/>
      <c r="R75" s="22"/>
      <c r="S75" s="22"/>
      <c r="T75" s="22"/>
      <c r="U75" s="22"/>
    </row>
    <row r="76" spans="1:21" x14ac:dyDescent="0.55000000000000004">
      <c r="A76" s="41" t="str">
        <f>'Population Definitions'!$A$6</f>
        <v>PLHIV 15-64</v>
      </c>
      <c r="B76" s="41" t="s">
        <v>10</v>
      </c>
      <c r="C76" s="4" t="str">
        <f t="shared" si="5"/>
        <v>N.A.</v>
      </c>
      <c r="D76" s="41" t="s">
        <v>16</v>
      </c>
      <c r="E76" s="24">
        <v>0</v>
      </c>
      <c r="F76" s="22"/>
      <c r="G76" s="22"/>
      <c r="H76" s="22"/>
      <c r="I76" s="22"/>
      <c r="J76" s="22"/>
      <c r="K76" s="22"/>
      <c r="L76" s="22"/>
      <c r="M76" s="22"/>
      <c r="N76" s="22"/>
      <c r="O76" s="22"/>
      <c r="P76" s="22"/>
      <c r="Q76" s="22"/>
      <c r="R76" s="22"/>
      <c r="S76" s="22"/>
      <c r="T76" s="22"/>
      <c r="U76" s="22"/>
    </row>
    <row r="77" spans="1:21" x14ac:dyDescent="0.55000000000000004">
      <c r="A77" s="41" t="str">
        <f>'Population Definitions'!$A$7</f>
        <v>PLHIV 65+</v>
      </c>
      <c r="B77" s="41" t="s">
        <v>10</v>
      </c>
      <c r="C77" s="4" t="str">
        <f t="shared" si="5"/>
        <v>N.A.</v>
      </c>
      <c r="D77" s="41" t="s">
        <v>16</v>
      </c>
      <c r="E77" s="24">
        <v>0</v>
      </c>
      <c r="F77" s="22"/>
      <c r="G77" s="22"/>
      <c r="H77" s="22"/>
      <c r="I77" s="22"/>
      <c r="J77" s="22"/>
      <c r="K77" s="22"/>
      <c r="L77" s="22"/>
      <c r="M77" s="22"/>
      <c r="N77" s="22"/>
      <c r="O77" s="22"/>
      <c r="P77" s="22"/>
      <c r="Q77" s="22"/>
      <c r="R77" s="22"/>
      <c r="S77" s="22"/>
      <c r="T77" s="22"/>
      <c r="U77" s="22"/>
    </row>
    <row r="78" spans="1:21" x14ac:dyDescent="0.55000000000000004">
      <c r="A78" s="41" t="str">
        <f>'Population Definitions'!$A$8</f>
        <v>Prisoners</v>
      </c>
      <c r="B78" s="41" t="s">
        <v>10</v>
      </c>
      <c r="C78" s="4">
        <f t="shared" si="5"/>
        <v>0.16</v>
      </c>
      <c r="D78" s="41" t="s">
        <v>16</v>
      </c>
      <c r="E78" s="24"/>
      <c r="F78" s="22"/>
      <c r="G78" s="22"/>
      <c r="H78" s="22"/>
      <c r="I78" s="22"/>
      <c r="J78" s="22"/>
      <c r="K78" s="22"/>
      <c r="L78" s="22"/>
      <c r="M78" s="22"/>
      <c r="N78" s="22"/>
      <c r="O78" s="22"/>
      <c r="P78" s="22"/>
      <c r="Q78" s="22"/>
      <c r="R78" s="22"/>
      <c r="S78" s="22"/>
      <c r="T78" s="22"/>
      <c r="U78" s="22"/>
    </row>
    <row r="79" spans="1:21" x14ac:dyDescent="0.55000000000000004">
      <c r="A79" s="41" t="str">
        <f>'Population Definitions'!$A$9</f>
        <v>PLHIV Prisoners</v>
      </c>
      <c r="B79" s="41" t="s">
        <v>10</v>
      </c>
      <c r="C79" s="4" t="str">
        <f t="shared" si="5"/>
        <v>N.A.</v>
      </c>
      <c r="D79" s="41" t="s">
        <v>16</v>
      </c>
      <c r="E79" s="24">
        <v>0</v>
      </c>
      <c r="F79" s="22"/>
      <c r="G79" s="22"/>
      <c r="H79" s="22"/>
      <c r="I79" s="22"/>
      <c r="J79" s="22"/>
      <c r="K79" s="22"/>
      <c r="L79" s="22"/>
      <c r="M79" s="22"/>
      <c r="N79" s="22"/>
      <c r="O79" s="22"/>
      <c r="P79" s="22"/>
      <c r="Q79" s="22"/>
      <c r="R79" s="22"/>
      <c r="S79" s="22"/>
      <c r="T79" s="22"/>
      <c r="U79" s="22"/>
    </row>
    <row r="80" spans="1:21" x14ac:dyDescent="0.55000000000000004">
      <c r="A80" s="41" t="str">
        <f>'Population Definitions'!$A$10</f>
        <v>HCW</v>
      </c>
      <c r="B80" s="41" t="s">
        <v>10</v>
      </c>
      <c r="C80" s="4">
        <f t="shared" si="5"/>
        <v>0.16</v>
      </c>
      <c r="D80" s="41" t="s">
        <v>16</v>
      </c>
      <c r="E80" s="24"/>
      <c r="F80" s="22"/>
      <c r="G80" s="22"/>
      <c r="H80" s="22"/>
      <c r="I80" s="22"/>
      <c r="J80" s="22"/>
      <c r="K80" s="22"/>
      <c r="L80" s="22"/>
      <c r="M80" s="22"/>
      <c r="N80" s="22"/>
      <c r="O80" s="22"/>
      <c r="P80" s="22"/>
      <c r="Q80" s="22"/>
      <c r="R80" s="22"/>
      <c r="S80" s="22"/>
      <c r="T80" s="22"/>
      <c r="U80" s="22"/>
    </row>
    <row r="81" spans="1:21" x14ac:dyDescent="0.55000000000000004">
      <c r="A81" s="41" t="str">
        <f>'Population Definitions'!$A$11</f>
        <v>PLHIV HCW</v>
      </c>
      <c r="B81" s="41" t="s">
        <v>10</v>
      </c>
      <c r="C81" s="4" t="str">
        <f t="shared" si="5"/>
        <v>N.A.</v>
      </c>
      <c r="D81" s="41" t="s">
        <v>16</v>
      </c>
      <c r="E81" s="24">
        <v>0</v>
      </c>
      <c r="F81" s="22"/>
      <c r="G81" s="22"/>
      <c r="H81" s="22"/>
      <c r="I81" s="22"/>
      <c r="J81" s="22"/>
      <c r="K81" s="22"/>
      <c r="L81" s="22"/>
      <c r="M81" s="22"/>
      <c r="N81" s="22"/>
      <c r="O81" s="22"/>
      <c r="P81" s="22"/>
      <c r="Q81" s="22"/>
      <c r="R81" s="22"/>
      <c r="S81" s="22"/>
      <c r="T81" s="22"/>
      <c r="U81" s="22"/>
    </row>
    <row r="82" spans="1:21" x14ac:dyDescent="0.55000000000000004">
      <c r="A82" s="41" t="str">
        <f>'Population Definitions'!$A$12</f>
        <v>Miners</v>
      </c>
      <c r="B82" s="41" t="s">
        <v>10</v>
      </c>
      <c r="C82" s="4">
        <f t="shared" si="5"/>
        <v>0.16</v>
      </c>
      <c r="D82" s="41" t="s">
        <v>16</v>
      </c>
      <c r="E82" s="24"/>
      <c r="F82" s="22"/>
      <c r="G82" s="22"/>
      <c r="H82" s="22"/>
      <c r="I82" s="22"/>
      <c r="J82" s="22"/>
      <c r="K82" s="22"/>
      <c r="L82" s="22"/>
      <c r="M82" s="22"/>
      <c r="N82" s="22"/>
      <c r="O82" s="22"/>
      <c r="P82" s="22"/>
      <c r="Q82" s="22"/>
      <c r="R82" s="22"/>
      <c r="S82" s="22"/>
      <c r="T82" s="22"/>
      <c r="U82" s="22"/>
    </row>
    <row r="83" spans="1:21" x14ac:dyDescent="0.55000000000000004">
      <c r="A83" s="41" t="str">
        <f>'Population Definitions'!$A$13</f>
        <v>PLHIV Miners</v>
      </c>
      <c r="B83" s="41" t="s">
        <v>10</v>
      </c>
      <c r="C83" s="4" t="str">
        <f t="shared" si="5"/>
        <v>N.A.</v>
      </c>
      <c r="D83" s="41" t="s">
        <v>16</v>
      </c>
      <c r="E83" s="24">
        <v>0</v>
      </c>
      <c r="F83" s="22"/>
      <c r="G83" s="22"/>
      <c r="H83" s="22"/>
      <c r="I83" s="22"/>
      <c r="J83" s="22"/>
      <c r="K83" s="22"/>
      <c r="L83" s="22"/>
      <c r="M83" s="22"/>
      <c r="N83" s="22"/>
      <c r="O83" s="22"/>
      <c r="P83" s="22"/>
      <c r="Q83" s="22"/>
      <c r="R83" s="22"/>
      <c r="S83" s="22"/>
      <c r="T83" s="22"/>
      <c r="U83" s="22"/>
    </row>
    <row r="85" spans="1:21" x14ac:dyDescent="0.55000000000000004">
      <c r="A85" s="21" t="s">
        <v>67</v>
      </c>
      <c r="B85" s="41" t="s">
        <v>8</v>
      </c>
      <c r="C85" s="41" t="s">
        <v>9</v>
      </c>
      <c r="D85" s="41"/>
      <c r="E85" s="41">
        <v>2000</v>
      </c>
      <c r="F85" s="41">
        <v>2001</v>
      </c>
      <c r="G85" s="41">
        <v>2002</v>
      </c>
      <c r="H85" s="41">
        <v>2003</v>
      </c>
      <c r="I85" s="41">
        <v>2004</v>
      </c>
      <c r="J85" s="41">
        <v>2005</v>
      </c>
      <c r="K85" s="41">
        <v>2006</v>
      </c>
      <c r="L85" s="41">
        <v>2007</v>
      </c>
      <c r="M85" s="41">
        <v>2008</v>
      </c>
      <c r="N85" s="41">
        <v>2009</v>
      </c>
      <c r="O85" s="41">
        <v>2010</v>
      </c>
      <c r="P85" s="41">
        <v>2011</v>
      </c>
      <c r="Q85" s="41">
        <v>2012</v>
      </c>
      <c r="R85" s="41">
        <v>2013</v>
      </c>
      <c r="S85" s="41">
        <v>2014</v>
      </c>
      <c r="T85" s="41">
        <v>2015</v>
      </c>
      <c r="U85" s="41">
        <v>2016</v>
      </c>
    </row>
    <row r="86" spans="1:21" x14ac:dyDescent="0.55000000000000004">
      <c r="A86" s="41" t="str">
        <f>'Population Definitions'!$A$2</f>
        <v>Gen 0-4</v>
      </c>
      <c r="B86" s="41" t="s">
        <v>10</v>
      </c>
      <c r="C86" s="4">
        <f t="shared" ref="C86:C97" si="6">IF(SUMPRODUCT(--(E86:U86&lt;&gt;""))=0,0,"N.A.")</f>
        <v>0</v>
      </c>
      <c r="D86" s="41" t="s">
        <v>16</v>
      </c>
      <c r="E86" s="23"/>
      <c r="F86" s="22"/>
      <c r="G86" s="22"/>
      <c r="H86" s="22"/>
      <c r="I86" s="22"/>
      <c r="J86" s="22"/>
      <c r="K86" s="22"/>
      <c r="L86" s="22"/>
      <c r="M86" s="22"/>
      <c r="N86" s="22"/>
      <c r="O86" s="22"/>
      <c r="P86" s="22"/>
      <c r="Q86" s="22"/>
      <c r="R86" s="22"/>
      <c r="S86" s="22"/>
      <c r="T86" s="22"/>
      <c r="U86" s="22"/>
    </row>
    <row r="87" spans="1:21" x14ac:dyDescent="0.55000000000000004">
      <c r="A87" s="41" t="str">
        <f>'Population Definitions'!$A$3</f>
        <v>Gen 5-14</v>
      </c>
      <c r="B87" s="41" t="s">
        <v>10</v>
      </c>
      <c r="C87" s="4">
        <f t="shared" si="6"/>
        <v>0</v>
      </c>
      <c r="D87" s="41" t="s">
        <v>16</v>
      </c>
      <c r="E87" s="23"/>
      <c r="F87" s="22"/>
      <c r="G87" s="22"/>
      <c r="H87" s="22"/>
      <c r="I87" s="22"/>
      <c r="J87" s="22"/>
      <c r="K87" s="22"/>
      <c r="L87" s="22"/>
      <c r="M87" s="22"/>
      <c r="N87" s="22"/>
      <c r="O87" s="22"/>
      <c r="P87" s="22"/>
      <c r="Q87" s="22"/>
      <c r="R87" s="22"/>
      <c r="S87" s="22"/>
      <c r="T87" s="22"/>
      <c r="U87" s="22"/>
    </row>
    <row r="88" spans="1:21" x14ac:dyDescent="0.55000000000000004">
      <c r="A88" s="41" t="str">
        <f>'Population Definitions'!$A$4</f>
        <v>Gen 15-64</v>
      </c>
      <c r="B88" s="41" t="s">
        <v>10</v>
      </c>
      <c r="C88" s="4">
        <f t="shared" si="6"/>
        <v>0</v>
      </c>
      <c r="D88" s="41" t="s">
        <v>16</v>
      </c>
      <c r="E88" s="23"/>
      <c r="F88" s="22"/>
      <c r="G88" s="22"/>
      <c r="H88" s="22"/>
      <c r="I88" s="22"/>
      <c r="J88" s="22"/>
      <c r="K88" s="22"/>
      <c r="L88" s="22"/>
      <c r="M88" s="22"/>
      <c r="N88" s="22"/>
      <c r="O88" s="22"/>
      <c r="P88" s="22"/>
      <c r="Q88" s="22"/>
      <c r="R88" s="22"/>
      <c r="S88" s="22"/>
      <c r="T88" s="22"/>
      <c r="U88" s="22"/>
    </row>
    <row r="89" spans="1:21" x14ac:dyDescent="0.55000000000000004">
      <c r="A89" s="41" t="str">
        <f>'Population Definitions'!$A$5</f>
        <v>Gen 65+</v>
      </c>
      <c r="B89" s="41" t="s">
        <v>10</v>
      </c>
      <c r="C89" s="4">
        <f t="shared" si="6"/>
        <v>0</v>
      </c>
      <c r="D89" s="41" t="s">
        <v>16</v>
      </c>
      <c r="E89" s="23"/>
      <c r="F89" s="22"/>
      <c r="G89" s="22"/>
      <c r="H89" s="22"/>
      <c r="I89" s="22"/>
      <c r="J89" s="22"/>
      <c r="K89" s="22"/>
      <c r="L89" s="22"/>
      <c r="M89" s="22"/>
      <c r="N89" s="22"/>
      <c r="O89" s="22"/>
      <c r="P89" s="22"/>
      <c r="Q89" s="22"/>
      <c r="R89" s="22"/>
      <c r="S89" s="22"/>
      <c r="T89" s="22"/>
      <c r="U89" s="22"/>
    </row>
    <row r="90" spans="1:21" x14ac:dyDescent="0.55000000000000004">
      <c r="A90" s="41" t="str">
        <f>'Population Definitions'!$A$6</f>
        <v>PLHIV 15-64</v>
      </c>
      <c r="B90" s="41" t="s">
        <v>10</v>
      </c>
      <c r="C90" s="4">
        <f t="shared" si="6"/>
        <v>0</v>
      </c>
      <c r="D90" s="41" t="s">
        <v>16</v>
      </c>
      <c r="E90" s="24"/>
      <c r="F90" s="22"/>
      <c r="G90" s="22"/>
      <c r="H90" s="22"/>
      <c r="I90" s="22"/>
      <c r="J90" s="22"/>
      <c r="K90" s="22"/>
      <c r="L90" s="22"/>
      <c r="M90" s="22"/>
      <c r="N90" s="22"/>
      <c r="O90" s="22"/>
      <c r="P90" s="22"/>
      <c r="Q90" s="22"/>
      <c r="R90" s="22"/>
      <c r="S90" s="22"/>
      <c r="T90" s="22"/>
      <c r="U90" s="22"/>
    </row>
    <row r="91" spans="1:21" x14ac:dyDescent="0.55000000000000004">
      <c r="A91" s="41" t="str">
        <f>'Population Definitions'!$A$7</f>
        <v>PLHIV 65+</v>
      </c>
      <c r="B91" s="41" t="s">
        <v>10</v>
      </c>
      <c r="C91" s="4">
        <f t="shared" si="6"/>
        <v>0</v>
      </c>
      <c r="D91" s="41" t="s">
        <v>16</v>
      </c>
      <c r="E91" s="24"/>
      <c r="F91" s="22"/>
      <c r="G91" s="22"/>
      <c r="H91" s="22"/>
      <c r="I91" s="22"/>
      <c r="J91" s="22"/>
      <c r="K91" s="22"/>
      <c r="L91" s="22"/>
      <c r="M91" s="22"/>
      <c r="N91" s="22"/>
      <c r="O91" s="22"/>
      <c r="P91" s="22"/>
      <c r="Q91" s="22"/>
      <c r="R91" s="22"/>
      <c r="S91" s="22"/>
      <c r="T91" s="22"/>
      <c r="U91" s="22"/>
    </row>
    <row r="92" spans="1:21" x14ac:dyDescent="0.55000000000000004">
      <c r="A92" s="41" t="str">
        <f>'Population Definitions'!$A$8</f>
        <v>Prisoners</v>
      </c>
      <c r="B92" s="41" t="s">
        <v>10</v>
      </c>
      <c r="C92" s="4">
        <f t="shared" si="6"/>
        <v>0</v>
      </c>
      <c r="D92" s="41" t="s">
        <v>16</v>
      </c>
      <c r="E92" s="24"/>
      <c r="F92" s="22"/>
      <c r="G92" s="22"/>
      <c r="H92" s="22"/>
      <c r="I92" s="22"/>
      <c r="J92" s="22"/>
      <c r="K92" s="22"/>
      <c r="L92" s="22"/>
      <c r="M92" s="22"/>
      <c r="N92" s="22"/>
      <c r="O92" s="22"/>
      <c r="P92" s="22"/>
      <c r="Q92" s="22"/>
      <c r="R92" s="22"/>
      <c r="S92" s="22"/>
      <c r="T92" s="22"/>
      <c r="U92" s="22"/>
    </row>
    <row r="93" spans="1:21" x14ac:dyDescent="0.55000000000000004">
      <c r="A93" s="41" t="str">
        <f>'Population Definitions'!$A$9</f>
        <v>PLHIV Prisoners</v>
      </c>
      <c r="B93" s="41" t="s">
        <v>10</v>
      </c>
      <c r="C93" s="4">
        <f t="shared" si="6"/>
        <v>0</v>
      </c>
      <c r="D93" s="41" t="s">
        <v>16</v>
      </c>
      <c r="E93" s="24"/>
      <c r="F93" s="22"/>
      <c r="G93" s="22"/>
      <c r="H93" s="22"/>
      <c r="I93" s="22"/>
      <c r="J93" s="22"/>
      <c r="K93" s="22"/>
      <c r="L93" s="22"/>
      <c r="M93" s="22"/>
      <c r="N93" s="22"/>
      <c r="O93" s="22"/>
      <c r="P93" s="22"/>
      <c r="Q93" s="22"/>
      <c r="R93" s="22"/>
      <c r="S93" s="22"/>
      <c r="T93" s="22"/>
      <c r="U93" s="22"/>
    </row>
    <row r="94" spans="1:21" x14ac:dyDescent="0.55000000000000004">
      <c r="A94" s="41" t="str">
        <f>'Population Definitions'!$A$10</f>
        <v>HCW</v>
      </c>
      <c r="B94" s="41" t="s">
        <v>10</v>
      </c>
      <c r="C94" s="4">
        <f t="shared" si="6"/>
        <v>0</v>
      </c>
      <c r="D94" s="41" t="s">
        <v>16</v>
      </c>
      <c r="E94" s="24"/>
      <c r="F94" s="22"/>
      <c r="G94" s="22"/>
      <c r="H94" s="22"/>
      <c r="I94" s="22"/>
      <c r="J94" s="22"/>
      <c r="K94" s="22"/>
      <c r="L94" s="22"/>
      <c r="M94" s="22"/>
      <c r="N94" s="22"/>
      <c r="O94" s="22"/>
      <c r="P94" s="22"/>
      <c r="Q94" s="22"/>
      <c r="R94" s="22"/>
      <c r="S94" s="22"/>
      <c r="T94" s="22"/>
      <c r="U94" s="22"/>
    </row>
    <row r="95" spans="1:21" x14ac:dyDescent="0.55000000000000004">
      <c r="A95" s="41" t="str">
        <f>'Population Definitions'!$A$11</f>
        <v>PLHIV HCW</v>
      </c>
      <c r="B95" s="41" t="s">
        <v>10</v>
      </c>
      <c r="C95" s="4">
        <f t="shared" si="6"/>
        <v>0</v>
      </c>
      <c r="D95" s="41" t="s">
        <v>16</v>
      </c>
      <c r="E95" s="24"/>
      <c r="F95" s="22"/>
      <c r="G95" s="22"/>
      <c r="H95" s="22"/>
      <c r="I95" s="22"/>
      <c r="J95" s="22"/>
      <c r="K95" s="22"/>
      <c r="L95" s="22"/>
      <c r="M95" s="22"/>
      <c r="N95" s="22"/>
      <c r="O95" s="22"/>
      <c r="P95" s="22"/>
      <c r="Q95" s="22"/>
      <c r="R95" s="22"/>
      <c r="S95" s="22"/>
      <c r="T95" s="22"/>
      <c r="U95" s="22"/>
    </row>
    <row r="96" spans="1:21" x14ac:dyDescent="0.55000000000000004">
      <c r="A96" s="41" t="str">
        <f>'Population Definitions'!$A$12</f>
        <v>Miners</v>
      </c>
      <c r="B96" s="41" t="s">
        <v>10</v>
      </c>
      <c r="C96" s="4">
        <f t="shared" si="6"/>
        <v>0</v>
      </c>
      <c r="D96" s="41" t="s">
        <v>16</v>
      </c>
      <c r="E96" s="24"/>
      <c r="F96" s="22"/>
      <c r="G96" s="22"/>
      <c r="H96" s="22"/>
      <c r="I96" s="22"/>
      <c r="J96" s="22"/>
      <c r="K96" s="22"/>
      <c r="L96" s="22"/>
      <c r="M96" s="22"/>
      <c r="N96" s="22"/>
      <c r="O96" s="22"/>
      <c r="P96" s="22"/>
      <c r="Q96" s="22"/>
      <c r="R96" s="22"/>
      <c r="S96" s="22"/>
      <c r="T96" s="22"/>
      <c r="U96" s="22"/>
    </row>
    <row r="97" spans="1:21" x14ac:dyDescent="0.55000000000000004">
      <c r="A97" s="41" t="str">
        <f>'Population Definitions'!$A$13</f>
        <v>PLHIV Miners</v>
      </c>
      <c r="B97" s="41" t="s">
        <v>10</v>
      </c>
      <c r="C97" s="4">
        <f t="shared" si="6"/>
        <v>0</v>
      </c>
      <c r="D97" s="41" t="s">
        <v>16</v>
      </c>
      <c r="E97" s="24"/>
      <c r="F97" s="22"/>
      <c r="G97" s="22"/>
      <c r="H97" s="22"/>
      <c r="I97" s="22"/>
      <c r="J97" s="22"/>
      <c r="K97" s="22"/>
      <c r="L97" s="22"/>
      <c r="M97" s="22"/>
      <c r="N97" s="22"/>
      <c r="O97" s="22"/>
      <c r="P97" s="22"/>
      <c r="Q97" s="22"/>
      <c r="R97" s="22"/>
      <c r="S97" s="22"/>
      <c r="T97" s="22"/>
      <c r="U97" s="22"/>
    </row>
    <row r="99" spans="1:21" x14ac:dyDescent="0.55000000000000004">
      <c r="A99" s="21" t="s">
        <v>72</v>
      </c>
      <c r="B99" s="41" t="s">
        <v>8</v>
      </c>
      <c r="C99" s="41" t="s">
        <v>9</v>
      </c>
      <c r="D99" s="41"/>
      <c r="E99" s="41">
        <v>2000</v>
      </c>
      <c r="F99" s="41">
        <v>2001</v>
      </c>
      <c r="G99" s="41">
        <v>2002</v>
      </c>
      <c r="H99" s="41">
        <v>2003</v>
      </c>
      <c r="I99" s="41">
        <v>2004</v>
      </c>
      <c r="J99" s="41">
        <v>2005</v>
      </c>
      <c r="K99" s="41">
        <v>2006</v>
      </c>
      <c r="L99" s="41">
        <v>2007</v>
      </c>
      <c r="M99" s="41">
        <v>2008</v>
      </c>
      <c r="N99" s="41">
        <v>2009</v>
      </c>
      <c r="O99" s="41">
        <v>2010</v>
      </c>
      <c r="P99" s="41">
        <v>2011</v>
      </c>
      <c r="Q99" s="41">
        <v>2012</v>
      </c>
      <c r="R99" s="41">
        <v>2013</v>
      </c>
      <c r="S99" s="41">
        <v>2014</v>
      </c>
      <c r="T99" s="41">
        <v>2015</v>
      </c>
      <c r="U99" s="41">
        <v>2016</v>
      </c>
    </row>
    <row r="100" spans="1:21" x14ac:dyDescent="0.55000000000000004">
      <c r="A100" s="41" t="str">
        <f>'Population Definitions'!$A$2</f>
        <v>Gen 0-4</v>
      </c>
      <c r="B100" s="41" t="s">
        <v>10</v>
      </c>
      <c r="C100" s="4">
        <f t="shared" ref="C100:C111" si="7">IF(SUMPRODUCT(--(E100:U100&lt;&gt;""))=0,0,"N.A.")</f>
        <v>0</v>
      </c>
      <c r="D100" s="41" t="s">
        <v>16</v>
      </c>
      <c r="E100" s="23"/>
      <c r="F100" s="22"/>
      <c r="G100" s="22"/>
      <c r="H100" s="22"/>
      <c r="I100" s="22"/>
      <c r="J100" s="22"/>
      <c r="K100" s="22"/>
      <c r="L100" s="22"/>
      <c r="M100" s="22"/>
      <c r="N100" s="22"/>
      <c r="O100" s="22"/>
      <c r="P100" s="22"/>
      <c r="Q100" s="22"/>
      <c r="R100" s="22"/>
      <c r="S100" s="22"/>
      <c r="T100" s="22"/>
      <c r="U100" s="22"/>
    </row>
    <row r="101" spans="1:21" x14ac:dyDescent="0.55000000000000004">
      <c r="A101" s="41" t="str">
        <f>'Population Definitions'!$A$3</f>
        <v>Gen 5-14</v>
      </c>
      <c r="B101" s="41" t="s">
        <v>10</v>
      </c>
      <c r="C101" s="4">
        <f t="shared" si="7"/>
        <v>0</v>
      </c>
      <c r="D101" s="41" t="s">
        <v>16</v>
      </c>
      <c r="E101" s="23"/>
      <c r="F101" s="22"/>
      <c r="G101" s="22"/>
      <c r="H101" s="22"/>
      <c r="I101" s="22"/>
      <c r="J101" s="22"/>
      <c r="K101" s="22"/>
      <c r="L101" s="22"/>
      <c r="M101" s="22"/>
      <c r="N101" s="22"/>
      <c r="O101" s="22"/>
      <c r="P101" s="22"/>
      <c r="Q101" s="22"/>
      <c r="R101" s="22"/>
      <c r="S101" s="22"/>
      <c r="T101" s="22"/>
      <c r="U101" s="22"/>
    </row>
    <row r="102" spans="1:21" x14ac:dyDescent="0.55000000000000004">
      <c r="A102" s="41" t="str">
        <f>'Population Definitions'!$A$4</f>
        <v>Gen 15-64</v>
      </c>
      <c r="B102" s="41" t="s">
        <v>10</v>
      </c>
      <c r="C102" s="4">
        <f t="shared" si="7"/>
        <v>0</v>
      </c>
      <c r="D102" s="41" t="s">
        <v>16</v>
      </c>
      <c r="E102" s="23"/>
      <c r="F102" s="22"/>
      <c r="G102" s="22"/>
      <c r="H102" s="22"/>
      <c r="I102" s="22"/>
      <c r="J102" s="22"/>
      <c r="K102" s="22"/>
      <c r="L102" s="22"/>
      <c r="M102" s="22"/>
      <c r="N102" s="22"/>
      <c r="O102" s="22"/>
      <c r="P102" s="22"/>
      <c r="Q102" s="22"/>
      <c r="R102" s="22"/>
      <c r="S102" s="22"/>
      <c r="T102" s="22"/>
      <c r="U102" s="22"/>
    </row>
    <row r="103" spans="1:21" x14ac:dyDescent="0.55000000000000004">
      <c r="A103" s="41" t="str">
        <f>'Population Definitions'!$A$5</f>
        <v>Gen 65+</v>
      </c>
      <c r="B103" s="41" t="s">
        <v>10</v>
      </c>
      <c r="C103" s="4">
        <f t="shared" si="7"/>
        <v>0</v>
      </c>
      <c r="D103" s="41" t="s">
        <v>16</v>
      </c>
      <c r="E103" s="23"/>
      <c r="F103" s="22"/>
      <c r="G103" s="22"/>
      <c r="H103" s="22"/>
      <c r="I103" s="22"/>
      <c r="J103" s="22"/>
      <c r="K103" s="22"/>
      <c r="L103" s="22"/>
      <c r="M103" s="22"/>
      <c r="N103" s="22"/>
      <c r="O103" s="22"/>
      <c r="P103" s="22"/>
      <c r="Q103" s="22"/>
      <c r="R103" s="22"/>
      <c r="S103" s="22"/>
      <c r="T103" s="22"/>
      <c r="U103" s="22"/>
    </row>
    <row r="104" spans="1:21" x14ac:dyDescent="0.55000000000000004">
      <c r="A104" s="41" t="str">
        <f>'Population Definitions'!$A$6</f>
        <v>PLHIV 15-64</v>
      </c>
      <c r="B104" s="41" t="s">
        <v>10</v>
      </c>
      <c r="C104" s="4">
        <f t="shared" si="7"/>
        <v>0</v>
      </c>
      <c r="D104" s="41" t="s">
        <v>16</v>
      </c>
      <c r="E104" s="24"/>
      <c r="F104" s="22"/>
      <c r="G104" s="22"/>
      <c r="H104" s="22"/>
      <c r="I104" s="22"/>
      <c r="J104" s="22"/>
      <c r="K104" s="22"/>
      <c r="L104" s="22"/>
      <c r="M104" s="22"/>
      <c r="N104" s="22"/>
      <c r="O104" s="22"/>
      <c r="P104" s="22"/>
      <c r="Q104" s="22"/>
      <c r="R104" s="22"/>
      <c r="S104" s="22"/>
      <c r="T104" s="22"/>
      <c r="U104" s="22"/>
    </row>
    <row r="105" spans="1:21" x14ac:dyDescent="0.55000000000000004">
      <c r="A105" s="41" t="str">
        <f>'Population Definitions'!$A$7</f>
        <v>PLHIV 65+</v>
      </c>
      <c r="B105" s="41" t="s">
        <v>10</v>
      </c>
      <c r="C105" s="4">
        <f t="shared" si="7"/>
        <v>0</v>
      </c>
      <c r="D105" s="41" t="s">
        <v>16</v>
      </c>
      <c r="E105" s="24"/>
      <c r="F105" s="22"/>
      <c r="G105" s="22"/>
      <c r="H105" s="22"/>
      <c r="I105" s="22"/>
      <c r="J105" s="22"/>
      <c r="K105" s="22"/>
      <c r="L105" s="22"/>
      <c r="M105" s="22"/>
      <c r="N105" s="22"/>
      <c r="O105" s="22"/>
      <c r="P105" s="22"/>
      <c r="Q105" s="22"/>
      <c r="R105" s="22"/>
      <c r="S105" s="22"/>
      <c r="T105" s="22"/>
      <c r="U105" s="22"/>
    </row>
    <row r="106" spans="1:21" x14ac:dyDescent="0.55000000000000004">
      <c r="A106" s="41" t="str">
        <f>'Population Definitions'!$A$8</f>
        <v>Prisoners</v>
      </c>
      <c r="B106" s="41" t="s">
        <v>10</v>
      </c>
      <c r="C106" s="4">
        <f t="shared" si="7"/>
        <v>0</v>
      </c>
      <c r="D106" s="41" t="s">
        <v>16</v>
      </c>
      <c r="E106" s="24"/>
      <c r="F106" s="22"/>
      <c r="G106" s="22"/>
      <c r="H106" s="22"/>
      <c r="I106" s="22"/>
      <c r="J106" s="22"/>
      <c r="K106" s="22"/>
      <c r="L106" s="22"/>
      <c r="M106" s="22"/>
      <c r="N106" s="22"/>
      <c r="O106" s="22"/>
      <c r="P106" s="22"/>
      <c r="Q106" s="22"/>
      <c r="R106" s="22"/>
      <c r="S106" s="22"/>
      <c r="T106" s="22"/>
      <c r="U106" s="22"/>
    </row>
    <row r="107" spans="1:21" x14ac:dyDescent="0.55000000000000004">
      <c r="A107" s="41" t="str">
        <f>'Population Definitions'!$A$9</f>
        <v>PLHIV Prisoners</v>
      </c>
      <c r="B107" s="41" t="s">
        <v>10</v>
      </c>
      <c r="C107" s="4">
        <f t="shared" si="7"/>
        <v>0</v>
      </c>
      <c r="D107" s="41" t="s">
        <v>16</v>
      </c>
      <c r="E107" s="24"/>
      <c r="F107" s="22"/>
      <c r="G107" s="22"/>
      <c r="H107" s="22"/>
      <c r="I107" s="22"/>
      <c r="J107" s="22"/>
      <c r="K107" s="22"/>
      <c r="L107" s="22"/>
      <c r="M107" s="22"/>
      <c r="N107" s="22"/>
      <c r="O107" s="22"/>
      <c r="P107" s="22"/>
      <c r="Q107" s="22"/>
      <c r="R107" s="22"/>
      <c r="S107" s="22"/>
      <c r="T107" s="22"/>
      <c r="U107" s="22"/>
    </row>
    <row r="108" spans="1:21" x14ac:dyDescent="0.55000000000000004">
      <c r="A108" s="41" t="str">
        <f>'Population Definitions'!$A$10</f>
        <v>HCW</v>
      </c>
      <c r="B108" s="41" t="s">
        <v>10</v>
      </c>
      <c r="C108" s="4">
        <f t="shared" si="7"/>
        <v>0</v>
      </c>
      <c r="D108" s="41" t="s">
        <v>16</v>
      </c>
      <c r="E108" s="24"/>
      <c r="F108" s="22"/>
      <c r="G108" s="22"/>
      <c r="H108" s="22"/>
      <c r="I108" s="22"/>
      <c r="J108" s="22"/>
      <c r="K108" s="22"/>
      <c r="L108" s="22"/>
      <c r="M108" s="22"/>
      <c r="N108" s="22"/>
      <c r="O108" s="22"/>
      <c r="P108" s="22"/>
      <c r="Q108" s="22"/>
      <c r="R108" s="22"/>
      <c r="S108" s="22"/>
      <c r="T108" s="22"/>
      <c r="U108" s="22"/>
    </row>
    <row r="109" spans="1:21" x14ac:dyDescent="0.55000000000000004">
      <c r="A109" s="41" t="str">
        <f>'Population Definitions'!$A$11</f>
        <v>PLHIV HCW</v>
      </c>
      <c r="B109" s="41" t="s">
        <v>10</v>
      </c>
      <c r="C109" s="4">
        <f t="shared" si="7"/>
        <v>0</v>
      </c>
      <c r="D109" s="41" t="s">
        <v>16</v>
      </c>
      <c r="E109" s="24"/>
      <c r="F109" s="22"/>
      <c r="G109" s="22"/>
      <c r="H109" s="22"/>
      <c r="I109" s="22"/>
      <c r="J109" s="22"/>
      <c r="K109" s="22"/>
      <c r="L109" s="22"/>
      <c r="M109" s="22"/>
      <c r="N109" s="22"/>
      <c r="O109" s="22"/>
      <c r="P109" s="22"/>
      <c r="Q109" s="22"/>
      <c r="R109" s="22"/>
      <c r="S109" s="22"/>
      <c r="T109" s="22"/>
      <c r="U109" s="22"/>
    </row>
    <row r="110" spans="1:21" x14ac:dyDescent="0.55000000000000004">
      <c r="A110" s="41" t="str">
        <f>'Population Definitions'!$A$12</f>
        <v>Miners</v>
      </c>
      <c r="B110" s="41" t="s">
        <v>10</v>
      </c>
      <c r="C110" s="4">
        <f t="shared" si="7"/>
        <v>0</v>
      </c>
      <c r="D110" s="41" t="s">
        <v>16</v>
      </c>
      <c r="E110" s="24"/>
      <c r="F110" s="22"/>
      <c r="G110" s="22"/>
      <c r="H110" s="22"/>
      <c r="I110" s="22"/>
      <c r="J110" s="22"/>
      <c r="K110" s="22"/>
      <c r="L110" s="22"/>
      <c r="M110" s="22"/>
      <c r="N110" s="22"/>
      <c r="O110" s="22"/>
      <c r="P110" s="22"/>
      <c r="Q110" s="22"/>
      <c r="R110" s="22"/>
      <c r="S110" s="22"/>
      <c r="T110" s="22"/>
      <c r="U110" s="22"/>
    </row>
    <row r="111" spans="1:21" x14ac:dyDescent="0.55000000000000004">
      <c r="A111" s="41" t="str">
        <f>'Population Definitions'!$A$13</f>
        <v>PLHIV Miners</v>
      </c>
      <c r="B111" s="41" t="s">
        <v>10</v>
      </c>
      <c r="C111" s="4">
        <f t="shared" si="7"/>
        <v>0</v>
      </c>
      <c r="D111" s="41" t="s">
        <v>16</v>
      </c>
      <c r="E111" s="24"/>
      <c r="F111" s="22"/>
      <c r="G111" s="22"/>
      <c r="H111" s="22"/>
      <c r="I111" s="22"/>
      <c r="J111" s="22"/>
      <c r="K111" s="22"/>
      <c r="L111" s="22"/>
      <c r="M111" s="22"/>
      <c r="N111" s="22"/>
      <c r="O111" s="22"/>
      <c r="P111" s="22"/>
      <c r="Q111" s="22"/>
      <c r="R111" s="22"/>
      <c r="S111" s="22"/>
      <c r="T111" s="22"/>
      <c r="U111" s="22"/>
    </row>
    <row r="113" spans="1:21" x14ac:dyDescent="0.55000000000000004">
      <c r="A113" s="21" t="s">
        <v>77</v>
      </c>
      <c r="B113" s="41" t="s">
        <v>8</v>
      </c>
      <c r="C113" s="41" t="s">
        <v>9</v>
      </c>
      <c r="D113" s="41"/>
      <c r="E113" s="41">
        <v>2000</v>
      </c>
      <c r="F113" s="41">
        <v>2001</v>
      </c>
      <c r="G113" s="41">
        <v>2002</v>
      </c>
      <c r="H113" s="41">
        <v>2003</v>
      </c>
      <c r="I113" s="41">
        <v>2004</v>
      </c>
      <c r="J113" s="41">
        <v>2005</v>
      </c>
      <c r="K113" s="41">
        <v>2006</v>
      </c>
      <c r="L113" s="41">
        <v>2007</v>
      </c>
      <c r="M113" s="41">
        <v>2008</v>
      </c>
      <c r="N113" s="41">
        <v>2009</v>
      </c>
      <c r="O113" s="41">
        <v>2010</v>
      </c>
      <c r="P113" s="41">
        <v>2011</v>
      </c>
      <c r="Q113" s="41">
        <v>2012</v>
      </c>
      <c r="R113" s="41">
        <v>2013</v>
      </c>
      <c r="S113" s="41">
        <v>2014</v>
      </c>
      <c r="T113" s="41">
        <v>2015</v>
      </c>
      <c r="U113" s="41">
        <v>2016</v>
      </c>
    </row>
    <row r="114" spans="1:21" x14ac:dyDescent="0.55000000000000004">
      <c r="A114" s="41" t="str">
        <f>'Population Definitions'!$A$2</f>
        <v>Gen 0-4</v>
      </c>
      <c r="B114" s="41" t="s">
        <v>10</v>
      </c>
      <c r="C114" s="4">
        <f t="shared" ref="C114:C125" si="8">IF(SUMPRODUCT(--(E114:U114&lt;&gt;""))=0,0,"N.A.")</f>
        <v>0</v>
      </c>
      <c r="D114" s="41" t="s">
        <v>16</v>
      </c>
      <c r="E114" s="23"/>
      <c r="F114" s="22"/>
      <c r="G114" s="22"/>
      <c r="H114" s="22"/>
      <c r="I114" s="22"/>
      <c r="J114" s="22"/>
      <c r="K114" s="22"/>
      <c r="L114" s="22"/>
      <c r="M114" s="22"/>
      <c r="N114" s="22"/>
      <c r="O114" s="22"/>
      <c r="P114" s="22"/>
      <c r="Q114" s="22"/>
      <c r="R114" s="22"/>
      <c r="S114" s="22"/>
      <c r="T114" s="22"/>
      <c r="U114" s="22"/>
    </row>
    <row r="115" spans="1:21" x14ac:dyDescent="0.55000000000000004">
      <c r="A115" s="41" t="str">
        <f>'Population Definitions'!$A$3</f>
        <v>Gen 5-14</v>
      </c>
      <c r="B115" s="41" t="s">
        <v>10</v>
      </c>
      <c r="C115" s="4">
        <f t="shared" si="8"/>
        <v>0</v>
      </c>
      <c r="D115" s="41" t="s">
        <v>16</v>
      </c>
      <c r="E115" s="23"/>
      <c r="F115" s="22"/>
      <c r="G115" s="22"/>
      <c r="H115" s="22"/>
      <c r="I115" s="22"/>
      <c r="J115" s="22"/>
      <c r="K115" s="22"/>
      <c r="L115" s="22"/>
      <c r="M115" s="22"/>
      <c r="N115" s="22"/>
      <c r="O115" s="22"/>
      <c r="P115" s="22"/>
      <c r="Q115" s="22"/>
      <c r="R115" s="22"/>
      <c r="S115" s="22"/>
      <c r="T115" s="22"/>
      <c r="U115" s="22"/>
    </row>
    <row r="116" spans="1:21" x14ac:dyDescent="0.55000000000000004">
      <c r="A116" s="41" t="str">
        <f>'Population Definitions'!$A$4</f>
        <v>Gen 15-64</v>
      </c>
      <c r="B116" s="41" t="s">
        <v>10</v>
      </c>
      <c r="C116" s="4">
        <f t="shared" si="8"/>
        <v>0</v>
      </c>
      <c r="D116" s="41" t="s">
        <v>16</v>
      </c>
      <c r="E116" s="23"/>
      <c r="F116" s="22"/>
      <c r="G116" s="22"/>
      <c r="H116" s="22"/>
      <c r="I116" s="22"/>
      <c r="J116" s="22"/>
      <c r="K116" s="22"/>
      <c r="L116" s="22"/>
      <c r="M116" s="22"/>
      <c r="N116" s="22"/>
      <c r="O116" s="22"/>
      <c r="P116" s="22"/>
      <c r="Q116" s="22"/>
      <c r="R116" s="22"/>
      <c r="S116" s="22"/>
      <c r="T116" s="22"/>
      <c r="U116" s="22"/>
    </row>
    <row r="117" spans="1:21" x14ac:dyDescent="0.55000000000000004">
      <c r="A117" s="41" t="str">
        <f>'Population Definitions'!$A$5</f>
        <v>Gen 65+</v>
      </c>
      <c r="B117" s="41" t="s">
        <v>10</v>
      </c>
      <c r="C117" s="4">
        <f t="shared" si="8"/>
        <v>0</v>
      </c>
      <c r="D117" s="41" t="s">
        <v>16</v>
      </c>
      <c r="E117" s="23"/>
      <c r="F117" s="22"/>
      <c r="G117" s="22"/>
      <c r="H117" s="22"/>
      <c r="I117" s="22"/>
      <c r="J117" s="22"/>
      <c r="K117" s="22"/>
      <c r="L117" s="22"/>
      <c r="M117" s="22"/>
      <c r="N117" s="22"/>
      <c r="O117" s="22"/>
      <c r="P117" s="22"/>
      <c r="Q117" s="22"/>
      <c r="R117" s="22"/>
      <c r="S117" s="22"/>
      <c r="T117" s="22"/>
      <c r="U117" s="22"/>
    </row>
    <row r="118" spans="1:21" x14ac:dyDescent="0.55000000000000004">
      <c r="A118" s="41" t="str">
        <f>'Population Definitions'!$A$6</f>
        <v>PLHIV 15-64</v>
      </c>
      <c r="B118" s="41" t="s">
        <v>10</v>
      </c>
      <c r="C118" s="4">
        <f t="shared" si="8"/>
        <v>0</v>
      </c>
      <c r="D118" s="41" t="s">
        <v>16</v>
      </c>
      <c r="E118" s="24"/>
      <c r="F118" s="22"/>
      <c r="G118" s="22"/>
      <c r="H118" s="22"/>
      <c r="I118" s="22"/>
      <c r="J118" s="22"/>
      <c r="K118" s="22"/>
      <c r="L118" s="22"/>
      <c r="M118" s="22"/>
      <c r="N118" s="22"/>
      <c r="O118" s="22"/>
      <c r="P118" s="22"/>
      <c r="Q118" s="22"/>
      <c r="R118" s="22"/>
      <c r="S118" s="22"/>
      <c r="T118" s="22"/>
      <c r="U118" s="22"/>
    </row>
    <row r="119" spans="1:21" x14ac:dyDescent="0.55000000000000004">
      <c r="A119" s="41" t="str">
        <f>'Population Definitions'!$A$7</f>
        <v>PLHIV 65+</v>
      </c>
      <c r="B119" s="41" t="s">
        <v>10</v>
      </c>
      <c r="C119" s="4">
        <f t="shared" si="8"/>
        <v>0</v>
      </c>
      <c r="D119" s="41" t="s">
        <v>16</v>
      </c>
      <c r="E119" s="24"/>
      <c r="F119" s="22"/>
      <c r="G119" s="22"/>
      <c r="H119" s="22"/>
      <c r="I119" s="22"/>
      <c r="J119" s="22"/>
      <c r="K119" s="22"/>
      <c r="L119" s="22"/>
      <c r="M119" s="22"/>
      <c r="N119" s="22"/>
      <c r="O119" s="22"/>
      <c r="P119" s="22"/>
      <c r="Q119" s="22"/>
      <c r="R119" s="22"/>
      <c r="S119" s="22"/>
      <c r="T119" s="22"/>
      <c r="U119" s="22"/>
    </row>
    <row r="120" spans="1:21" x14ac:dyDescent="0.55000000000000004">
      <c r="A120" s="41" t="str">
        <f>'Population Definitions'!$A$8</f>
        <v>Prisoners</v>
      </c>
      <c r="B120" s="41" t="s">
        <v>10</v>
      </c>
      <c r="C120" s="4">
        <f t="shared" si="8"/>
        <v>0</v>
      </c>
      <c r="D120" s="41" t="s">
        <v>16</v>
      </c>
      <c r="E120" s="24"/>
      <c r="F120" s="22"/>
      <c r="G120" s="22"/>
      <c r="H120" s="22"/>
      <c r="I120" s="22"/>
      <c r="J120" s="22"/>
      <c r="K120" s="22"/>
      <c r="L120" s="22"/>
      <c r="M120" s="22"/>
      <c r="N120" s="22"/>
      <c r="O120" s="22"/>
      <c r="P120" s="22"/>
      <c r="Q120" s="22"/>
      <c r="R120" s="22"/>
      <c r="S120" s="22"/>
      <c r="T120" s="22"/>
      <c r="U120" s="22"/>
    </row>
    <row r="121" spans="1:21" x14ac:dyDescent="0.55000000000000004">
      <c r="A121" s="41" t="str">
        <f>'Population Definitions'!$A$9</f>
        <v>PLHIV Prisoners</v>
      </c>
      <c r="B121" s="41" t="s">
        <v>10</v>
      </c>
      <c r="C121" s="4">
        <f t="shared" si="8"/>
        <v>0</v>
      </c>
      <c r="D121" s="41" t="s">
        <v>16</v>
      </c>
      <c r="E121" s="24"/>
      <c r="F121" s="22"/>
      <c r="G121" s="22"/>
      <c r="H121" s="22"/>
      <c r="I121" s="22"/>
      <c r="J121" s="22"/>
      <c r="K121" s="22"/>
      <c r="L121" s="22"/>
      <c r="M121" s="22"/>
      <c r="N121" s="22"/>
      <c r="O121" s="22"/>
      <c r="P121" s="22"/>
      <c r="Q121" s="22"/>
      <c r="R121" s="22"/>
      <c r="S121" s="22"/>
      <c r="T121" s="22"/>
      <c r="U121" s="22"/>
    </row>
    <row r="122" spans="1:21" x14ac:dyDescent="0.55000000000000004">
      <c r="A122" s="41" t="str">
        <f>'Population Definitions'!$A$10</f>
        <v>HCW</v>
      </c>
      <c r="B122" s="41" t="s">
        <v>10</v>
      </c>
      <c r="C122" s="4">
        <f t="shared" si="8"/>
        <v>0</v>
      </c>
      <c r="D122" s="41" t="s">
        <v>16</v>
      </c>
      <c r="E122" s="24"/>
      <c r="F122" s="22"/>
      <c r="G122" s="22"/>
      <c r="H122" s="22"/>
      <c r="I122" s="22"/>
      <c r="J122" s="22"/>
      <c r="K122" s="22"/>
      <c r="L122" s="22"/>
      <c r="M122" s="22"/>
      <c r="N122" s="22"/>
      <c r="O122" s="22"/>
      <c r="P122" s="22"/>
      <c r="Q122" s="22"/>
      <c r="R122" s="22"/>
      <c r="S122" s="22"/>
      <c r="T122" s="22"/>
      <c r="U122" s="22"/>
    </row>
    <row r="123" spans="1:21" x14ac:dyDescent="0.55000000000000004">
      <c r="A123" s="41" t="str">
        <f>'Population Definitions'!$A$11</f>
        <v>PLHIV HCW</v>
      </c>
      <c r="B123" s="41" t="s">
        <v>10</v>
      </c>
      <c r="C123" s="4">
        <f t="shared" si="8"/>
        <v>0</v>
      </c>
      <c r="D123" s="41" t="s">
        <v>16</v>
      </c>
      <c r="E123" s="24"/>
      <c r="F123" s="22"/>
      <c r="G123" s="22"/>
      <c r="H123" s="22"/>
      <c r="I123" s="22"/>
      <c r="J123" s="22"/>
      <c r="K123" s="22"/>
      <c r="L123" s="22"/>
      <c r="M123" s="22"/>
      <c r="N123" s="22"/>
      <c r="O123" s="22"/>
      <c r="P123" s="22"/>
      <c r="Q123" s="22"/>
      <c r="R123" s="22"/>
      <c r="S123" s="22"/>
      <c r="T123" s="22"/>
      <c r="U123" s="22"/>
    </row>
    <row r="124" spans="1:21" x14ac:dyDescent="0.55000000000000004">
      <c r="A124" s="41" t="str">
        <f>'Population Definitions'!$A$12</f>
        <v>Miners</v>
      </c>
      <c r="B124" s="41" t="s">
        <v>10</v>
      </c>
      <c r="C124" s="4">
        <f t="shared" si="8"/>
        <v>0</v>
      </c>
      <c r="D124" s="41" t="s">
        <v>16</v>
      </c>
      <c r="E124" s="24"/>
      <c r="F124" s="22"/>
      <c r="G124" s="22"/>
      <c r="H124" s="22"/>
      <c r="I124" s="22"/>
      <c r="J124" s="22"/>
      <c r="K124" s="22"/>
      <c r="L124" s="22"/>
      <c r="M124" s="22"/>
      <c r="N124" s="22"/>
      <c r="O124" s="22"/>
      <c r="P124" s="22"/>
      <c r="Q124" s="22"/>
      <c r="R124" s="22"/>
      <c r="S124" s="22"/>
      <c r="T124" s="22"/>
      <c r="U124" s="22"/>
    </row>
    <row r="125" spans="1:21" x14ac:dyDescent="0.55000000000000004">
      <c r="A125" s="41" t="str">
        <f>'Population Definitions'!$A$13</f>
        <v>PLHIV Miners</v>
      </c>
      <c r="B125" s="41" t="s">
        <v>10</v>
      </c>
      <c r="C125" s="4">
        <f t="shared" si="8"/>
        <v>0</v>
      </c>
      <c r="D125" s="41" t="s">
        <v>16</v>
      </c>
      <c r="E125" s="24"/>
      <c r="F125" s="22"/>
      <c r="G125" s="22"/>
      <c r="H125" s="22"/>
      <c r="I125" s="22"/>
      <c r="J125" s="22"/>
      <c r="K125" s="22"/>
      <c r="L125" s="22"/>
      <c r="M125" s="22"/>
      <c r="N125" s="22"/>
      <c r="O125" s="22"/>
      <c r="P125" s="22"/>
      <c r="Q125" s="22"/>
      <c r="R125" s="22"/>
      <c r="S125" s="22"/>
      <c r="T125" s="22"/>
      <c r="U125" s="22"/>
    </row>
    <row r="127" spans="1:21" x14ac:dyDescent="0.55000000000000004">
      <c r="A127" s="21" t="s">
        <v>82</v>
      </c>
      <c r="B127" s="41" t="s">
        <v>8</v>
      </c>
      <c r="C127" s="41" t="s">
        <v>9</v>
      </c>
      <c r="D127" s="41"/>
      <c r="E127" s="41">
        <v>2000</v>
      </c>
      <c r="F127" s="41">
        <v>2001</v>
      </c>
      <c r="G127" s="41">
        <v>2002</v>
      </c>
      <c r="H127" s="41">
        <v>2003</v>
      </c>
      <c r="I127" s="41">
        <v>2004</v>
      </c>
      <c r="J127" s="41">
        <v>2005</v>
      </c>
      <c r="K127" s="41">
        <v>2006</v>
      </c>
      <c r="L127" s="41">
        <v>2007</v>
      </c>
      <c r="M127" s="41">
        <v>2008</v>
      </c>
      <c r="N127" s="41">
        <v>2009</v>
      </c>
      <c r="O127" s="41">
        <v>2010</v>
      </c>
      <c r="P127" s="41">
        <v>2011</v>
      </c>
      <c r="Q127" s="41">
        <v>2012</v>
      </c>
      <c r="R127" s="41">
        <v>2013</v>
      </c>
      <c r="S127" s="41">
        <v>2014</v>
      </c>
      <c r="T127" s="41">
        <v>2015</v>
      </c>
      <c r="U127" s="41">
        <v>2016</v>
      </c>
    </row>
    <row r="128" spans="1:21" x14ac:dyDescent="0.55000000000000004">
      <c r="A128" s="41" t="str">
        <f>'Population Definitions'!$A$2</f>
        <v>Gen 0-4</v>
      </c>
      <c r="B128" s="41" t="s">
        <v>10</v>
      </c>
      <c r="C128" s="4">
        <f t="shared" ref="C128:C139" si="9">IF(SUMPRODUCT(--(E128:U128&lt;&gt;""))=0,0,"N.A.")</f>
        <v>0</v>
      </c>
      <c r="D128" s="41" t="s">
        <v>16</v>
      </c>
      <c r="E128" s="23"/>
      <c r="F128" s="22"/>
      <c r="G128" s="22"/>
      <c r="H128" s="22"/>
      <c r="I128" s="22"/>
      <c r="J128" s="22"/>
      <c r="K128" s="22"/>
      <c r="L128" s="22"/>
      <c r="M128" s="22"/>
      <c r="N128" s="22"/>
      <c r="O128" s="22"/>
      <c r="P128" s="22"/>
      <c r="Q128" s="22"/>
      <c r="R128" s="22"/>
      <c r="S128" s="22"/>
      <c r="T128" s="22"/>
      <c r="U128" s="22"/>
    </row>
    <row r="129" spans="1:21" x14ac:dyDescent="0.55000000000000004">
      <c r="A129" s="41" t="str">
        <f>'Population Definitions'!$A$3</f>
        <v>Gen 5-14</v>
      </c>
      <c r="B129" s="41" t="s">
        <v>10</v>
      </c>
      <c r="C129" s="4">
        <f t="shared" si="9"/>
        <v>0</v>
      </c>
      <c r="D129" s="41" t="s">
        <v>16</v>
      </c>
      <c r="E129" s="23"/>
      <c r="F129" s="22"/>
      <c r="G129" s="22"/>
      <c r="H129" s="22"/>
      <c r="I129" s="22"/>
      <c r="J129" s="22"/>
      <c r="K129" s="22"/>
      <c r="L129" s="22"/>
      <c r="M129" s="22"/>
      <c r="N129" s="22"/>
      <c r="O129" s="22"/>
      <c r="P129" s="22"/>
      <c r="Q129" s="22"/>
      <c r="R129" s="22"/>
      <c r="S129" s="22"/>
      <c r="T129" s="22"/>
      <c r="U129" s="22"/>
    </row>
    <row r="130" spans="1:21" x14ac:dyDescent="0.55000000000000004">
      <c r="A130" s="41" t="str">
        <f>'Population Definitions'!$A$4</f>
        <v>Gen 15-64</v>
      </c>
      <c r="B130" s="41" t="s">
        <v>10</v>
      </c>
      <c r="C130" s="4">
        <f t="shared" si="9"/>
        <v>0</v>
      </c>
      <c r="D130" s="41" t="s">
        <v>16</v>
      </c>
      <c r="E130" s="23"/>
      <c r="F130" s="22"/>
      <c r="G130" s="22"/>
      <c r="H130" s="22"/>
      <c r="I130" s="22"/>
      <c r="J130" s="22"/>
      <c r="K130" s="22"/>
      <c r="L130" s="22"/>
      <c r="M130" s="22"/>
      <c r="N130" s="22"/>
      <c r="O130" s="22"/>
      <c r="P130" s="22"/>
      <c r="Q130" s="22"/>
      <c r="R130" s="22"/>
      <c r="S130" s="22"/>
      <c r="T130" s="22"/>
      <c r="U130" s="22"/>
    </row>
    <row r="131" spans="1:21" x14ac:dyDescent="0.55000000000000004">
      <c r="A131" s="41" t="str">
        <f>'Population Definitions'!$A$5</f>
        <v>Gen 65+</v>
      </c>
      <c r="B131" s="41" t="s">
        <v>10</v>
      </c>
      <c r="C131" s="4">
        <f t="shared" si="9"/>
        <v>0</v>
      </c>
      <c r="D131" s="41" t="s">
        <v>16</v>
      </c>
      <c r="E131" s="23"/>
      <c r="F131" s="22"/>
      <c r="G131" s="22"/>
      <c r="H131" s="22"/>
      <c r="I131" s="22"/>
      <c r="J131" s="22"/>
      <c r="K131" s="22"/>
      <c r="L131" s="22"/>
      <c r="M131" s="22"/>
      <c r="N131" s="22"/>
      <c r="O131" s="22"/>
      <c r="P131" s="22"/>
      <c r="Q131" s="22"/>
      <c r="R131" s="22"/>
      <c r="S131" s="22"/>
      <c r="T131" s="22"/>
      <c r="U131" s="22"/>
    </row>
    <row r="132" spans="1:21" x14ac:dyDescent="0.55000000000000004">
      <c r="A132" s="41" t="str">
        <f>'Population Definitions'!$A$6</f>
        <v>PLHIV 15-64</v>
      </c>
      <c r="B132" s="41" t="s">
        <v>10</v>
      </c>
      <c r="C132" s="4">
        <f t="shared" si="9"/>
        <v>0</v>
      </c>
      <c r="D132" s="41" t="s">
        <v>16</v>
      </c>
      <c r="E132" s="24"/>
      <c r="F132" s="22"/>
      <c r="G132" s="22"/>
      <c r="H132" s="22"/>
      <c r="I132" s="22"/>
      <c r="J132" s="22"/>
      <c r="K132" s="22"/>
      <c r="L132" s="22"/>
      <c r="M132" s="22"/>
      <c r="N132" s="22"/>
      <c r="O132" s="22"/>
      <c r="P132" s="22"/>
      <c r="Q132" s="22"/>
      <c r="R132" s="22"/>
      <c r="S132" s="22"/>
      <c r="T132" s="22"/>
      <c r="U132" s="22"/>
    </row>
    <row r="133" spans="1:21" x14ac:dyDescent="0.55000000000000004">
      <c r="A133" s="41" t="str">
        <f>'Population Definitions'!$A$7</f>
        <v>PLHIV 65+</v>
      </c>
      <c r="B133" s="41" t="s">
        <v>10</v>
      </c>
      <c r="C133" s="4">
        <f t="shared" si="9"/>
        <v>0</v>
      </c>
      <c r="D133" s="41" t="s">
        <v>16</v>
      </c>
      <c r="E133" s="24"/>
      <c r="F133" s="22"/>
      <c r="G133" s="22"/>
      <c r="H133" s="22"/>
      <c r="I133" s="22"/>
      <c r="J133" s="22"/>
      <c r="K133" s="22"/>
      <c r="L133" s="22"/>
      <c r="M133" s="22"/>
      <c r="N133" s="22"/>
      <c r="O133" s="22"/>
      <c r="P133" s="22"/>
      <c r="Q133" s="22"/>
      <c r="R133" s="22"/>
      <c r="S133" s="22"/>
      <c r="T133" s="22"/>
      <c r="U133" s="22"/>
    </row>
    <row r="134" spans="1:21" x14ac:dyDescent="0.55000000000000004">
      <c r="A134" s="41" t="str">
        <f>'Population Definitions'!$A$8</f>
        <v>Prisoners</v>
      </c>
      <c r="B134" s="41" t="s">
        <v>10</v>
      </c>
      <c r="C134" s="4">
        <f t="shared" si="9"/>
        <v>0</v>
      </c>
      <c r="D134" s="41" t="s">
        <v>16</v>
      </c>
      <c r="E134" s="24"/>
      <c r="F134" s="22"/>
      <c r="G134" s="22"/>
      <c r="H134" s="22"/>
      <c r="I134" s="22"/>
      <c r="J134" s="22"/>
      <c r="K134" s="22"/>
      <c r="L134" s="22"/>
      <c r="M134" s="22"/>
      <c r="N134" s="22"/>
      <c r="O134" s="22"/>
      <c r="P134" s="22"/>
      <c r="Q134" s="22"/>
      <c r="R134" s="22"/>
      <c r="S134" s="22"/>
      <c r="T134" s="22"/>
      <c r="U134" s="22"/>
    </row>
    <row r="135" spans="1:21" x14ac:dyDescent="0.55000000000000004">
      <c r="A135" s="41" t="str">
        <f>'Population Definitions'!$A$9</f>
        <v>PLHIV Prisoners</v>
      </c>
      <c r="B135" s="41" t="s">
        <v>10</v>
      </c>
      <c r="C135" s="4">
        <f t="shared" si="9"/>
        <v>0</v>
      </c>
      <c r="D135" s="41" t="s">
        <v>16</v>
      </c>
      <c r="E135" s="24"/>
      <c r="F135" s="22"/>
      <c r="G135" s="22"/>
      <c r="H135" s="22"/>
      <c r="I135" s="22"/>
      <c r="J135" s="22"/>
      <c r="K135" s="22"/>
      <c r="L135" s="22"/>
      <c r="M135" s="22"/>
      <c r="N135" s="22"/>
      <c r="O135" s="22"/>
      <c r="P135" s="22"/>
      <c r="Q135" s="22"/>
      <c r="R135" s="22"/>
      <c r="S135" s="22"/>
      <c r="T135" s="22"/>
      <c r="U135" s="22"/>
    </row>
    <row r="136" spans="1:21" x14ac:dyDescent="0.55000000000000004">
      <c r="A136" s="41" t="str">
        <f>'Population Definitions'!$A$10</f>
        <v>HCW</v>
      </c>
      <c r="B136" s="41" t="s">
        <v>10</v>
      </c>
      <c r="C136" s="4">
        <f t="shared" si="9"/>
        <v>0</v>
      </c>
      <c r="D136" s="41" t="s">
        <v>16</v>
      </c>
      <c r="E136" s="24"/>
      <c r="F136" s="22"/>
      <c r="G136" s="22"/>
      <c r="H136" s="22"/>
      <c r="I136" s="22"/>
      <c r="J136" s="22"/>
      <c r="K136" s="22"/>
      <c r="L136" s="22"/>
      <c r="M136" s="22"/>
      <c r="N136" s="22"/>
      <c r="O136" s="22"/>
      <c r="P136" s="22"/>
      <c r="Q136" s="22"/>
      <c r="R136" s="22"/>
      <c r="S136" s="22"/>
      <c r="T136" s="22"/>
      <c r="U136" s="22"/>
    </row>
    <row r="137" spans="1:21" x14ac:dyDescent="0.55000000000000004">
      <c r="A137" s="41" t="str">
        <f>'Population Definitions'!$A$11</f>
        <v>PLHIV HCW</v>
      </c>
      <c r="B137" s="41" t="s">
        <v>10</v>
      </c>
      <c r="C137" s="4">
        <f t="shared" si="9"/>
        <v>0</v>
      </c>
      <c r="D137" s="41" t="s">
        <v>16</v>
      </c>
      <c r="E137" s="24"/>
      <c r="F137" s="22"/>
      <c r="G137" s="22"/>
      <c r="H137" s="22"/>
      <c r="I137" s="22"/>
      <c r="J137" s="22"/>
      <c r="K137" s="22"/>
      <c r="L137" s="22"/>
      <c r="M137" s="22"/>
      <c r="N137" s="22"/>
      <c r="O137" s="22"/>
      <c r="P137" s="22"/>
      <c r="Q137" s="22"/>
      <c r="R137" s="22"/>
      <c r="S137" s="22"/>
      <c r="T137" s="22"/>
      <c r="U137" s="22"/>
    </row>
    <row r="138" spans="1:21" x14ac:dyDescent="0.55000000000000004">
      <c r="A138" s="41" t="str">
        <f>'Population Definitions'!$A$12</f>
        <v>Miners</v>
      </c>
      <c r="B138" s="41" t="s">
        <v>10</v>
      </c>
      <c r="C138" s="4">
        <f t="shared" si="9"/>
        <v>0</v>
      </c>
      <c r="D138" s="41" t="s">
        <v>16</v>
      </c>
      <c r="E138" s="24"/>
      <c r="F138" s="22"/>
      <c r="G138" s="22"/>
      <c r="H138" s="22"/>
      <c r="I138" s="22"/>
      <c r="J138" s="22"/>
      <c r="K138" s="22"/>
      <c r="L138" s="22"/>
      <c r="M138" s="22"/>
      <c r="N138" s="22"/>
      <c r="O138" s="22"/>
      <c r="P138" s="22"/>
      <c r="Q138" s="22"/>
      <c r="R138" s="22"/>
      <c r="S138" s="22"/>
      <c r="T138" s="22"/>
      <c r="U138" s="22"/>
    </row>
    <row r="139" spans="1:21" x14ac:dyDescent="0.55000000000000004">
      <c r="A139" s="41" t="str">
        <f>'Population Definitions'!$A$13</f>
        <v>PLHIV Miners</v>
      </c>
      <c r="B139" s="41" t="s">
        <v>10</v>
      </c>
      <c r="C139" s="4">
        <f t="shared" si="9"/>
        <v>0</v>
      </c>
      <c r="D139" s="41" t="s">
        <v>16</v>
      </c>
      <c r="E139" s="24"/>
      <c r="F139" s="22"/>
      <c r="G139" s="22"/>
      <c r="H139" s="22"/>
      <c r="I139" s="22"/>
      <c r="J139" s="22"/>
      <c r="K139" s="22"/>
      <c r="L139" s="22"/>
      <c r="M139" s="22"/>
      <c r="N139" s="22"/>
      <c r="O139" s="22"/>
      <c r="P139" s="22"/>
      <c r="Q139" s="22"/>
      <c r="R139" s="22"/>
      <c r="S139" s="22"/>
      <c r="T139" s="22"/>
      <c r="U139" s="22"/>
    </row>
  </sheetData>
  <dataValidations count="1">
    <dataValidation type="list" showInputMessage="1" showErrorMessage="1" sqref="B128:B139 B114:B125 B100:B111 B86:B97 B72:B83 B58:B69 B44:B55 B30:B41 B16:B27 B2:B13">
      <formula1>"Fraction,Number"</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5"/>
  <sheetViews>
    <sheetView workbookViewId="0">
      <selection activeCell="A7" sqref="A7"/>
    </sheetView>
  </sheetViews>
  <sheetFormatPr defaultColWidth="8.83984375" defaultRowHeight="14.4" x14ac:dyDescent="0.55000000000000004"/>
  <cols>
    <col min="1" max="1" width="60.68359375" style="37" customWidth="1"/>
    <col min="2" max="3" width="10.68359375" style="37" customWidth="1"/>
    <col min="4" max="16384" width="8.83984375" style="37"/>
  </cols>
  <sheetData>
    <row r="1" spans="1:21" x14ac:dyDescent="0.55000000000000004">
      <c r="A1" s="21" t="s">
        <v>144</v>
      </c>
      <c r="B1" s="41" t="s">
        <v>8</v>
      </c>
      <c r="C1" s="41" t="s">
        <v>9</v>
      </c>
      <c r="D1" s="41"/>
      <c r="E1" s="41">
        <v>2000</v>
      </c>
      <c r="F1" s="41">
        <v>2001</v>
      </c>
      <c r="G1" s="41">
        <v>2002</v>
      </c>
      <c r="H1" s="41">
        <v>2003</v>
      </c>
      <c r="I1" s="41">
        <v>2004</v>
      </c>
      <c r="J1" s="41">
        <v>2005</v>
      </c>
      <c r="K1" s="41">
        <v>2006</v>
      </c>
      <c r="L1" s="41">
        <v>2007</v>
      </c>
      <c r="M1" s="41">
        <v>2008</v>
      </c>
      <c r="N1" s="41">
        <v>2009</v>
      </c>
      <c r="O1" s="41">
        <v>2010</v>
      </c>
      <c r="P1" s="41">
        <v>2011</v>
      </c>
      <c r="Q1" s="41">
        <v>2012</v>
      </c>
      <c r="R1" s="41">
        <v>2013</v>
      </c>
      <c r="S1" s="41">
        <v>2014</v>
      </c>
      <c r="T1" s="41">
        <v>2015</v>
      </c>
      <c r="U1" s="41">
        <v>2016</v>
      </c>
    </row>
    <row r="2" spans="1:21" x14ac:dyDescent="0.55000000000000004">
      <c r="A2" s="41" t="str">
        <f>'Population Definitions'!$A$2</f>
        <v>Gen 0-4</v>
      </c>
      <c r="B2" s="41" t="s">
        <v>10</v>
      </c>
      <c r="C2" s="40" t="str">
        <f t="shared" ref="C2:C13" si="0">IF(SUMPRODUCT(--(E2:U2&lt;&gt;""))=0,0.12,"N.A.")</f>
        <v>N.A.</v>
      </c>
      <c r="D2" s="41" t="s">
        <v>16</v>
      </c>
      <c r="E2" s="40">
        <f>0.00725373961218837+(0.12)</f>
        <v>0.12725373961218836</v>
      </c>
      <c r="F2" s="40">
        <f>0.00754172015404365+(0.12)</f>
        <v>0.12754172015404364</v>
      </c>
      <c r="G2" s="40">
        <f>0.00859907578558225+(0.12)</f>
        <v>0.12859907578558225</v>
      </c>
      <c r="H2" s="40">
        <f>0.00977512231840422+(0.12)</f>
        <v>0.12977512231840421</v>
      </c>
      <c r="I2" s="40">
        <f>0.0109975129137172+(0.12)</f>
        <v>0.1309975129137172</v>
      </c>
      <c r="J2" s="40">
        <f>0.0119463255098115+(0.12)</f>
        <v>0.1319463255098115</v>
      </c>
      <c r="K2" s="40">
        <f>0.0124815962805114+(0.12)</f>
        <v>0.1324815962805114</v>
      </c>
      <c r="L2" s="40">
        <f>0.011825405921681+(0.12)</f>
        <v>0.13182540592168099</v>
      </c>
      <c r="M2" s="40">
        <f>0.011405505952381+(0.12)</f>
        <v>0.13140550595238099</v>
      </c>
      <c r="N2" s="40">
        <f>0.00944434356273833+(0.12)</f>
        <v>0.12944434356273832</v>
      </c>
      <c r="O2" s="40">
        <f>0.00861112107623318+(0.12)</f>
        <v>0.12861112107623318</v>
      </c>
      <c r="P2" s="40">
        <f>0.00679263157894737+(0.12)</f>
        <v>0.12679263157894738</v>
      </c>
      <c r="Q2" s="40">
        <f>0.00661699507389163+(0.12)</f>
        <v>0.12661699507389163</v>
      </c>
      <c r="R2" s="40">
        <f>0.00629827709978464+(0.12)</f>
        <v>0.12629827709978464</v>
      </c>
      <c r="S2" s="40"/>
      <c r="T2" s="40"/>
      <c r="U2" s="40"/>
    </row>
    <row r="3" spans="1:21" x14ac:dyDescent="0.55000000000000004">
      <c r="A3" s="41" t="str">
        <f>'Population Definitions'!$A$3</f>
        <v>Gen 5-14</v>
      </c>
      <c r="B3" s="41" t="s">
        <v>10</v>
      </c>
      <c r="C3" s="40" t="str">
        <f t="shared" si="0"/>
        <v>N.A.</v>
      </c>
      <c r="D3" s="41" t="s">
        <v>16</v>
      </c>
      <c r="E3" s="40">
        <f>0.000656411758960836+(0.12)</f>
        <v>0.12065641175896083</v>
      </c>
      <c r="F3" s="40">
        <f>0.000688524590163934+(0.12)</f>
        <v>0.12068852459016392</v>
      </c>
      <c r="G3" s="40">
        <f>0.000747687861271676+(0.12)</f>
        <v>0.12074768786127167</v>
      </c>
      <c r="H3" s="40">
        <f>0.000829968424074251+(0.12)</f>
        <v>0.12082996842407424</v>
      </c>
      <c r="I3" s="40">
        <f>0.000945745288406625+(0.12)</f>
        <v>0.12094574528840663</v>
      </c>
      <c r="J3" s="40">
        <f>0.000969420702754036+(0.12)</f>
        <v>0.12096942070275403</v>
      </c>
      <c r="K3" s="40">
        <f>0.000939376716870323+(0.12)</f>
        <v>0.12093937671687031</v>
      </c>
      <c r="L3" s="40">
        <f>0.000905073494547179+(0.12)</f>
        <v>0.12090507349454717</v>
      </c>
      <c r="M3" s="40">
        <f>0.000873928775471339+(0.12)</f>
        <v>0.12087392877547133</v>
      </c>
      <c r="N3" s="40">
        <f>0.000847994639609457+(0.12)</f>
        <v>0.12084799463960945</v>
      </c>
      <c r="O3" s="40">
        <f>0.000888033859176606+(0.12)</f>
        <v>0.1208880338591766</v>
      </c>
      <c r="P3" s="40">
        <f>0.000801447876447876+(0.12)</f>
        <v>0.12080144787644786</v>
      </c>
      <c r="Q3" s="40">
        <f>0.000869464544138929+(0.12)</f>
        <v>0.12086946454413892</v>
      </c>
      <c r="R3" s="40">
        <f>0.000637952559300874+(0.12)</f>
        <v>0.12063795255930088</v>
      </c>
      <c r="S3" s="40"/>
      <c r="T3" s="40"/>
      <c r="U3" s="40"/>
    </row>
    <row r="4" spans="1:21" x14ac:dyDescent="0.55000000000000004">
      <c r="A4" s="41" t="str">
        <f>'Population Definitions'!$A$4</f>
        <v>Gen 15-64</v>
      </c>
      <c r="B4" s="41" t="s">
        <v>10</v>
      </c>
      <c r="C4" s="40" t="str">
        <f t="shared" si="0"/>
        <v>N.A.</v>
      </c>
      <c r="D4" s="41" t="s">
        <v>16</v>
      </c>
      <c r="E4" s="40">
        <f>0.00915683846293936+(0.12)</f>
        <v>0.12915683846293935</v>
      </c>
      <c r="F4" s="40">
        <f>0.0100593014100637+(0.12)</f>
        <v>0.13005930141006369</v>
      </c>
      <c r="G4" s="40">
        <f>0.0111691973208963+(0.12)</f>
        <v>0.1311691973208963</v>
      </c>
      <c r="H4" s="40">
        <f>0.0122864004391382+(0.12)</f>
        <v>0.1322864004391382</v>
      </c>
      <c r="I4" s="40">
        <f>0.0126735043308937+(0.12)</f>
        <v>0.1326735043308937</v>
      </c>
      <c r="J4" s="40">
        <f>0.0127732043562662+(0.12)</f>
        <v>0.13277320435626619</v>
      </c>
      <c r="K4" s="40">
        <f>0.0127023240800516+(0.12)</f>
        <v>0.13270232408005159</v>
      </c>
      <c r="L4" s="40">
        <f>0.012266814791303+(0.12)</f>
        <v>0.13226681479130301</v>
      </c>
      <c r="M4" s="40">
        <f>0.0118325987058051+(0.12)</f>
        <v>0.1318325987058051</v>
      </c>
      <c r="N4" s="40">
        <f>0.0112209946451653+(0.12)</f>
        <v>0.13122099464516529</v>
      </c>
      <c r="O4" s="40">
        <f>0.0103361982870805+(0.12)</f>
        <v>0.13033619828708048</v>
      </c>
      <c r="P4" s="40">
        <f>0.00930902912331952+(0.12)</f>
        <v>0.12930902912331951</v>
      </c>
      <c r="Q4" s="40">
        <f>0.00853499545894003+(0.12)</f>
        <v>0.12853499545894004</v>
      </c>
      <c r="R4" s="40">
        <f>0.00774277656267987+(0.12)</f>
        <v>0.12774277656267988</v>
      </c>
      <c r="S4" s="40"/>
      <c r="T4" s="40"/>
      <c r="U4" s="40"/>
    </row>
    <row r="5" spans="1:21" x14ac:dyDescent="0.55000000000000004">
      <c r="A5" s="41" t="str">
        <f>'Population Definitions'!$A$5</f>
        <v>Gen 65+</v>
      </c>
      <c r="B5" s="41" t="s">
        <v>10</v>
      </c>
      <c r="C5" s="40" t="str">
        <f t="shared" si="0"/>
        <v>N.A.</v>
      </c>
      <c r="D5" s="41" t="s">
        <v>16</v>
      </c>
      <c r="E5" s="40">
        <f>0.0667880313199105+(0.12)</f>
        <v>0.18678803131991051</v>
      </c>
      <c r="F5" s="40">
        <f>0.0673539445628998+(0.12)</f>
        <v>0.18735394456289978</v>
      </c>
      <c r="G5" s="40">
        <f>0.0661256358087487+(0.12)</f>
        <v>0.18612563580874869</v>
      </c>
      <c r="H5" s="40">
        <f>0.0675651117589893+(0.12)</f>
        <v>0.18756511175898929</v>
      </c>
      <c r="I5" s="40">
        <f>0.0618761638733706+(0.12)</f>
        <v>0.18187616387337061</v>
      </c>
      <c r="J5" s="40">
        <f>0.0619413345275414+(0.12)</f>
        <v>0.18194133452754141</v>
      </c>
      <c r="K5" s="40">
        <f>0.0626938950988822+(0.12)</f>
        <v>0.18269389509888218</v>
      </c>
      <c r="L5" s="40">
        <f>0.0612165975103734+(0.12)</f>
        <v>0.18121659751037339</v>
      </c>
      <c r="M5" s="40">
        <f>0.0597051230334812+(0.12)</f>
        <v>0.17970512303348118</v>
      </c>
      <c r="N5" s="40">
        <f>0.0615330188679245+(0.12)</f>
        <v>0.1815330188679245</v>
      </c>
      <c r="O5" s="40">
        <f>0.0579773686229382+(0.12)</f>
        <v>0.1779773686229382</v>
      </c>
      <c r="P5" s="40">
        <f>0.0590019011406844+(0.12)</f>
        <v>0.1790019011406844</v>
      </c>
      <c r="Q5" s="40">
        <f>0.0576626506024096+(0.12)</f>
        <v>0.1776626506024096</v>
      </c>
      <c r="R5" s="40">
        <f>0.0551974664679583+(0.12)</f>
        <v>0.17519746646795831</v>
      </c>
      <c r="S5" s="40"/>
      <c r="T5" s="40"/>
      <c r="U5" s="40"/>
    </row>
    <row r="6" spans="1:21" x14ac:dyDescent="0.55000000000000004">
      <c r="A6" s="41" t="str">
        <f>'Population Definitions'!$A$6</f>
        <v>PLHIV 15-64</v>
      </c>
      <c r="B6" s="41" t="s">
        <v>10</v>
      </c>
      <c r="C6" s="40" t="str">
        <f t="shared" si="0"/>
        <v>N.A.</v>
      </c>
      <c r="D6" s="41" t="s">
        <v>16</v>
      </c>
      <c r="E6" s="40">
        <f>0.22+(0.12)</f>
        <v>0.33999999999999997</v>
      </c>
      <c r="F6" s="40"/>
      <c r="G6" s="40"/>
      <c r="H6" s="40"/>
      <c r="I6" s="40">
        <f>0.22+(0.12)</f>
        <v>0.33999999999999997</v>
      </c>
      <c r="J6" s="40">
        <f>0.1+(0.12)</f>
        <v>0.22</v>
      </c>
      <c r="K6" s="40"/>
      <c r="L6" s="40"/>
      <c r="M6" s="40"/>
      <c r="N6" s="40">
        <f>0.095+(0.12)</f>
        <v>0.215</v>
      </c>
      <c r="O6" s="40"/>
      <c r="P6" s="40"/>
      <c r="Q6" s="40"/>
      <c r="R6" s="40"/>
      <c r="S6" s="40"/>
      <c r="T6" s="40"/>
      <c r="U6" s="40">
        <f>0.0517+(0.12)</f>
        <v>0.17169999999999999</v>
      </c>
    </row>
    <row r="7" spans="1:21" x14ac:dyDescent="0.55000000000000004">
      <c r="A7" s="41" t="str">
        <f>'Population Definitions'!$A$7</f>
        <v>PLHIV 65+</v>
      </c>
      <c r="B7" s="41" t="s">
        <v>10</v>
      </c>
      <c r="C7" s="40" t="str">
        <f t="shared" si="0"/>
        <v>N.A.</v>
      </c>
      <c r="D7" s="41" t="s">
        <v>16</v>
      </c>
      <c r="E7" s="40">
        <f>0.130788031319911+(0.12)</f>
        <v>0.25078803131991101</v>
      </c>
      <c r="F7" s="40">
        <f>0.131302596000888+(0.12)</f>
        <v>0.251302596000888</v>
      </c>
      <c r="G7" s="40">
        <f>0.130024453435642+(0.12)</f>
        <v>0.250024453435642</v>
      </c>
      <c r="H7" s="40">
        <f>0.131410138213842+(0.12)</f>
        <v>0.251410138213842</v>
      </c>
      <c r="I7" s="40">
        <f>0.125580043951237+(0.12)</f>
        <v>0.245580043951237</v>
      </c>
      <c r="J7" s="40">
        <f>0.125296306523879+(0.12)</f>
        <v>0.24529630652387899</v>
      </c>
      <c r="K7" s="40">
        <f>0.125556781547203+(0.12)</f>
        <v>0.24555678154720301</v>
      </c>
      <c r="L7" s="40">
        <f>0.123378641752142+(0.12)</f>
        <v>0.24337864175214199</v>
      </c>
      <c r="M7" s="40">
        <f>0.121075936957955+(0.12)</f>
        <v>0.24107593695795498</v>
      </c>
      <c r="N7" s="40">
        <f>0.121968827232853+(0.12)</f>
        <v>0.24196882723285301</v>
      </c>
      <c r="O7" s="40">
        <f>0.117169094894402+(0.12)</f>
        <v>0.23716909489440199</v>
      </c>
      <c r="P7" s="40">
        <f>0.116501750335665+(0.12)</f>
        <v>0.23650175033566501</v>
      </c>
      <c r="Q7" s="40">
        <f>0.113597812069496+(0.12)</f>
        <v>0.23359781206949598</v>
      </c>
      <c r="R7" s="40">
        <f>0.109683597639683+(0.12)</f>
        <v>0.22968359763968299</v>
      </c>
      <c r="S7" s="40"/>
      <c r="T7" s="40"/>
      <c r="U7" s="40">
        <f>(5.17*2%)+(0.12)</f>
        <v>0.22339999999999999</v>
      </c>
    </row>
    <row r="8" spans="1:21" x14ac:dyDescent="0.55000000000000004">
      <c r="A8" s="41" t="str">
        <f>'Population Definitions'!$A$8</f>
        <v>Prisoners</v>
      </c>
      <c r="B8" s="41" t="s">
        <v>10</v>
      </c>
      <c r="C8" s="40" t="str">
        <f t="shared" si="0"/>
        <v>N.A.</v>
      </c>
      <c r="D8" s="41" t="s">
        <v>16</v>
      </c>
      <c r="E8" s="40">
        <f>0.00915683846293936+(0.12)</f>
        <v>0.12915683846293935</v>
      </c>
      <c r="F8" s="40">
        <f>0.0100593014100637+(0.12)</f>
        <v>0.13005930141006369</v>
      </c>
      <c r="G8" s="40">
        <f>0.0111691973208963+(0.12)</f>
        <v>0.1311691973208963</v>
      </c>
      <c r="H8" s="40">
        <f>0.0122864004391382+(0.12)</f>
        <v>0.1322864004391382</v>
      </c>
      <c r="I8" s="40">
        <f>0.0126735043308937+(0.12)</f>
        <v>0.1326735043308937</v>
      </c>
      <c r="J8" s="40">
        <f>0.0127732043562662+(0.12)</f>
        <v>0.13277320435626619</v>
      </c>
      <c r="K8" s="40">
        <f>0.0127023240800516+(0.12)</f>
        <v>0.13270232408005159</v>
      </c>
      <c r="L8" s="40">
        <f>0.012266814791303+(0.12)</f>
        <v>0.13226681479130301</v>
      </c>
      <c r="M8" s="40">
        <f>0.0118325987058051+(0.12)</f>
        <v>0.1318325987058051</v>
      </c>
      <c r="N8" s="40">
        <f>0.0112209946451653+(0.12)</f>
        <v>0.13122099464516529</v>
      </c>
      <c r="O8" s="40">
        <f>0.0103361982870805+(0.12)</f>
        <v>0.13033619828708048</v>
      </c>
      <c r="P8" s="40">
        <f>0.00930902912331952+(0.12)</f>
        <v>0.12930902912331951</v>
      </c>
      <c r="Q8" s="40">
        <f>0.00853499545894003+(0.12)</f>
        <v>0.12853499545894004</v>
      </c>
      <c r="R8" s="40">
        <f>0.00774277656267987+(0.12)</f>
        <v>0.12774277656267988</v>
      </c>
      <c r="S8" s="40"/>
      <c r="T8" s="40"/>
      <c r="U8" s="40"/>
    </row>
    <row r="9" spans="1:21" x14ac:dyDescent="0.55000000000000004">
      <c r="A9" s="41" t="str">
        <f>'Population Definitions'!$A$9</f>
        <v>PLHIV Prisoners</v>
      </c>
      <c r="B9" s="41" t="s">
        <v>10</v>
      </c>
      <c r="C9" s="40" t="str">
        <f t="shared" si="0"/>
        <v>N.A.</v>
      </c>
      <c r="D9" s="41" t="s">
        <v>16</v>
      </c>
      <c r="E9" s="40">
        <f>0.064+(0.12)</f>
        <v>0.184</v>
      </c>
      <c r="F9" s="40">
        <f>0.063948651437988+(0.12)</f>
        <v>0.183948651437988</v>
      </c>
      <c r="G9" s="40">
        <f>0.0638988176268937+(0.12)</f>
        <v>0.1838988176268937</v>
      </c>
      <c r="H9" s="40">
        <f>0.0638450264548522+(0.12)</f>
        <v>0.18384502645485218</v>
      </c>
      <c r="I9" s="40">
        <f>0.0637038800778667+(0.12)</f>
        <v>0.1837038800778667</v>
      </c>
      <c r="J9" s="40">
        <f>0.063354971996338+(0.12)</f>
        <v>0.18335497199633799</v>
      </c>
      <c r="K9" s="40">
        <f>0.0628628864483211+(0.12)</f>
        <v>0.1828628864483211</v>
      </c>
      <c r="L9" s="40">
        <f>0.0621620442417684+(0.12)</f>
        <v>0.18216204424176841</v>
      </c>
      <c r="M9" s="40">
        <f>0.0613708139244735+(0.12)</f>
        <v>0.18137081392447349</v>
      </c>
      <c r="N9" s="40">
        <f>0.0604358083649289+(0.12)</f>
        <v>0.1804358083649289</v>
      </c>
      <c r="O9" s="40">
        <f>0.0591917262714635+(0.12)</f>
        <v>0.17919172627146349</v>
      </c>
      <c r="P9" s="40">
        <f>0.0574998491949804+(0.12)</f>
        <v>0.17749984919498041</v>
      </c>
      <c r="Q9" s="40">
        <f>0.0559351614670864+(0.12)</f>
        <v>0.1759351614670864</v>
      </c>
      <c r="R9" s="40">
        <f>0.0544861311717248+(0.12)</f>
        <v>0.17448613117172479</v>
      </c>
      <c r="S9" s="40">
        <f>0.0535351493099285+(0.12)</f>
        <v>0.1735351493099285</v>
      </c>
      <c r="T9" s="40">
        <f>0.0529028826750741+(0.12)</f>
        <v>0.17290288267507409</v>
      </c>
      <c r="U9" s="40">
        <f>0.0516887916470763+(0.12)</f>
        <v>0.17168879164707629</v>
      </c>
    </row>
    <row r="10" spans="1:21" x14ac:dyDescent="0.55000000000000004">
      <c r="A10" s="41" t="str">
        <f>'Population Definitions'!$A$10</f>
        <v>HCW</v>
      </c>
      <c r="B10" s="41" t="s">
        <v>10</v>
      </c>
      <c r="C10" s="40" t="str">
        <f t="shared" si="0"/>
        <v>N.A.</v>
      </c>
      <c r="D10" s="41" t="s">
        <v>16</v>
      </c>
      <c r="E10" s="40">
        <f>0.00915683846293936+(0.12)</f>
        <v>0.12915683846293935</v>
      </c>
      <c r="F10" s="40">
        <f>0.0100593014100637+(0.12)</f>
        <v>0.13005930141006369</v>
      </c>
      <c r="G10" s="40">
        <f>0.0111691973208963+(0.12)</f>
        <v>0.1311691973208963</v>
      </c>
      <c r="H10" s="40">
        <f>0.0122864004391382+(0.12)</f>
        <v>0.1322864004391382</v>
      </c>
      <c r="I10" s="40">
        <f>0.0126735043308937+(0.12)</f>
        <v>0.1326735043308937</v>
      </c>
      <c r="J10" s="40">
        <f>0.0127732043562662+(0.12)</f>
        <v>0.13277320435626619</v>
      </c>
      <c r="K10" s="40">
        <f>0.0127023240800516+(0.12)</f>
        <v>0.13270232408005159</v>
      </c>
      <c r="L10" s="40">
        <f>0.012266814791303+(0.12)</f>
        <v>0.13226681479130301</v>
      </c>
      <c r="M10" s="40">
        <f>0.0118325987058051+(0.12)</f>
        <v>0.1318325987058051</v>
      </c>
      <c r="N10" s="40">
        <f>0.0112209946451653+(0.12)</f>
        <v>0.13122099464516529</v>
      </c>
      <c r="O10" s="40">
        <f>0.0103361982870805+(0.12)</f>
        <v>0.13033619828708048</v>
      </c>
      <c r="P10" s="40">
        <f>0.00930902912331952+(0.12)</f>
        <v>0.12930902912331951</v>
      </c>
      <c r="Q10" s="40">
        <f>0.00853499545894003+(0.12)</f>
        <v>0.12853499545894004</v>
      </c>
      <c r="R10" s="40">
        <f>0.00774277656267987+(0.12)</f>
        <v>0.12774277656267988</v>
      </c>
      <c r="S10" s="40"/>
      <c r="T10" s="40"/>
      <c r="U10" s="40"/>
    </row>
    <row r="11" spans="1:21" x14ac:dyDescent="0.55000000000000004">
      <c r="A11" s="41" t="str">
        <f>'Population Definitions'!$A$11</f>
        <v>PLHIV HCW</v>
      </c>
      <c r="B11" s="41" t="s">
        <v>10</v>
      </c>
      <c r="C11" s="40" t="str">
        <f t="shared" si="0"/>
        <v>N.A.</v>
      </c>
      <c r="D11" s="41" t="s">
        <v>16</v>
      </c>
      <c r="E11" s="40">
        <f>0.064+(0.12)</f>
        <v>0.184</v>
      </c>
      <c r="F11" s="40">
        <f>0.063948651437988+(0.12)</f>
        <v>0.183948651437988</v>
      </c>
      <c r="G11" s="40">
        <f>0.0638988176268937+(0.12)</f>
        <v>0.1838988176268937</v>
      </c>
      <c r="H11" s="40">
        <f>0.0638450264548522+(0.12)</f>
        <v>0.18384502645485218</v>
      </c>
      <c r="I11" s="40">
        <f>0.0637038800778667+(0.12)</f>
        <v>0.1837038800778667</v>
      </c>
      <c r="J11" s="40">
        <f>0.063354971996338+(0.12)</f>
        <v>0.18335497199633799</v>
      </c>
      <c r="K11" s="40">
        <f>0.0628628864483211+(0.12)</f>
        <v>0.1828628864483211</v>
      </c>
      <c r="L11" s="40">
        <f>0.0621620442417684+(0.12)</f>
        <v>0.18216204424176841</v>
      </c>
      <c r="M11" s="40">
        <f>0.0613708139244735+(0.12)</f>
        <v>0.18137081392447349</v>
      </c>
      <c r="N11" s="40">
        <f>0.0604358083649289+(0.12)</f>
        <v>0.1804358083649289</v>
      </c>
      <c r="O11" s="40">
        <f>0.0591917262714635+(0.12)</f>
        <v>0.17919172627146349</v>
      </c>
      <c r="P11" s="40">
        <f>0.0574998491949804+(0.12)</f>
        <v>0.17749984919498041</v>
      </c>
      <c r="Q11" s="40">
        <f>0.0559351614670864+(0.12)</f>
        <v>0.1759351614670864</v>
      </c>
      <c r="R11" s="40">
        <f>0.0544861311717248+(0.12)</f>
        <v>0.17448613117172479</v>
      </c>
      <c r="S11" s="40">
        <f>0.0535351493099285+(0.12)</f>
        <v>0.1735351493099285</v>
      </c>
      <c r="T11" s="40">
        <f>0.0529028826750741+(0.12)</f>
        <v>0.17290288267507409</v>
      </c>
      <c r="U11" s="40">
        <f>0.0516887916470763+(0.12)</f>
        <v>0.17168879164707629</v>
      </c>
    </row>
    <row r="12" spans="1:21" x14ac:dyDescent="0.55000000000000004">
      <c r="A12" s="41" t="str">
        <f>'Population Definitions'!$A$12</f>
        <v>Miners</v>
      </c>
      <c r="B12" s="41" t="s">
        <v>10</v>
      </c>
      <c r="C12" s="40" t="str">
        <f t="shared" si="0"/>
        <v>N.A.</v>
      </c>
      <c r="D12" s="41" t="s">
        <v>16</v>
      </c>
      <c r="E12" s="40">
        <f>0.00915683846293936+(0.12)</f>
        <v>0.12915683846293935</v>
      </c>
      <c r="F12" s="40">
        <f>0.0100593014100637+(0.12)</f>
        <v>0.13005930141006369</v>
      </c>
      <c r="G12" s="40">
        <f>0.0111691973208963+(0.12)</f>
        <v>0.1311691973208963</v>
      </c>
      <c r="H12" s="40">
        <f>0.0122864004391382+(0.12)</f>
        <v>0.1322864004391382</v>
      </c>
      <c r="I12" s="40">
        <f>0.0126735043308937+(0.12)</f>
        <v>0.1326735043308937</v>
      </c>
      <c r="J12" s="40">
        <f>0.0127732043562662+(0.12)</f>
        <v>0.13277320435626619</v>
      </c>
      <c r="K12" s="40">
        <f>0.0127023240800516+(0.12)</f>
        <v>0.13270232408005159</v>
      </c>
      <c r="L12" s="40">
        <f>0.012266814791303+(0.12)</f>
        <v>0.13226681479130301</v>
      </c>
      <c r="M12" s="40">
        <f>0.0118325987058051+(0.12)</f>
        <v>0.1318325987058051</v>
      </c>
      <c r="N12" s="40">
        <f>0.0112209946451653+(0.12)</f>
        <v>0.13122099464516529</v>
      </c>
      <c r="O12" s="40">
        <f>0.0103361982870805+(0.12)</f>
        <v>0.13033619828708048</v>
      </c>
      <c r="P12" s="40">
        <f>0.00930902912331952+(0.12)</f>
        <v>0.12930902912331951</v>
      </c>
      <c r="Q12" s="40">
        <f>0.00853499545894003+(0.12)</f>
        <v>0.12853499545894004</v>
      </c>
      <c r="R12" s="40">
        <f>0.00774277656267987+(0.12)</f>
        <v>0.12774277656267988</v>
      </c>
      <c r="S12" s="40"/>
      <c r="T12" s="40"/>
      <c r="U12" s="40"/>
    </row>
    <row r="13" spans="1:21" x14ac:dyDescent="0.55000000000000004">
      <c r="A13" s="41" t="str">
        <f>'Population Definitions'!$A$13</f>
        <v>PLHIV Miners</v>
      </c>
      <c r="B13" s="41" t="s">
        <v>10</v>
      </c>
      <c r="C13" s="40" t="str">
        <f t="shared" si="0"/>
        <v>N.A.</v>
      </c>
      <c r="D13" s="41" t="s">
        <v>16</v>
      </c>
      <c r="E13" s="40">
        <f>0.064+(0.12)</f>
        <v>0.184</v>
      </c>
      <c r="F13" s="40">
        <f>0.063948651437988+(0.12)</f>
        <v>0.183948651437988</v>
      </c>
      <c r="G13" s="40">
        <f>0.0638988176268937+(0.12)</f>
        <v>0.1838988176268937</v>
      </c>
      <c r="H13" s="40">
        <f>0.0638450264548522+(0.12)</f>
        <v>0.18384502645485218</v>
      </c>
      <c r="I13" s="40">
        <f>0.0637038800778667+(0.12)</f>
        <v>0.1837038800778667</v>
      </c>
      <c r="J13" s="40">
        <f>0.063354971996338+(0.12)</f>
        <v>0.18335497199633799</v>
      </c>
      <c r="K13" s="40">
        <f>0.0628628864483211+(0.12)</f>
        <v>0.1828628864483211</v>
      </c>
      <c r="L13" s="40">
        <f>0.0621620442417684+(0.12)</f>
        <v>0.18216204424176841</v>
      </c>
      <c r="M13" s="40">
        <f>0.0613708139244735+(0.12)</f>
        <v>0.18137081392447349</v>
      </c>
      <c r="N13" s="40">
        <f>0.0604358083649289+(0.12)</f>
        <v>0.1804358083649289</v>
      </c>
      <c r="O13" s="40">
        <f>0.0591917262714635+(0.12)</f>
        <v>0.17919172627146349</v>
      </c>
      <c r="P13" s="40">
        <f>0.0574998491949804+(0.12)</f>
        <v>0.17749984919498041</v>
      </c>
      <c r="Q13" s="40">
        <f>0.0559351614670864+(0.12)</f>
        <v>0.1759351614670864</v>
      </c>
      <c r="R13" s="40">
        <f>0.0544861311717248+(0.12)</f>
        <v>0.17448613117172479</v>
      </c>
      <c r="S13" s="40">
        <f>0.0535351493099285+(0.12)</f>
        <v>0.1735351493099285</v>
      </c>
      <c r="T13" s="40">
        <f>0.0529028826750741+(0.12)</f>
        <v>0.17290288267507409</v>
      </c>
      <c r="U13" s="40">
        <f>0.0516887916470763+(0.12)</f>
        <v>0.17168879164707629</v>
      </c>
    </row>
    <row r="15" spans="1:21" x14ac:dyDescent="0.55000000000000004">
      <c r="A15" s="21" t="s">
        <v>145</v>
      </c>
      <c r="B15" s="41" t="s">
        <v>8</v>
      </c>
      <c r="C15" s="41" t="s">
        <v>9</v>
      </c>
      <c r="D15" s="41"/>
      <c r="E15" s="41">
        <v>2000</v>
      </c>
      <c r="F15" s="41">
        <v>2001</v>
      </c>
      <c r="G15" s="41">
        <v>2002</v>
      </c>
      <c r="H15" s="41">
        <v>2003</v>
      </c>
      <c r="I15" s="41">
        <v>2004</v>
      </c>
      <c r="J15" s="41">
        <v>2005</v>
      </c>
      <c r="K15" s="41">
        <v>2006</v>
      </c>
      <c r="L15" s="41">
        <v>2007</v>
      </c>
      <c r="M15" s="41">
        <v>2008</v>
      </c>
      <c r="N15" s="41">
        <v>2009</v>
      </c>
      <c r="O15" s="41">
        <v>2010</v>
      </c>
      <c r="P15" s="41">
        <v>2011</v>
      </c>
      <c r="Q15" s="41">
        <v>2012</v>
      </c>
      <c r="R15" s="41">
        <v>2013</v>
      </c>
      <c r="S15" s="41">
        <v>2014</v>
      </c>
      <c r="T15" s="41">
        <v>2015</v>
      </c>
      <c r="U15" s="41">
        <v>2016</v>
      </c>
    </row>
    <row r="16" spans="1:21" x14ac:dyDescent="0.55000000000000004">
      <c r="A16" s="41" t="str">
        <f>'Population Definitions'!$A$2</f>
        <v>Gen 0-4</v>
      </c>
      <c r="B16" s="41" t="s">
        <v>10</v>
      </c>
      <c r="C16" s="40" t="str">
        <f t="shared" ref="C16:C27" si="1">IF(SUMPRODUCT(--(E16:U16&lt;&gt;""))=0,0.12,"N.A.")</f>
        <v>N.A.</v>
      </c>
      <c r="D16" s="41" t="s">
        <v>16</v>
      </c>
      <c r="E16" s="40">
        <f>0.00725373961218837+(0.12)</f>
        <v>0.12725373961218836</v>
      </c>
      <c r="F16" s="40">
        <f>0.00754172015404365+(0.12)</f>
        <v>0.12754172015404364</v>
      </c>
      <c r="G16" s="40">
        <f>0.00859907578558225+(0.12)</f>
        <v>0.12859907578558225</v>
      </c>
      <c r="H16" s="40">
        <f>0.00977512231840422+(0.12)</f>
        <v>0.12977512231840421</v>
      </c>
      <c r="I16" s="40">
        <f>0.0109975129137172+(0.12)</f>
        <v>0.1309975129137172</v>
      </c>
      <c r="J16" s="40">
        <f>0.0119463255098115+(0.12)</f>
        <v>0.1319463255098115</v>
      </c>
      <c r="K16" s="40">
        <f>0.0124815962805114+(0.12)</f>
        <v>0.1324815962805114</v>
      </c>
      <c r="L16" s="40">
        <f>0.011825405921681+(0.12)</f>
        <v>0.13182540592168099</v>
      </c>
      <c r="M16" s="40">
        <f>0.011405505952381+(0.12)</f>
        <v>0.13140550595238099</v>
      </c>
      <c r="N16" s="40">
        <f>0.00944434356273833+(0.12)</f>
        <v>0.12944434356273832</v>
      </c>
      <c r="O16" s="40">
        <f>0.00861112107623318+(0.12)</f>
        <v>0.12861112107623318</v>
      </c>
      <c r="P16" s="40">
        <f>0.00679263157894737+(0.12)</f>
        <v>0.12679263157894738</v>
      </c>
      <c r="Q16" s="40">
        <f>0.00661699507389163+(0.12)</f>
        <v>0.12661699507389163</v>
      </c>
      <c r="R16" s="40">
        <f>0.00629827709978464+(0.12)</f>
        <v>0.12629827709978464</v>
      </c>
      <c r="S16" s="40"/>
      <c r="T16" s="40"/>
      <c r="U16" s="40"/>
    </row>
    <row r="17" spans="1:21" x14ac:dyDescent="0.55000000000000004">
      <c r="A17" s="41" t="str">
        <f>'Population Definitions'!$A$3</f>
        <v>Gen 5-14</v>
      </c>
      <c r="B17" s="41" t="s">
        <v>10</v>
      </c>
      <c r="C17" s="40" t="str">
        <f t="shared" si="1"/>
        <v>N.A.</v>
      </c>
      <c r="D17" s="41" t="s">
        <v>16</v>
      </c>
      <c r="E17" s="40">
        <f>0.000656411758960836+(0.12)</f>
        <v>0.12065641175896083</v>
      </c>
      <c r="F17" s="40">
        <f>0.000688524590163934+(0.12)</f>
        <v>0.12068852459016392</v>
      </c>
      <c r="G17" s="40">
        <f>0.000747687861271676+(0.12)</f>
        <v>0.12074768786127167</v>
      </c>
      <c r="H17" s="40">
        <f>0.000829968424074251+(0.12)</f>
        <v>0.12082996842407424</v>
      </c>
      <c r="I17" s="40">
        <f>0.000945745288406625+(0.12)</f>
        <v>0.12094574528840663</v>
      </c>
      <c r="J17" s="40">
        <f>0.000969420702754036+(0.12)</f>
        <v>0.12096942070275403</v>
      </c>
      <c r="K17" s="40">
        <f>0.000939376716870323+(0.12)</f>
        <v>0.12093937671687031</v>
      </c>
      <c r="L17" s="40">
        <f>0.000905073494547179+(0.12)</f>
        <v>0.12090507349454717</v>
      </c>
      <c r="M17" s="40">
        <f>0.000873928775471339+(0.12)</f>
        <v>0.12087392877547133</v>
      </c>
      <c r="N17" s="40">
        <f>0.000847994639609457+(0.12)</f>
        <v>0.12084799463960945</v>
      </c>
      <c r="O17" s="40">
        <f>0.000888033859176606+(0.12)</f>
        <v>0.1208880338591766</v>
      </c>
      <c r="P17" s="40">
        <f>0.000801447876447876+(0.12)</f>
        <v>0.12080144787644786</v>
      </c>
      <c r="Q17" s="40">
        <f>0.000869464544138929+(0.12)</f>
        <v>0.12086946454413892</v>
      </c>
      <c r="R17" s="40">
        <f>0.000637952559300874+(0.12)</f>
        <v>0.12063795255930088</v>
      </c>
      <c r="S17" s="40"/>
      <c r="T17" s="40"/>
      <c r="U17" s="40"/>
    </row>
    <row r="18" spans="1:21" x14ac:dyDescent="0.55000000000000004">
      <c r="A18" s="41" t="str">
        <f>'Population Definitions'!$A$4</f>
        <v>Gen 15-64</v>
      </c>
      <c r="B18" s="41" t="s">
        <v>10</v>
      </c>
      <c r="C18" s="40" t="str">
        <f t="shared" si="1"/>
        <v>N.A.</v>
      </c>
      <c r="D18" s="41" t="s">
        <v>16</v>
      </c>
      <c r="E18" s="40">
        <f>0.00915683846293936+(0.12)</f>
        <v>0.12915683846293935</v>
      </c>
      <c r="F18" s="40">
        <f>0.0100593014100637+(0.12)</f>
        <v>0.13005930141006369</v>
      </c>
      <c r="G18" s="40">
        <f>0.0111691973208963+(0.12)</f>
        <v>0.1311691973208963</v>
      </c>
      <c r="H18" s="40">
        <f>0.0122864004391382+(0.12)</f>
        <v>0.1322864004391382</v>
      </c>
      <c r="I18" s="40">
        <f>0.0126735043308937+(0.12)</f>
        <v>0.1326735043308937</v>
      </c>
      <c r="J18" s="40">
        <f>0.0127732043562662+(0.12)</f>
        <v>0.13277320435626619</v>
      </c>
      <c r="K18" s="40">
        <f>0.0127023240800516+(0.12)</f>
        <v>0.13270232408005159</v>
      </c>
      <c r="L18" s="40">
        <f>0.012266814791303+(0.12)</f>
        <v>0.13226681479130301</v>
      </c>
      <c r="M18" s="40">
        <f>0.0118325987058051+(0.12)</f>
        <v>0.1318325987058051</v>
      </c>
      <c r="N18" s="40">
        <f>0.0112209946451653+(0.12)</f>
        <v>0.13122099464516529</v>
      </c>
      <c r="O18" s="40">
        <f>0.0103361982870805+(0.12)</f>
        <v>0.13033619828708048</v>
      </c>
      <c r="P18" s="40">
        <f>0.00930902912331952+(0.12)</f>
        <v>0.12930902912331951</v>
      </c>
      <c r="Q18" s="40">
        <f>0.00853499545894003+(0.12)</f>
        <v>0.12853499545894004</v>
      </c>
      <c r="R18" s="40">
        <f>0.00774277656267987+(0.12)</f>
        <v>0.12774277656267988</v>
      </c>
      <c r="S18" s="40"/>
      <c r="T18" s="40"/>
      <c r="U18" s="40"/>
    </row>
    <row r="19" spans="1:21" x14ac:dyDescent="0.55000000000000004">
      <c r="A19" s="41" t="str">
        <f>'Population Definitions'!$A$5</f>
        <v>Gen 65+</v>
      </c>
      <c r="B19" s="41" t="s">
        <v>10</v>
      </c>
      <c r="C19" s="40" t="str">
        <f t="shared" si="1"/>
        <v>N.A.</v>
      </c>
      <c r="D19" s="41" t="s">
        <v>16</v>
      </c>
      <c r="E19" s="40">
        <f>0.0667880313199105+(0.12)</f>
        <v>0.18678803131991051</v>
      </c>
      <c r="F19" s="40">
        <f>0.0673539445628998+(0.12)</f>
        <v>0.18735394456289978</v>
      </c>
      <c r="G19" s="40">
        <f>0.0661256358087487+(0.12)</f>
        <v>0.18612563580874869</v>
      </c>
      <c r="H19" s="40">
        <f>0.0675651117589893+(0.12)</f>
        <v>0.18756511175898929</v>
      </c>
      <c r="I19" s="40">
        <f>0.0618761638733706+(0.12)</f>
        <v>0.18187616387337061</v>
      </c>
      <c r="J19" s="40">
        <f>0.0619413345275414+(0.12)</f>
        <v>0.18194133452754141</v>
      </c>
      <c r="K19" s="40">
        <f>0.0626938950988822+(0.12)</f>
        <v>0.18269389509888218</v>
      </c>
      <c r="L19" s="40">
        <f>0.0612165975103734+(0.12)</f>
        <v>0.18121659751037339</v>
      </c>
      <c r="M19" s="40">
        <f>0.0597051230334812+(0.12)</f>
        <v>0.17970512303348118</v>
      </c>
      <c r="N19" s="40">
        <f>0.0615330188679245+(0.12)</f>
        <v>0.1815330188679245</v>
      </c>
      <c r="O19" s="40">
        <f>0.0579773686229382+(0.12)</f>
        <v>0.1779773686229382</v>
      </c>
      <c r="P19" s="40">
        <f>0.0590019011406844+(0.12)</f>
        <v>0.1790019011406844</v>
      </c>
      <c r="Q19" s="40">
        <f>0.0576626506024096+(0.12)</f>
        <v>0.1776626506024096</v>
      </c>
      <c r="R19" s="40">
        <f>0.0551974664679583+(0.12)</f>
        <v>0.17519746646795831</v>
      </c>
      <c r="S19" s="40"/>
      <c r="T19" s="40"/>
      <c r="U19" s="40"/>
    </row>
    <row r="20" spans="1:21" x14ac:dyDescent="0.55000000000000004">
      <c r="A20" s="41" t="str">
        <f>'Population Definitions'!$A$6</f>
        <v>PLHIV 15-64</v>
      </c>
      <c r="B20" s="41" t="s">
        <v>10</v>
      </c>
      <c r="C20" s="40" t="str">
        <f t="shared" si="1"/>
        <v>N.A.</v>
      </c>
      <c r="D20" s="41" t="s">
        <v>16</v>
      </c>
      <c r="E20" s="40">
        <f>0.22+(0.12)</f>
        <v>0.33999999999999997</v>
      </c>
      <c r="F20" s="40"/>
      <c r="G20" s="40"/>
      <c r="H20" s="40"/>
      <c r="I20" s="40">
        <f>0.22+(0.12)</f>
        <v>0.33999999999999997</v>
      </c>
      <c r="J20" s="40">
        <f>0.1+(0.12)</f>
        <v>0.22</v>
      </c>
      <c r="K20" s="40"/>
      <c r="L20" s="40"/>
      <c r="M20" s="40"/>
      <c r="N20" s="40">
        <f>0.095+(0.12)</f>
        <v>0.215</v>
      </c>
      <c r="O20" s="40"/>
      <c r="P20" s="40"/>
      <c r="Q20" s="40"/>
      <c r="R20" s="40"/>
      <c r="S20" s="40"/>
      <c r="T20" s="40"/>
      <c r="U20" s="40">
        <f>0.0517+(0.12)</f>
        <v>0.17169999999999999</v>
      </c>
    </row>
    <row r="21" spans="1:21" x14ac:dyDescent="0.55000000000000004">
      <c r="A21" s="41" t="str">
        <f>'Population Definitions'!$A$7</f>
        <v>PLHIV 65+</v>
      </c>
      <c r="B21" s="41" t="s">
        <v>10</v>
      </c>
      <c r="C21" s="40" t="str">
        <f t="shared" si="1"/>
        <v>N.A.</v>
      </c>
      <c r="D21" s="41" t="s">
        <v>16</v>
      </c>
      <c r="E21" s="40">
        <f>0.130788031319911+(0.12)</f>
        <v>0.25078803131991101</v>
      </c>
      <c r="F21" s="40">
        <f>0.131302596000888+(0.12)</f>
        <v>0.251302596000888</v>
      </c>
      <c r="G21" s="40">
        <f>0.130024453435642+(0.12)</f>
        <v>0.250024453435642</v>
      </c>
      <c r="H21" s="40">
        <f>0.131410138213842+(0.12)</f>
        <v>0.251410138213842</v>
      </c>
      <c r="I21" s="40">
        <f>0.125580043951237+(0.12)</f>
        <v>0.245580043951237</v>
      </c>
      <c r="J21" s="40">
        <f>0.125296306523879+(0.12)</f>
        <v>0.24529630652387899</v>
      </c>
      <c r="K21" s="40">
        <f>0.125556781547203+(0.12)</f>
        <v>0.24555678154720301</v>
      </c>
      <c r="L21" s="40">
        <f>0.123378641752142+(0.12)</f>
        <v>0.24337864175214199</v>
      </c>
      <c r="M21" s="40">
        <f>0.121075936957955+(0.12)</f>
        <v>0.24107593695795498</v>
      </c>
      <c r="N21" s="40">
        <f>0.121968827232853+(0.12)</f>
        <v>0.24196882723285301</v>
      </c>
      <c r="O21" s="40">
        <f>0.117169094894402+(0.12)</f>
        <v>0.23716909489440199</v>
      </c>
      <c r="P21" s="40">
        <f>0.116501750335665+(0.12)</f>
        <v>0.23650175033566501</v>
      </c>
      <c r="Q21" s="40">
        <f>0.113597812069496+(0.12)</f>
        <v>0.23359781206949598</v>
      </c>
      <c r="R21" s="40">
        <f>0.109683597639683+(0.12)</f>
        <v>0.22968359763968299</v>
      </c>
      <c r="S21" s="40"/>
      <c r="T21" s="40"/>
      <c r="U21" s="40">
        <f>(5.17*2%)+(0.12)</f>
        <v>0.22339999999999999</v>
      </c>
    </row>
    <row r="22" spans="1:21" x14ac:dyDescent="0.55000000000000004">
      <c r="A22" s="41" t="str">
        <f>'Population Definitions'!$A$8</f>
        <v>Prisoners</v>
      </c>
      <c r="B22" s="41" t="s">
        <v>10</v>
      </c>
      <c r="C22" s="40" t="str">
        <f t="shared" si="1"/>
        <v>N.A.</v>
      </c>
      <c r="D22" s="41" t="s">
        <v>16</v>
      </c>
      <c r="E22" s="40">
        <f>0.00915683846293936+(0.12)</f>
        <v>0.12915683846293935</v>
      </c>
      <c r="F22" s="40">
        <f>0.0100593014100637+(0.12)</f>
        <v>0.13005930141006369</v>
      </c>
      <c r="G22" s="40">
        <f>0.0111691973208963+(0.12)</f>
        <v>0.1311691973208963</v>
      </c>
      <c r="H22" s="40">
        <f>0.0122864004391382+(0.12)</f>
        <v>0.1322864004391382</v>
      </c>
      <c r="I22" s="40">
        <f>0.0126735043308937+(0.12)</f>
        <v>0.1326735043308937</v>
      </c>
      <c r="J22" s="40">
        <f>0.0127732043562662+(0.12)</f>
        <v>0.13277320435626619</v>
      </c>
      <c r="K22" s="40">
        <f>0.0127023240800516+(0.12)</f>
        <v>0.13270232408005159</v>
      </c>
      <c r="L22" s="40">
        <f>0.012266814791303+(0.12)</f>
        <v>0.13226681479130301</v>
      </c>
      <c r="M22" s="40">
        <f>0.0118325987058051+(0.12)</f>
        <v>0.1318325987058051</v>
      </c>
      <c r="N22" s="40">
        <f>0.0112209946451653+(0.12)</f>
        <v>0.13122099464516529</v>
      </c>
      <c r="O22" s="40">
        <f>0.0103361982870805+(0.12)</f>
        <v>0.13033619828708048</v>
      </c>
      <c r="P22" s="40">
        <f>0.00930902912331952+(0.12)</f>
        <v>0.12930902912331951</v>
      </c>
      <c r="Q22" s="40">
        <f>0.00853499545894003+(0.12)</f>
        <v>0.12853499545894004</v>
      </c>
      <c r="R22" s="40">
        <f>0.00774277656267987+(0.12)</f>
        <v>0.12774277656267988</v>
      </c>
      <c r="S22" s="40"/>
      <c r="T22" s="40"/>
      <c r="U22" s="40"/>
    </row>
    <row r="23" spans="1:21" x14ac:dyDescent="0.55000000000000004">
      <c r="A23" s="41" t="str">
        <f>'Population Definitions'!$A$9</f>
        <v>PLHIV Prisoners</v>
      </c>
      <c r="B23" s="41" t="s">
        <v>10</v>
      </c>
      <c r="C23" s="40" t="str">
        <f t="shared" si="1"/>
        <v>N.A.</v>
      </c>
      <c r="D23" s="41" t="s">
        <v>16</v>
      </c>
      <c r="E23" s="40">
        <f>0.064+(0.12)</f>
        <v>0.184</v>
      </c>
      <c r="F23" s="40">
        <f>0.063948651437988+(0.12)</f>
        <v>0.183948651437988</v>
      </c>
      <c r="G23" s="40">
        <f>0.0638988176268937+(0.12)</f>
        <v>0.1838988176268937</v>
      </c>
      <c r="H23" s="40">
        <f>0.0638450264548522+(0.12)</f>
        <v>0.18384502645485218</v>
      </c>
      <c r="I23" s="40">
        <f>0.0637038800778667+(0.12)</f>
        <v>0.1837038800778667</v>
      </c>
      <c r="J23" s="40">
        <f>0.063354971996338+(0.12)</f>
        <v>0.18335497199633799</v>
      </c>
      <c r="K23" s="40">
        <f>0.0628628864483211+(0.12)</f>
        <v>0.1828628864483211</v>
      </c>
      <c r="L23" s="40">
        <f>0.0621620442417684+(0.12)</f>
        <v>0.18216204424176841</v>
      </c>
      <c r="M23" s="40">
        <f>0.0613708139244735+(0.12)</f>
        <v>0.18137081392447349</v>
      </c>
      <c r="N23" s="40">
        <f>0.0604358083649289+(0.12)</f>
        <v>0.1804358083649289</v>
      </c>
      <c r="O23" s="40">
        <f>0.0591917262714635+(0.12)</f>
        <v>0.17919172627146349</v>
      </c>
      <c r="P23" s="40">
        <f>0.0574998491949804+(0.12)</f>
        <v>0.17749984919498041</v>
      </c>
      <c r="Q23" s="40">
        <f>0.0559351614670864+(0.12)</f>
        <v>0.1759351614670864</v>
      </c>
      <c r="R23" s="40">
        <f>0.0544861311717248+(0.12)</f>
        <v>0.17448613117172479</v>
      </c>
      <c r="S23" s="40">
        <f>0.0535351493099285+(0.12)</f>
        <v>0.1735351493099285</v>
      </c>
      <c r="T23" s="40">
        <f>0.0529028826750741+(0.12)</f>
        <v>0.17290288267507409</v>
      </c>
      <c r="U23" s="40">
        <f>0.0516887916470763+(0.12)</f>
        <v>0.17168879164707629</v>
      </c>
    </row>
    <row r="24" spans="1:21" x14ac:dyDescent="0.55000000000000004">
      <c r="A24" s="41" t="str">
        <f>'Population Definitions'!$A$10</f>
        <v>HCW</v>
      </c>
      <c r="B24" s="41" t="s">
        <v>10</v>
      </c>
      <c r="C24" s="40" t="str">
        <f t="shared" si="1"/>
        <v>N.A.</v>
      </c>
      <c r="D24" s="41" t="s">
        <v>16</v>
      </c>
      <c r="E24" s="40">
        <f>0.00915683846293936+(0.12)</f>
        <v>0.12915683846293935</v>
      </c>
      <c r="F24" s="40">
        <f>0.0100593014100637+(0.12)</f>
        <v>0.13005930141006369</v>
      </c>
      <c r="G24" s="40">
        <f>0.0111691973208963+(0.12)</f>
        <v>0.1311691973208963</v>
      </c>
      <c r="H24" s="40">
        <f>0.0122864004391382+(0.12)</f>
        <v>0.1322864004391382</v>
      </c>
      <c r="I24" s="40">
        <f>0.0126735043308937+(0.12)</f>
        <v>0.1326735043308937</v>
      </c>
      <c r="J24" s="40">
        <f>0.0127732043562662+(0.12)</f>
        <v>0.13277320435626619</v>
      </c>
      <c r="K24" s="40">
        <f>0.0127023240800516+(0.12)</f>
        <v>0.13270232408005159</v>
      </c>
      <c r="L24" s="40">
        <f>0.012266814791303+(0.12)</f>
        <v>0.13226681479130301</v>
      </c>
      <c r="M24" s="40">
        <f>0.0118325987058051+(0.12)</f>
        <v>0.1318325987058051</v>
      </c>
      <c r="N24" s="40">
        <f>0.0112209946451653+(0.12)</f>
        <v>0.13122099464516529</v>
      </c>
      <c r="O24" s="40">
        <f>0.0103361982870805+(0.12)</f>
        <v>0.13033619828708048</v>
      </c>
      <c r="P24" s="40">
        <f>0.00930902912331952+(0.12)</f>
        <v>0.12930902912331951</v>
      </c>
      <c r="Q24" s="40">
        <f>0.00853499545894003+(0.12)</f>
        <v>0.12853499545894004</v>
      </c>
      <c r="R24" s="40">
        <f>0.00774277656267987+(0.12)</f>
        <v>0.12774277656267988</v>
      </c>
      <c r="S24" s="40"/>
      <c r="T24" s="40"/>
      <c r="U24" s="40"/>
    </row>
    <row r="25" spans="1:21" x14ac:dyDescent="0.55000000000000004">
      <c r="A25" s="41" t="str">
        <f>'Population Definitions'!$A$11</f>
        <v>PLHIV HCW</v>
      </c>
      <c r="B25" s="41" t="s">
        <v>10</v>
      </c>
      <c r="C25" s="40" t="str">
        <f t="shared" si="1"/>
        <v>N.A.</v>
      </c>
      <c r="D25" s="41" t="s">
        <v>16</v>
      </c>
      <c r="E25" s="40">
        <f>0.064+(0.12)</f>
        <v>0.184</v>
      </c>
      <c r="F25" s="40">
        <f>0.063948651437988+(0.12)</f>
        <v>0.183948651437988</v>
      </c>
      <c r="G25" s="40">
        <f>0.0638988176268937+(0.12)</f>
        <v>0.1838988176268937</v>
      </c>
      <c r="H25" s="40">
        <f>0.0638450264548522+(0.12)</f>
        <v>0.18384502645485218</v>
      </c>
      <c r="I25" s="40">
        <f>0.0637038800778667+(0.12)</f>
        <v>0.1837038800778667</v>
      </c>
      <c r="J25" s="40">
        <f>0.063354971996338+(0.12)</f>
        <v>0.18335497199633799</v>
      </c>
      <c r="K25" s="40">
        <f>0.0628628864483211+(0.12)</f>
        <v>0.1828628864483211</v>
      </c>
      <c r="L25" s="40">
        <f>0.0621620442417684+(0.12)</f>
        <v>0.18216204424176841</v>
      </c>
      <c r="M25" s="40">
        <f>0.0613708139244735+(0.12)</f>
        <v>0.18137081392447349</v>
      </c>
      <c r="N25" s="40">
        <f>0.0604358083649289+(0.12)</f>
        <v>0.1804358083649289</v>
      </c>
      <c r="O25" s="40">
        <f>0.0591917262714635+(0.12)</f>
        <v>0.17919172627146349</v>
      </c>
      <c r="P25" s="40">
        <f>0.0574998491949804+(0.12)</f>
        <v>0.17749984919498041</v>
      </c>
      <c r="Q25" s="40">
        <f>0.0559351614670864+(0.12)</f>
        <v>0.1759351614670864</v>
      </c>
      <c r="R25" s="40">
        <f>0.0544861311717248+(0.12)</f>
        <v>0.17448613117172479</v>
      </c>
      <c r="S25" s="40">
        <f>0.0535351493099285+(0.12)</f>
        <v>0.1735351493099285</v>
      </c>
      <c r="T25" s="40">
        <f>0.0529028826750741+(0.12)</f>
        <v>0.17290288267507409</v>
      </c>
      <c r="U25" s="40">
        <f>0.0516887916470763+(0.12)</f>
        <v>0.17168879164707629</v>
      </c>
    </row>
    <row r="26" spans="1:21" x14ac:dyDescent="0.55000000000000004">
      <c r="A26" s="41" t="str">
        <f>'Population Definitions'!$A$12</f>
        <v>Miners</v>
      </c>
      <c r="B26" s="41" t="s">
        <v>10</v>
      </c>
      <c r="C26" s="40" t="str">
        <f t="shared" si="1"/>
        <v>N.A.</v>
      </c>
      <c r="D26" s="41" t="s">
        <v>16</v>
      </c>
      <c r="E26" s="40">
        <f>0.00915683846293936+(0.12)</f>
        <v>0.12915683846293935</v>
      </c>
      <c r="F26" s="40">
        <f>0.0100593014100637+(0.12)</f>
        <v>0.13005930141006369</v>
      </c>
      <c r="G26" s="40">
        <f>0.0111691973208963+(0.12)</f>
        <v>0.1311691973208963</v>
      </c>
      <c r="H26" s="40">
        <f>0.0122864004391382+(0.12)</f>
        <v>0.1322864004391382</v>
      </c>
      <c r="I26" s="40">
        <f>0.0126735043308937+(0.12)</f>
        <v>0.1326735043308937</v>
      </c>
      <c r="J26" s="40">
        <f>0.0127732043562662+(0.12)</f>
        <v>0.13277320435626619</v>
      </c>
      <c r="K26" s="40">
        <f>0.0127023240800516+(0.12)</f>
        <v>0.13270232408005159</v>
      </c>
      <c r="L26" s="40">
        <f>0.012266814791303+(0.12)</f>
        <v>0.13226681479130301</v>
      </c>
      <c r="M26" s="40">
        <f>0.0118325987058051+(0.12)</f>
        <v>0.1318325987058051</v>
      </c>
      <c r="N26" s="40">
        <f>0.0112209946451653+(0.12)</f>
        <v>0.13122099464516529</v>
      </c>
      <c r="O26" s="40">
        <f>0.0103361982870805+(0.12)</f>
        <v>0.13033619828708048</v>
      </c>
      <c r="P26" s="40">
        <f>0.00930902912331952+(0.12)</f>
        <v>0.12930902912331951</v>
      </c>
      <c r="Q26" s="40">
        <f>0.00853499545894003+(0.12)</f>
        <v>0.12853499545894004</v>
      </c>
      <c r="R26" s="40">
        <f>0.00774277656267987+(0.12)</f>
        <v>0.12774277656267988</v>
      </c>
      <c r="S26" s="40"/>
      <c r="T26" s="40"/>
      <c r="U26" s="40"/>
    </row>
    <row r="27" spans="1:21" x14ac:dyDescent="0.55000000000000004">
      <c r="A27" s="41" t="str">
        <f>'Population Definitions'!$A$13</f>
        <v>PLHIV Miners</v>
      </c>
      <c r="B27" s="41" t="s">
        <v>10</v>
      </c>
      <c r="C27" s="40" t="str">
        <f t="shared" si="1"/>
        <v>N.A.</v>
      </c>
      <c r="D27" s="41" t="s">
        <v>16</v>
      </c>
      <c r="E27" s="40">
        <f>0.064+(0.12)</f>
        <v>0.184</v>
      </c>
      <c r="F27" s="40">
        <f>0.063948651437988+(0.12)</f>
        <v>0.183948651437988</v>
      </c>
      <c r="G27" s="40">
        <f>0.0638988176268937+(0.12)</f>
        <v>0.1838988176268937</v>
      </c>
      <c r="H27" s="40">
        <f>0.0638450264548522+(0.12)</f>
        <v>0.18384502645485218</v>
      </c>
      <c r="I27" s="40">
        <f>0.0637038800778667+(0.12)</f>
        <v>0.1837038800778667</v>
      </c>
      <c r="J27" s="40">
        <f>0.063354971996338+(0.12)</f>
        <v>0.18335497199633799</v>
      </c>
      <c r="K27" s="40">
        <f>0.0628628864483211+(0.12)</f>
        <v>0.1828628864483211</v>
      </c>
      <c r="L27" s="40">
        <f>0.0621620442417684+(0.12)</f>
        <v>0.18216204424176841</v>
      </c>
      <c r="M27" s="40">
        <f>0.0613708139244735+(0.12)</f>
        <v>0.18137081392447349</v>
      </c>
      <c r="N27" s="40">
        <f>0.0604358083649289+(0.12)</f>
        <v>0.1804358083649289</v>
      </c>
      <c r="O27" s="40">
        <f>0.0591917262714635+(0.12)</f>
        <v>0.17919172627146349</v>
      </c>
      <c r="P27" s="40">
        <f>0.0574998491949804+(0.12)</f>
        <v>0.17749984919498041</v>
      </c>
      <c r="Q27" s="40">
        <f>0.0559351614670864+(0.12)</f>
        <v>0.1759351614670864</v>
      </c>
      <c r="R27" s="40">
        <f>0.0544861311717248+(0.12)</f>
        <v>0.17448613117172479</v>
      </c>
      <c r="S27" s="40">
        <f>0.0535351493099285+(0.12)</f>
        <v>0.1735351493099285</v>
      </c>
      <c r="T27" s="40">
        <f>0.0529028826750741+(0.12)</f>
        <v>0.17290288267507409</v>
      </c>
      <c r="U27" s="40">
        <f>0.0516887916470763+(0.12)</f>
        <v>0.17168879164707629</v>
      </c>
    </row>
    <row r="29" spans="1:21" x14ac:dyDescent="0.55000000000000004">
      <c r="A29" s="21" t="s">
        <v>146</v>
      </c>
      <c r="B29" s="41" t="s">
        <v>8</v>
      </c>
      <c r="C29" s="41" t="s">
        <v>9</v>
      </c>
      <c r="D29" s="41"/>
      <c r="E29" s="41">
        <v>2000</v>
      </c>
      <c r="F29" s="41">
        <v>2001</v>
      </c>
      <c r="G29" s="41">
        <v>2002</v>
      </c>
      <c r="H29" s="41">
        <v>2003</v>
      </c>
      <c r="I29" s="41">
        <v>2004</v>
      </c>
      <c r="J29" s="41">
        <v>2005</v>
      </c>
      <c r="K29" s="41">
        <v>2006</v>
      </c>
      <c r="L29" s="41">
        <v>2007</v>
      </c>
      <c r="M29" s="41">
        <v>2008</v>
      </c>
      <c r="N29" s="41">
        <v>2009</v>
      </c>
      <c r="O29" s="41">
        <v>2010</v>
      </c>
      <c r="P29" s="41">
        <v>2011</v>
      </c>
      <c r="Q29" s="41">
        <v>2012</v>
      </c>
      <c r="R29" s="41">
        <v>2013</v>
      </c>
      <c r="S29" s="41">
        <v>2014</v>
      </c>
      <c r="T29" s="41">
        <v>2015</v>
      </c>
      <c r="U29" s="41">
        <v>2016</v>
      </c>
    </row>
    <row r="30" spans="1:21" x14ac:dyDescent="0.55000000000000004">
      <c r="A30" s="41" t="str">
        <f>'Population Definitions'!$A$2</f>
        <v>Gen 0-4</v>
      </c>
      <c r="B30" s="41" t="s">
        <v>10</v>
      </c>
      <c r="C30" s="40" t="str">
        <f t="shared" ref="C30:C41" si="2">IF(SUMPRODUCT(--(E30:U30&lt;&gt;""))=0,0.12,"N.A.")</f>
        <v>N.A.</v>
      </c>
      <c r="D30" s="41" t="s">
        <v>16</v>
      </c>
      <c r="E30" s="40">
        <f>0.00725373961218837+(0.12)</f>
        <v>0.12725373961218836</v>
      </c>
      <c r="F30" s="40">
        <f>0.00754172015404365+(0.12)</f>
        <v>0.12754172015404364</v>
      </c>
      <c r="G30" s="40">
        <f>0.00859907578558225+(0.12)</f>
        <v>0.12859907578558225</v>
      </c>
      <c r="H30" s="40">
        <f>0.00977512231840422+(0.12)</f>
        <v>0.12977512231840421</v>
      </c>
      <c r="I30" s="40">
        <f>0.0109975129137172+(0.12)</f>
        <v>0.1309975129137172</v>
      </c>
      <c r="J30" s="40">
        <f>0.0119463255098115+(0.12)</f>
        <v>0.1319463255098115</v>
      </c>
      <c r="K30" s="40">
        <f>0.0124815962805114+(0.12)</f>
        <v>0.1324815962805114</v>
      </c>
      <c r="L30" s="40">
        <f>0.011825405921681+(0.12)</f>
        <v>0.13182540592168099</v>
      </c>
      <c r="M30" s="40">
        <f>0.011405505952381+(0.12)</f>
        <v>0.13140550595238099</v>
      </c>
      <c r="N30" s="40">
        <f>0.00944434356273833+(0.12)</f>
        <v>0.12944434356273832</v>
      </c>
      <c r="O30" s="40">
        <f>0.00861112107623318+(0.12)</f>
        <v>0.12861112107623318</v>
      </c>
      <c r="P30" s="40">
        <f>0.00679263157894737+(0.12)</f>
        <v>0.12679263157894738</v>
      </c>
      <c r="Q30" s="40">
        <f>0.00661699507389163+(0.12)</f>
        <v>0.12661699507389163</v>
      </c>
      <c r="R30" s="40">
        <f>0.00629827709978464+(0.12)</f>
        <v>0.12629827709978464</v>
      </c>
      <c r="S30" s="40"/>
      <c r="T30" s="40"/>
      <c r="U30" s="40"/>
    </row>
    <row r="31" spans="1:21" x14ac:dyDescent="0.55000000000000004">
      <c r="A31" s="41" t="str">
        <f>'Population Definitions'!$A$3</f>
        <v>Gen 5-14</v>
      </c>
      <c r="B31" s="41" t="s">
        <v>10</v>
      </c>
      <c r="C31" s="40" t="str">
        <f t="shared" si="2"/>
        <v>N.A.</v>
      </c>
      <c r="D31" s="41" t="s">
        <v>16</v>
      </c>
      <c r="E31" s="40">
        <f>0.000656411758960836+(0.12)</f>
        <v>0.12065641175896083</v>
      </c>
      <c r="F31" s="40">
        <f>0.000688524590163934+(0.12)</f>
        <v>0.12068852459016392</v>
      </c>
      <c r="G31" s="40">
        <f>0.000747687861271676+(0.12)</f>
        <v>0.12074768786127167</v>
      </c>
      <c r="H31" s="40">
        <f>0.000829968424074251+(0.12)</f>
        <v>0.12082996842407424</v>
      </c>
      <c r="I31" s="40">
        <f>0.000945745288406625+(0.12)</f>
        <v>0.12094574528840663</v>
      </c>
      <c r="J31" s="40">
        <f>0.000969420702754036+(0.12)</f>
        <v>0.12096942070275403</v>
      </c>
      <c r="K31" s="40">
        <f>0.000939376716870323+(0.12)</f>
        <v>0.12093937671687031</v>
      </c>
      <c r="L31" s="40">
        <f>0.000905073494547179+(0.12)</f>
        <v>0.12090507349454717</v>
      </c>
      <c r="M31" s="40">
        <f>0.000873928775471339+(0.12)</f>
        <v>0.12087392877547133</v>
      </c>
      <c r="N31" s="40">
        <f>0.000847994639609457+(0.12)</f>
        <v>0.12084799463960945</v>
      </c>
      <c r="O31" s="40">
        <f>0.000888033859176606+(0.12)</f>
        <v>0.1208880338591766</v>
      </c>
      <c r="P31" s="40">
        <f>0.000801447876447876+(0.12)</f>
        <v>0.12080144787644786</v>
      </c>
      <c r="Q31" s="40">
        <f>0.000869464544138929+(0.12)</f>
        <v>0.12086946454413892</v>
      </c>
      <c r="R31" s="40">
        <f>0.000637952559300874+(0.12)</f>
        <v>0.12063795255930088</v>
      </c>
      <c r="S31" s="40"/>
      <c r="T31" s="40"/>
      <c r="U31" s="40"/>
    </row>
    <row r="32" spans="1:21" x14ac:dyDescent="0.55000000000000004">
      <c r="A32" s="41" t="str">
        <f>'Population Definitions'!$A$4</f>
        <v>Gen 15-64</v>
      </c>
      <c r="B32" s="41" t="s">
        <v>10</v>
      </c>
      <c r="C32" s="40" t="str">
        <f t="shared" si="2"/>
        <v>N.A.</v>
      </c>
      <c r="D32" s="41" t="s">
        <v>16</v>
      </c>
      <c r="E32" s="40">
        <f>0.00915683846293936+(0.12)</f>
        <v>0.12915683846293935</v>
      </c>
      <c r="F32" s="40">
        <f>0.0100593014100637+(0.12)</f>
        <v>0.13005930141006369</v>
      </c>
      <c r="G32" s="40">
        <f>0.0111691973208963+(0.12)</f>
        <v>0.1311691973208963</v>
      </c>
      <c r="H32" s="40">
        <f>0.0122864004391382+(0.12)</f>
        <v>0.1322864004391382</v>
      </c>
      <c r="I32" s="40">
        <f>0.0126735043308937+(0.12)</f>
        <v>0.1326735043308937</v>
      </c>
      <c r="J32" s="40">
        <f>0.0127732043562662+(0.12)</f>
        <v>0.13277320435626619</v>
      </c>
      <c r="K32" s="40">
        <f>0.0127023240800516+(0.12)</f>
        <v>0.13270232408005159</v>
      </c>
      <c r="L32" s="40">
        <f>0.012266814791303+(0.12)</f>
        <v>0.13226681479130301</v>
      </c>
      <c r="M32" s="40">
        <f>0.0118325987058051+(0.12)</f>
        <v>0.1318325987058051</v>
      </c>
      <c r="N32" s="40">
        <f>0.0112209946451653+(0.12)</f>
        <v>0.13122099464516529</v>
      </c>
      <c r="O32" s="40">
        <f>0.0103361982870805+(0.12)</f>
        <v>0.13033619828708048</v>
      </c>
      <c r="P32" s="40">
        <f>0.00930902912331952+(0.12)</f>
        <v>0.12930902912331951</v>
      </c>
      <c r="Q32" s="40">
        <f>0.00853499545894003+(0.12)</f>
        <v>0.12853499545894004</v>
      </c>
      <c r="R32" s="40">
        <f>0.00774277656267987+(0.12)</f>
        <v>0.12774277656267988</v>
      </c>
      <c r="S32" s="40"/>
      <c r="T32" s="40"/>
      <c r="U32" s="40"/>
    </row>
    <row r="33" spans="1:21" x14ac:dyDescent="0.55000000000000004">
      <c r="A33" s="41" t="str">
        <f>'Population Definitions'!$A$5</f>
        <v>Gen 65+</v>
      </c>
      <c r="B33" s="41" t="s">
        <v>10</v>
      </c>
      <c r="C33" s="40" t="str">
        <f t="shared" si="2"/>
        <v>N.A.</v>
      </c>
      <c r="D33" s="41" t="s">
        <v>16</v>
      </c>
      <c r="E33" s="40">
        <f>0.0667880313199105+(0.12)</f>
        <v>0.18678803131991051</v>
      </c>
      <c r="F33" s="40">
        <f>0.0673539445628998+(0.12)</f>
        <v>0.18735394456289978</v>
      </c>
      <c r="G33" s="40">
        <f>0.0661256358087487+(0.12)</f>
        <v>0.18612563580874869</v>
      </c>
      <c r="H33" s="40">
        <f>0.0675651117589893+(0.12)</f>
        <v>0.18756511175898929</v>
      </c>
      <c r="I33" s="40">
        <f>0.0618761638733706+(0.12)</f>
        <v>0.18187616387337061</v>
      </c>
      <c r="J33" s="40">
        <f>0.0619413345275414+(0.12)</f>
        <v>0.18194133452754141</v>
      </c>
      <c r="K33" s="40">
        <f>0.0626938950988822+(0.12)</f>
        <v>0.18269389509888218</v>
      </c>
      <c r="L33" s="40">
        <f>0.0612165975103734+(0.12)</f>
        <v>0.18121659751037339</v>
      </c>
      <c r="M33" s="40">
        <f>0.0597051230334812+(0.12)</f>
        <v>0.17970512303348118</v>
      </c>
      <c r="N33" s="40">
        <f>0.0615330188679245+(0.12)</f>
        <v>0.1815330188679245</v>
      </c>
      <c r="O33" s="40">
        <f>0.0579773686229382+(0.12)</f>
        <v>0.1779773686229382</v>
      </c>
      <c r="P33" s="40">
        <f>0.0590019011406844+(0.12)</f>
        <v>0.1790019011406844</v>
      </c>
      <c r="Q33" s="40">
        <f>0.0576626506024096+(0.12)</f>
        <v>0.1776626506024096</v>
      </c>
      <c r="R33" s="40">
        <f>0.0551974664679583+(0.12)</f>
        <v>0.17519746646795831</v>
      </c>
      <c r="S33" s="40"/>
      <c r="T33" s="40"/>
      <c r="U33" s="40"/>
    </row>
    <row r="34" spans="1:21" x14ac:dyDescent="0.55000000000000004">
      <c r="A34" s="41" t="str">
        <f>'Population Definitions'!$A$6</f>
        <v>PLHIV 15-64</v>
      </c>
      <c r="B34" s="41" t="s">
        <v>10</v>
      </c>
      <c r="C34" s="40" t="str">
        <f t="shared" si="2"/>
        <v>N.A.</v>
      </c>
      <c r="D34" s="41" t="s">
        <v>16</v>
      </c>
      <c r="E34" s="40">
        <f>0.22+(0.12)</f>
        <v>0.33999999999999997</v>
      </c>
      <c r="F34" s="40"/>
      <c r="G34" s="40"/>
      <c r="H34" s="40"/>
      <c r="I34" s="40">
        <f>0.22+(0.12)</f>
        <v>0.33999999999999997</v>
      </c>
      <c r="J34" s="40">
        <f>0.1+(0.12)</f>
        <v>0.22</v>
      </c>
      <c r="K34" s="40"/>
      <c r="L34" s="40"/>
      <c r="M34" s="40"/>
      <c r="N34" s="40">
        <f>0.095+(0.12)</f>
        <v>0.215</v>
      </c>
      <c r="O34" s="40"/>
      <c r="P34" s="40"/>
      <c r="Q34" s="40"/>
      <c r="R34" s="40"/>
      <c r="S34" s="40"/>
      <c r="T34" s="40"/>
      <c r="U34" s="40">
        <f>0.0517+(0.12)</f>
        <v>0.17169999999999999</v>
      </c>
    </row>
    <row r="35" spans="1:21" x14ac:dyDescent="0.55000000000000004">
      <c r="A35" s="41" t="str">
        <f>'Population Definitions'!$A$7</f>
        <v>PLHIV 65+</v>
      </c>
      <c r="B35" s="41" t="s">
        <v>10</v>
      </c>
      <c r="C35" s="40" t="str">
        <f t="shared" si="2"/>
        <v>N.A.</v>
      </c>
      <c r="D35" s="41" t="s">
        <v>16</v>
      </c>
      <c r="E35" s="40">
        <f>0.130788031319911+(0.12)</f>
        <v>0.25078803131991101</v>
      </c>
      <c r="F35" s="40">
        <f>0.131302596000888+(0.12)</f>
        <v>0.251302596000888</v>
      </c>
      <c r="G35" s="40">
        <f>0.130024453435642+(0.12)</f>
        <v>0.250024453435642</v>
      </c>
      <c r="H35" s="40">
        <f>0.131410138213842+(0.12)</f>
        <v>0.251410138213842</v>
      </c>
      <c r="I35" s="40">
        <f>0.125580043951237+(0.12)</f>
        <v>0.245580043951237</v>
      </c>
      <c r="J35" s="40">
        <f>0.125296306523879+(0.12)</f>
        <v>0.24529630652387899</v>
      </c>
      <c r="K35" s="40">
        <f>0.125556781547203+(0.12)</f>
        <v>0.24555678154720301</v>
      </c>
      <c r="L35" s="40">
        <f>0.123378641752142+(0.12)</f>
        <v>0.24337864175214199</v>
      </c>
      <c r="M35" s="40">
        <f>0.121075936957955+(0.12)</f>
        <v>0.24107593695795498</v>
      </c>
      <c r="N35" s="40">
        <f>0.121968827232853+(0.12)</f>
        <v>0.24196882723285301</v>
      </c>
      <c r="O35" s="40">
        <f>0.117169094894402+(0.12)</f>
        <v>0.23716909489440199</v>
      </c>
      <c r="P35" s="40">
        <f>0.116501750335665+(0.12)</f>
        <v>0.23650175033566501</v>
      </c>
      <c r="Q35" s="40">
        <f>0.113597812069496+(0.12)</f>
        <v>0.23359781206949598</v>
      </c>
      <c r="R35" s="40">
        <f>0.109683597639683+(0.12)</f>
        <v>0.22968359763968299</v>
      </c>
      <c r="S35" s="40"/>
      <c r="T35" s="40"/>
      <c r="U35" s="40">
        <f>(5.17*2%)+(0.12)</f>
        <v>0.22339999999999999</v>
      </c>
    </row>
    <row r="36" spans="1:21" x14ac:dyDescent="0.55000000000000004">
      <c r="A36" s="41" t="str">
        <f>'Population Definitions'!$A$8</f>
        <v>Prisoners</v>
      </c>
      <c r="B36" s="41" t="s">
        <v>10</v>
      </c>
      <c r="C36" s="40" t="str">
        <f t="shared" si="2"/>
        <v>N.A.</v>
      </c>
      <c r="D36" s="41" t="s">
        <v>16</v>
      </c>
      <c r="E36" s="40">
        <f>0.00915683846293936+(0.12)</f>
        <v>0.12915683846293935</v>
      </c>
      <c r="F36" s="40">
        <f>0.0100593014100637+(0.12)</f>
        <v>0.13005930141006369</v>
      </c>
      <c r="G36" s="40">
        <f>0.0111691973208963+(0.12)</f>
        <v>0.1311691973208963</v>
      </c>
      <c r="H36" s="40">
        <f>0.0122864004391382+(0.12)</f>
        <v>0.1322864004391382</v>
      </c>
      <c r="I36" s="40">
        <f>0.0126735043308937+(0.12)</f>
        <v>0.1326735043308937</v>
      </c>
      <c r="J36" s="40">
        <f>0.0127732043562662+(0.12)</f>
        <v>0.13277320435626619</v>
      </c>
      <c r="K36" s="40">
        <f>0.0127023240800516+(0.12)</f>
        <v>0.13270232408005159</v>
      </c>
      <c r="L36" s="40">
        <f>0.012266814791303+(0.12)</f>
        <v>0.13226681479130301</v>
      </c>
      <c r="M36" s="40">
        <f>0.0118325987058051+(0.12)</f>
        <v>0.1318325987058051</v>
      </c>
      <c r="N36" s="40">
        <f>0.0112209946451653+(0.12)</f>
        <v>0.13122099464516529</v>
      </c>
      <c r="O36" s="40">
        <f>0.0103361982870805+(0.12)</f>
        <v>0.13033619828708048</v>
      </c>
      <c r="P36" s="40">
        <f>0.00930902912331952+(0.12)</f>
        <v>0.12930902912331951</v>
      </c>
      <c r="Q36" s="40">
        <f>0.00853499545894003+(0.12)</f>
        <v>0.12853499545894004</v>
      </c>
      <c r="R36" s="40">
        <f>0.00774277656267987+(0.12)</f>
        <v>0.12774277656267988</v>
      </c>
      <c r="S36" s="40"/>
      <c r="T36" s="40"/>
      <c r="U36" s="40"/>
    </row>
    <row r="37" spans="1:21" x14ac:dyDescent="0.55000000000000004">
      <c r="A37" s="41" t="str">
        <f>'Population Definitions'!$A$9</f>
        <v>PLHIV Prisoners</v>
      </c>
      <c r="B37" s="41" t="s">
        <v>10</v>
      </c>
      <c r="C37" s="40" t="str">
        <f t="shared" si="2"/>
        <v>N.A.</v>
      </c>
      <c r="D37" s="41" t="s">
        <v>16</v>
      </c>
      <c r="E37" s="40">
        <f>0.064+(0.12)</f>
        <v>0.184</v>
      </c>
      <c r="F37" s="40">
        <f>0.063948651437988+(0.12)</f>
        <v>0.183948651437988</v>
      </c>
      <c r="G37" s="40">
        <f>0.0638988176268937+(0.12)</f>
        <v>0.1838988176268937</v>
      </c>
      <c r="H37" s="40">
        <f>0.0638450264548522+(0.12)</f>
        <v>0.18384502645485218</v>
      </c>
      <c r="I37" s="40">
        <f>0.0637038800778667+(0.12)</f>
        <v>0.1837038800778667</v>
      </c>
      <c r="J37" s="40">
        <f>0.063354971996338+(0.12)</f>
        <v>0.18335497199633799</v>
      </c>
      <c r="K37" s="40">
        <f>0.0628628864483211+(0.12)</f>
        <v>0.1828628864483211</v>
      </c>
      <c r="L37" s="40">
        <f>0.0621620442417684+(0.12)</f>
        <v>0.18216204424176841</v>
      </c>
      <c r="M37" s="40">
        <f>0.0613708139244735+(0.12)</f>
        <v>0.18137081392447349</v>
      </c>
      <c r="N37" s="40">
        <f>0.0604358083649289+(0.12)</f>
        <v>0.1804358083649289</v>
      </c>
      <c r="O37" s="40">
        <f>0.0591917262714635+(0.12)</f>
        <v>0.17919172627146349</v>
      </c>
      <c r="P37" s="40">
        <f>0.0574998491949804+(0.12)</f>
        <v>0.17749984919498041</v>
      </c>
      <c r="Q37" s="40">
        <f>0.0559351614670864+(0.12)</f>
        <v>0.1759351614670864</v>
      </c>
      <c r="R37" s="40">
        <f>0.0544861311717248+(0.12)</f>
        <v>0.17448613117172479</v>
      </c>
      <c r="S37" s="40">
        <f>0.0535351493099285+(0.12)</f>
        <v>0.1735351493099285</v>
      </c>
      <c r="T37" s="40">
        <f>0.0529028826750741+(0.12)</f>
        <v>0.17290288267507409</v>
      </c>
      <c r="U37" s="40">
        <f>0.0516887916470763+(0.12)</f>
        <v>0.17168879164707629</v>
      </c>
    </row>
    <row r="38" spans="1:21" x14ac:dyDescent="0.55000000000000004">
      <c r="A38" s="41" t="str">
        <f>'Population Definitions'!$A$10</f>
        <v>HCW</v>
      </c>
      <c r="B38" s="41" t="s">
        <v>10</v>
      </c>
      <c r="C38" s="40" t="str">
        <f t="shared" si="2"/>
        <v>N.A.</v>
      </c>
      <c r="D38" s="41" t="s">
        <v>16</v>
      </c>
      <c r="E38" s="40">
        <f>0.00915683846293936+(0.12)</f>
        <v>0.12915683846293935</v>
      </c>
      <c r="F38" s="40">
        <f>0.0100593014100637+(0.12)</f>
        <v>0.13005930141006369</v>
      </c>
      <c r="G38" s="40">
        <f>0.0111691973208963+(0.12)</f>
        <v>0.1311691973208963</v>
      </c>
      <c r="H38" s="40">
        <f>0.0122864004391382+(0.12)</f>
        <v>0.1322864004391382</v>
      </c>
      <c r="I38" s="40">
        <f>0.0126735043308937+(0.12)</f>
        <v>0.1326735043308937</v>
      </c>
      <c r="J38" s="40">
        <f>0.0127732043562662+(0.12)</f>
        <v>0.13277320435626619</v>
      </c>
      <c r="K38" s="40">
        <f>0.0127023240800516+(0.12)</f>
        <v>0.13270232408005159</v>
      </c>
      <c r="L38" s="40">
        <f>0.012266814791303+(0.12)</f>
        <v>0.13226681479130301</v>
      </c>
      <c r="M38" s="40">
        <f>0.0118325987058051+(0.12)</f>
        <v>0.1318325987058051</v>
      </c>
      <c r="N38" s="40">
        <f>0.0112209946451653+(0.12)</f>
        <v>0.13122099464516529</v>
      </c>
      <c r="O38" s="40">
        <f>0.0103361982870805+(0.12)</f>
        <v>0.13033619828708048</v>
      </c>
      <c r="P38" s="40">
        <f>0.00930902912331952+(0.12)</f>
        <v>0.12930902912331951</v>
      </c>
      <c r="Q38" s="40">
        <f>0.00853499545894003+(0.12)</f>
        <v>0.12853499545894004</v>
      </c>
      <c r="R38" s="40">
        <f>0.00774277656267987+(0.12)</f>
        <v>0.12774277656267988</v>
      </c>
      <c r="S38" s="40"/>
      <c r="T38" s="40"/>
      <c r="U38" s="40"/>
    </row>
    <row r="39" spans="1:21" x14ac:dyDescent="0.55000000000000004">
      <c r="A39" s="41" t="str">
        <f>'Population Definitions'!$A$11</f>
        <v>PLHIV HCW</v>
      </c>
      <c r="B39" s="41" t="s">
        <v>10</v>
      </c>
      <c r="C39" s="40" t="str">
        <f t="shared" si="2"/>
        <v>N.A.</v>
      </c>
      <c r="D39" s="41" t="s">
        <v>16</v>
      </c>
      <c r="E39" s="40">
        <f>0.064+(0.12)</f>
        <v>0.184</v>
      </c>
      <c r="F39" s="40">
        <f>0.063948651437988+(0.12)</f>
        <v>0.183948651437988</v>
      </c>
      <c r="G39" s="40">
        <f>0.0638988176268937+(0.12)</f>
        <v>0.1838988176268937</v>
      </c>
      <c r="H39" s="40">
        <f>0.0638450264548522+(0.12)</f>
        <v>0.18384502645485218</v>
      </c>
      <c r="I39" s="40">
        <f>0.0637038800778667+(0.12)</f>
        <v>0.1837038800778667</v>
      </c>
      <c r="J39" s="40">
        <f>0.063354971996338+(0.12)</f>
        <v>0.18335497199633799</v>
      </c>
      <c r="K39" s="40">
        <f>0.0628628864483211+(0.12)</f>
        <v>0.1828628864483211</v>
      </c>
      <c r="L39" s="40">
        <f>0.0621620442417684+(0.12)</f>
        <v>0.18216204424176841</v>
      </c>
      <c r="M39" s="40">
        <f>0.0613708139244735+(0.12)</f>
        <v>0.18137081392447349</v>
      </c>
      <c r="N39" s="40">
        <f>0.0604358083649289+(0.12)</f>
        <v>0.1804358083649289</v>
      </c>
      <c r="O39" s="40">
        <f>0.0591917262714635+(0.12)</f>
        <v>0.17919172627146349</v>
      </c>
      <c r="P39" s="40">
        <f>0.0574998491949804+(0.12)</f>
        <v>0.17749984919498041</v>
      </c>
      <c r="Q39" s="40">
        <f>0.0559351614670864+(0.12)</f>
        <v>0.1759351614670864</v>
      </c>
      <c r="R39" s="40">
        <f>0.0544861311717248+(0.12)</f>
        <v>0.17448613117172479</v>
      </c>
      <c r="S39" s="40">
        <f>0.0535351493099285+(0.12)</f>
        <v>0.1735351493099285</v>
      </c>
      <c r="T39" s="40">
        <f>0.0529028826750741+(0.12)</f>
        <v>0.17290288267507409</v>
      </c>
      <c r="U39" s="40">
        <f>0.0516887916470763+(0.12)</f>
        <v>0.17168879164707629</v>
      </c>
    </row>
    <row r="40" spans="1:21" x14ac:dyDescent="0.55000000000000004">
      <c r="A40" s="41" t="str">
        <f>'Population Definitions'!$A$12</f>
        <v>Miners</v>
      </c>
      <c r="B40" s="41" t="s">
        <v>10</v>
      </c>
      <c r="C40" s="40" t="str">
        <f t="shared" si="2"/>
        <v>N.A.</v>
      </c>
      <c r="D40" s="41" t="s">
        <v>16</v>
      </c>
      <c r="E40" s="40">
        <f>0.00915683846293936+(0.12)</f>
        <v>0.12915683846293935</v>
      </c>
      <c r="F40" s="40">
        <f>0.0100593014100637+(0.12)</f>
        <v>0.13005930141006369</v>
      </c>
      <c r="G40" s="40">
        <f>0.0111691973208963+(0.12)</f>
        <v>0.1311691973208963</v>
      </c>
      <c r="H40" s="40">
        <f>0.0122864004391382+(0.12)</f>
        <v>0.1322864004391382</v>
      </c>
      <c r="I40" s="40">
        <f>0.0126735043308937+(0.12)</f>
        <v>0.1326735043308937</v>
      </c>
      <c r="J40" s="40">
        <f>0.0127732043562662+(0.12)</f>
        <v>0.13277320435626619</v>
      </c>
      <c r="K40" s="40">
        <f>0.0127023240800516+(0.12)</f>
        <v>0.13270232408005159</v>
      </c>
      <c r="L40" s="40">
        <f>0.012266814791303+(0.12)</f>
        <v>0.13226681479130301</v>
      </c>
      <c r="M40" s="40">
        <f>0.0118325987058051+(0.12)</f>
        <v>0.1318325987058051</v>
      </c>
      <c r="N40" s="40">
        <f>0.0112209946451653+(0.12)</f>
        <v>0.13122099464516529</v>
      </c>
      <c r="O40" s="40">
        <f>0.0103361982870805+(0.12)</f>
        <v>0.13033619828708048</v>
      </c>
      <c r="P40" s="40">
        <f>0.00930902912331952+(0.12)</f>
        <v>0.12930902912331951</v>
      </c>
      <c r="Q40" s="40">
        <f>0.00853499545894003+(0.12)</f>
        <v>0.12853499545894004</v>
      </c>
      <c r="R40" s="40">
        <f>0.00774277656267987+(0.12)</f>
        <v>0.12774277656267988</v>
      </c>
      <c r="S40" s="40"/>
      <c r="T40" s="40"/>
      <c r="U40" s="40"/>
    </row>
    <row r="41" spans="1:21" x14ac:dyDescent="0.55000000000000004">
      <c r="A41" s="41" t="str">
        <f>'Population Definitions'!$A$13</f>
        <v>PLHIV Miners</v>
      </c>
      <c r="B41" s="41" t="s">
        <v>10</v>
      </c>
      <c r="C41" s="40" t="str">
        <f t="shared" si="2"/>
        <v>N.A.</v>
      </c>
      <c r="D41" s="41" t="s">
        <v>16</v>
      </c>
      <c r="E41" s="40">
        <f>0.064+(0.12)</f>
        <v>0.184</v>
      </c>
      <c r="F41" s="40">
        <f>0.063948651437988+(0.12)</f>
        <v>0.183948651437988</v>
      </c>
      <c r="G41" s="40">
        <f>0.0638988176268937+(0.12)</f>
        <v>0.1838988176268937</v>
      </c>
      <c r="H41" s="40">
        <f>0.0638450264548522+(0.12)</f>
        <v>0.18384502645485218</v>
      </c>
      <c r="I41" s="40">
        <f>0.0637038800778667+(0.12)</f>
        <v>0.1837038800778667</v>
      </c>
      <c r="J41" s="40">
        <f>0.063354971996338+(0.12)</f>
        <v>0.18335497199633799</v>
      </c>
      <c r="K41" s="40">
        <f>0.0628628864483211+(0.12)</f>
        <v>0.1828628864483211</v>
      </c>
      <c r="L41" s="40">
        <f>0.0621620442417684+(0.12)</f>
        <v>0.18216204424176841</v>
      </c>
      <c r="M41" s="40">
        <f>0.0613708139244735+(0.12)</f>
        <v>0.18137081392447349</v>
      </c>
      <c r="N41" s="40">
        <f>0.0604358083649289+(0.12)</f>
        <v>0.1804358083649289</v>
      </c>
      <c r="O41" s="40">
        <f>0.0591917262714635+(0.12)</f>
        <v>0.17919172627146349</v>
      </c>
      <c r="P41" s="40">
        <f>0.0574998491949804+(0.12)</f>
        <v>0.17749984919498041</v>
      </c>
      <c r="Q41" s="40">
        <f>0.0559351614670864+(0.12)</f>
        <v>0.1759351614670864</v>
      </c>
      <c r="R41" s="40">
        <f>0.0544861311717248+(0.12)</f>
        <v>0.17448613117172479</v>
      </c>
      <c r="S41" s="40">
        <f>0.0535351493099285+(0.12)</f>
        <v>0.1735351493099285</v>
      </c>
      <c r="T41" s="40">
        <f>0.0529028826750741+(0.12)</f>
        <v>0.17290288267507409</v>
      </c>
      <c r="U41" s="40">
        <f>0.0516887916470763+(0.12)</f>
        <v>0.17168879164707629</v>
      </c>
    </row>
    <row r="43" spans="1:21" x14ac:dyDescent="0.55000000000000004">
      <c r="A43" s="21" t="s">
        <v>147</v>
      </c>
      <c r="B43" s="41" t="s">
        <v>8</v>
      </c>
      <c r="C43" s="41" t="s">
        <v>9</v>
      </c>
      <c r="D43" s="41"/>
      <c r="E43" s="41">
        <v>2000</v>
      </c>
      <c r="F43" s="41">
        <v>2001</v>
      </c>
      <c r="G43" s="41">
        <v>2002</v>
      </c>
      <c r="H43" s="41">
        <v>2003</v>
      </c>
      <c r="I43" s="41">
        <v>2004</v>
      </c>
      <c r="J43" s="41">
        <v>2005</v>
      </c>
      <c r="K43" s="41">
        <v>2006</v>
      </c>
      <c r="L43" s="41">
        <v>2007</v>
      </c>
      <c r="M43" s="41">
        <v>2008</v>
      </c>
      <c r="N43" s="41">
        <v>2009</v>
      </c>
      <c r="O43" s="41">
        <v>2010</v>
      </c>
      <c r="P43" s="41">
        <v>2011</v>
      </c>
      <c r="Q43" s="41">
        <v>2012</v>
      </c>
      <c r="R43" s="41">
        <v>2013</v>
      </c>
      <c r="S43" s="41">
        <v>2014</v>
      </c>
      <c r="T43" s="41">
        <v>2015</v>
      </c>
      <c r="U43" s="41">
        <v>2016</v>
      </c>
    </row>
    <row r="44" spans="1:21" x14ac:dyDescent="0.55000000000000004">
      <c r="A44" s="41" t="str">
        <f>'Population Definitions'!$A$2</f>
        <v>Gen 0-4</v>
      </c>
      <c r="B44" s="41" t="s">
        <v>10</v>
      </c>
      <c r="C44" s="40" t="str">
        <f t="shared" ref="C44:C55" si="3">IF(SUMPRODUCT(--(E44:U44&lt;&gt;""))=0,0.12,"N.A.")</f>
        <v>N.A.</v>
      </c>
      <c r="D44" s="41" t="s">
        <v>16</v>
      </c>
      <c r="E44" s="40">
        <f>0.00725373961218837+(0.12)</f>
        <v>0.12725373961218836</v>
      </c>
      <c r="F44" s="40">
        <f>0.00754172015404365+(0.12)</f>
        <v>0.12754172015404364</v>
      </c>
      <c r="G44" s="40">
        <f>0.00859907578558225+(0.12)</f>
        <v>0.12859907578558225</v>
      </c>
      <c r="H44" s="40">
        <f>0.00977512231840422+(0.12)</f>
        <v>0.12977512231840421</v>
      </c>
      <c r="I44" s="40">
        <f>0.0109975129137172+(0.12)</f>
        <v>0.1309975129137172</v>
      </c>
      <c r="J44" s="40">
        <f>0.0119463255098115+(0.12)</f>
        <v>0.1319463255098115</v>
      </c>
      <c r="K44" s="40">
        <f>0.0124815962805114+(0.12)</f>
        <v>0.1324815962805114</v>
      </c>
      <c r="L44" s="40">
        <f>0.011825405921681+(0.12)</f>
        <v>0.13182540592168099</v>
      </c>
      <c r="M44" s="40">
        <f>0.011405505952381+(0.12)</f>
        <v>0.13140550595238099</v>
      </c>
      <c r="N44" s="40">
        <f>0.00944434356273833+(0.12)</f>
        <v>0.12944434356273832</v>
      </c>
      <c r="O44" s="40">
        <f>0.00861112107623318+(0.12)</f>
        <v>0.12861112107623318</v>
      </c>
      <c r="P44" s="40">
        <f>0.00679263157894737+(0.12)</f>
        <v>0.12679263157894738</v>
      </c>
      <c r="Q44" s="40">
        <f>0.00661699507389163+(0.12)</f>
        <v>0.12661699507389163</v>
      </c>
      <c r="R44" s="40">
        <f>0.00629827709978464+(0.12)</f>
        <v>0.12629827709978464</v>
      </c>
      <c r="S44" s="40"/>
      <c r="T44" s="40"/>
      <c r="U44" s="40"/>
    </row>
    <row r="45" spans="1:21" x14ac:dyDescent="0.55000000000000004">
      <c r="A45" s="41" t="str">
        <f>'Population Definitions'!$A$3</f>
        <v>Gen 5-14</v>
      </c>
      <c r="B45" s="41" t="s">
        <v>10</v>
      </c>
      <c r="C45" s="40" t="str">
        <f t="shared" si="3"/>
        <v>N.A.</v>
      </c>
      <c r="D45" s="41" t="s">
        <v>16</v>
      </c>
      <c r="E45" s="40">
        <f>0.000656411758960836+(0.12)</f>
        <v>0.12065641175896083</v>
      </c>
      <c r="F45" s="40">
        <f>0.000688524590163934+(0.12)</f>
        <v>0.12068852459016392</v>
      </c>
      <c r="G45" s="40">
        <f>0.000747687861271676+(0.12)</f>
        <v>0.12074768786127167</v>
      </c>
      <c r="H45" s="40">
        <f>0.000829968424074251+(0.12)</f>
        <v>0.12082996842407424</v>
      </c>
      <c r="I45" s="40">
        <f>0.000945745288406625+(0.12)</f>
        <v>0.12094574528840663</v>
      </c>
      <c r="J45" s="40">
        <f>0.000969420702754036+(0.12)</f>
        <v>0.12096942070275403</v>
      </c>
      <c r="K45" s="40">
        <f>0.000939376716870323+(0.12)</f>
        <v>0.12093937671687031</v>
      </c>
      <c r="L45" s="40">
        <f>0.000905073494547179+(0.12)</f>
        <v>0.12090507349454717</v>
      </c>
      <c r="M45" s="40">
        <f>0.000873928775471339+(0.12)</f>
        <v>0.12087392877547133</v>
      </c>
      <c r="N45" s="40">
        <f>0.000847994639609457+(0.12)</f>
        <v>0.12084799463960945</v>
      </c>
      <c r="O45" s="40">
        <f>0.000888033859176606+(0.12)</f>
        <v>0.1208880338591766</v>
      </c>
      <c r="P45" s="40">
        <f>0.000801447876447876+(0.12)</f>
        <v>0.12080144787644786</v>
      </c>
      <c r="Q45" s="40">
        <f>0.000869464544138929+(0.12)</f>
        <v>0.12086946454413892</v>
      </c>
      <c r="R45" s="40">
        <f>0.000637952559300874+(0.12)</f>
        <v>0.12063795255930088</v>
      </c>
      <c r="S45" s="40"/>
      <c r="T45" s="40"/>
      <c r="U45" s="40"/>
    </row>
    <row r="46" spans="1:21" x14ac:dyDescent="0.55000000000000004">
      <c r="A46" s="41" t="str">
        <f>'Population Definitions'!$A$4</f>
        <v>Gen 15-64</v>
      </c>
      <c r="B46" s="41" t="s">
        <v>10</v>
      </c>
      <c r="C46" s="40" t="str">
        <f t="shared" si="3"/>
        <v>N.A.</v>
      </c>
      <c r="D46" s="41" t="s">
        <v>16</v>
      </c>
      <c r="E46" s="40">
        <f>0.00915683846293936+(0.12)</f>
        <v>0.12915683846293935</v>
      </c>
      <c r="F46" s="40">
        <f>0.0100593014100637+(0.12)</f>
        <v>0.13005930141006369</v>
      </c>
      <c r="G46" s="40">
        <f>0.0111691973208963+(0.12)</f>
        <v>0.1311691973208963</v>
      </c>
      <c r="H46" s="40">
        <f>0.0122864004391382+(0.12)</f>
        <v>0.1322864004391382</v>
      </c>
      <c r="I46" s="40">
        <f>0.0126735043308937+(0.12)</f>
        <v>0.1326735043308937</v>
      </c>
      <c r="J46" s="40">
        <f>0.0127732043562662+(0.12)</f>
        <v>0.13277320435626619</v>
      </c>
      <c r="K46" s="40">
        <f>0.0127023240800516+(0.12)</f>
        <v>0.13270232408005159</v>
      </c>
      <c r="L46" s="40">
        <f>0.012266814791303+(0.12)</f>
        <v>0.13226681479130301</v>
      </c>
      <c r="M46" s="40">
        <f>0.0118325987058051+(0.12)</f>
        <v>0.1318325987058051</v>
      </c>
      <c r="N46" s="40">
        <f>0.0112209946451653+(0.12)</f>
        <v>0.13122099464516529</v>
      </c>
      <c r="O46" s="40">
        <f>0.0103361982870805+(0.12)</f>
        <v>0.13033619828708048</v>
      </c>
      <c r="P46" s="40">
        <f>0.00930902912331952+(0.12)</f>
        <v>0.12930902912331951</v>
      </c>
      <c r="Q46" s="40">
        <f>0.00853499545894003+(0.12)</f>
        <v>0.12853499545894004</v>
      </c>
      <c r="R46" s="40">
        <f>0.00774277656267987+(0.12)</f>
        <v>0.12774277656267988</v>
      </c>
      <c r="S46" s="40"/>
      <c r="T46" s="40"/>
      <c r="U46" s="40"/>
    </row>
    <row r="47" spans="1:21" x14ac:dyDescent="0.55000000000000004">
      <c r="A47" s="41" t="str">
        <f>'Population Definitions'!$A$5</f>
        <v>Gen 65+</v>
      </c>
      <c r="B47" s="41" t="s">
        <v>10</v>
      </c>
      <c r="C47" s="40" t="str">
        <f t="shared" si="3"/>
        <v>N.A.</v>
      </c>
      <c r="D47" s="41" t="s">
        <v>16</v>
      </c>
      <c r="E47" s="40">
        <f>0.0667880313199105+(0.12)</f>
        <v>0.18678803131991051</v>
      </c>
      <c r="F47" s="40">
        <f>0.0673539445628998+(0.12)</f>
        <v>0.18735394456289978</v>
      </c>
      <c r="G47" s="40">
        <f>0.0661256358087487+(0.12)</f>
        <v>0.18612563580874869</v>
      </c>
      <c r="H47" s="40">
        <f>0.0675651117589893+(0.12)</f>
        <v>0.18756511175898929</v>
      </c>
      <c r="I47" s="40">
        <f>0.0618761638733706+(0.12)</f>
        <v>0.18187616387337061</v>
      </c>
      <c r="J47" s="40">
        <f>0.0619413345275414+(0.12)</f>
        <v>0.18194133452754141</v>
      </c>
      <c r="K47" s="40">
        <f>0.0626938950988822+(0.12)</f>
        <v>0.18269389509888218</v>
      </c>
      <c r="L47" s="40">
        <f>0.0612165975103734+(0.12)</f>
        <v>0.18121659751037339</v>
      </c>
      <c r="M47" s="40">
        <f>0.0597051230334812+(0.12)</f>
        <v>0.17970512303348118</v>
      </c>
      <c r="N47" s="40">
        <f>0.0615330188679245+(0.12)</f>
        <v>0.1815330188679245</v>
      </c>
      <c r="O47" s="40">
        <f>0.0579773686229382+(0.12)</f>
        <v>0.1779773686229382</v>
      </c>
      <c r="P47" s="40">
        <f>0.0590019011406844+(0.12)</f>
        <v>0.1790019011406844</v>
      </c>
      <c r="Q47" s="40">
        <f>0.0576626506024096+(0.12)</f>
        <v>0.1776626506024096</v>
      </c>
      <c r="R47" s="40">
        <f>0.0551974664679583+(0.12)</f>
        <v>0.17519746646795831</v>
      </c>
      <c r="S47" s="40"/>
      <c r="T47" s="40"/>
      <c r="U47" s="40"/>
    </row>
    <row r="48" spans="1:21" x14ac:dyDescent="0.55000000000000004">
      <c r="A48" s="41" t="str">
        <f>'Population Definitions'!$A$6</f>
        <v>PLHIV 15-64</v>
      </c>
      <c r="B48" s="41" t="s">
        <v>10</v>
      </c>
      <c r="C48" s="40" t="str">
        <f t="shared" si="3"/>
        <v>N.A.</v>
      </c>
      <c r="D48" s="41" t="s">
        <v>16</v>
      </c>
      <c r="E48" s="40">
        <f>0.22+(0.12)</f>
        <v>0.33999999999999997</v>
      </c>
      <c r="F48" s="40"/>
      <c r="G48" s="40"/>
      <c r="H48" s="40"/>
      <c r="I48" s="40">
        <f>0.22+(0.12)</f>
        <v>0.33999999999999997</v>
      </c>
      <c r="J48" s="40">
        <f>0.1+(0.12)</f>
        <v>0.22</v>
      </c>
      <c r="K48" s="40"/>
      <c r="L48" s="40"/>
      <c r="M48" s="40"/>
      <c r="N48" s="40">
        <f>0.095+(0.12)</f>
        <v>0.215</v>
      </c>
      <c r="O48" s="40"/>
      <c r="P48" s="40"/>
      <c r="Q48" s="40"/>
      <c r="R48" s="40"/>
      <c r="S48" s="40"/>
      <c r="T48" s="40"/>
      <c r="U48" s="40">
        <f>0.0517+(0.12)</f>
        <v>0.17169999999999999</v>
      </c>
    </row>
    <row r="49" spans="1:21" x14ac:dyDescent="0.55000000000000004">
      <c r="A49" s="41" t="str">
        <f>'Population Definitions'!$A$7</f>
        <v>PLHIV 65+</v>
      </c>
      <c r="B49" s="41" t="s">
        <v>10</v>
      </c>
      <c r="C49" s="40" t="str">
        <f t="shared" si="3"/>
        <v>N.A.</v>
      </c>
      <c r="D49" s="41" t="s">
        <v>16</v>
      </c>
      <c r="E49" s="40">
        <f>0.130788031319911+(0.12)</f>
        <v>0.25078803131991101</v>
      </c>
      <c r="F49" s="40">
        <f>0.131302596000888+(0.12)</f>
        <v>0.251302596000888</v>
      </c>
      <c r="G49" s="40">
        <f>0.130024453435642+(0.12)</f>
        <v>0.250024453435642</v>
      </c>
      <c r="H49" s="40">
        <f>0.131410138213842+(0.12)</f>
        <v>0.251410138213842</v>
      </c>
      <c r="I49" s="40">
        <f>0.125580043951237+(0.12)</f>
        <v>0.245580043951237</v>
      </c>
      <c r="J49" s="40">
        <f>0.125296306523879+(0.12)</f>
        <v>0.24529630652387899</v>
      </c>
      <c r="K49" s="40">
        <f>0.125556781547203+(0.12)</f>
        <v>0.24555678154720301</v>
      </c>
      <c r="L49" s="40">
        <f>0.123378641752142+(0.12)</f>
        <v>0.24337864175214199</v>
      </c>
      <c r="M49" s="40">
        <f>0.121075936957955+(0.12)</f>
        <v>0.24107593695795498</v>
      </c>
      <c r="N49" s="40">
        <f>0.121968827232853+(0.12)</f>
        <v>0.24196882723285301</v>
      </c>
      <c r="O49" s="40">
        <f>0.117169094894402+(0.12)</f>
        <v>0.23716909489440199</v>
      </c>
      <c r="P49" s="40">
        <f>0.116501750335665+(0.12)</f>
        <v>0.23650175033566501</v>
      </c>
      <c r="Q49" s="40">
        <f>0.113597812069496+(0.12)</f>
        <v>0.23359781206949598</v>
      </c>
      <c r="R49" s="40">
        <f>0.109683597639683+(0.12)</f>
        <v>0.22968359763968299</v>
      </c>
      <c r="S49" s="40"/>
      <c r="T49" s="40"/>
      <c r="U49" s="40">
        <f>(5.17*2%)+(0.12)</f>
        <v>0.22339999999999999</v>
      </c>
    </row>
    <row r="50" spans="1:21" x14ac:dyDescent="0.55000000000000004">
      <c r="A50" s="41" t="str">
        <f>'Population Definitions'!$A$8</f>
        <v>Prisoners</v>
      </c>
      <c r="B50" s="41" t="s">
        <v>10</v>
      </c>
      <c r="C50" s="40" t="str">
        <f t="shared" si="3"/>
        <v>N.A.</v>
      </c>
      <c r="D50" s="41" t="s">
        <v>16</v>
      </c>
      <c r="E50" s="40">
        <f>0.00915683846293936+(0.12)</f>
        <v>0.12915683846293935</v>
      </c>
      <c r="F50" s="40">
        <f>0.0100593014100637+(0.12)</f>
        <v>0.13005930141006369</v>
      </c>
      <c r="G50" s="40">
        <f>0.0111691973208963+(0.12)</f>
        <v>0.1311691973208963</v>
      </c>
      <c r="H50" s="40">
        <f>0.0122864004391382+(0.12)</f>
        <v>0.1322864004391382</v>
      </c>
      <c r="I50" s="40">
        <f>0.0126735043308937+(0.12)</f>
        <v>0.1326735043308937</v>
      </c>
      <c r="J50" s="40">
        <f>0.0127732043562662+(0.12)</f>
        <v>0.13277320435626619</v>
      </c>
      <c r="K50" s="40">
        <f>0.0127023240800516+(0.12)</f>
        <v>0.13270232408005159</v>
      </c>
      <c r="L50" s="40">
        <f>0.012266814791303+(0.12)</f>
        <v>0.13226681479130301</v>
      </c>
      <c r="M50" s="40">
        <f>0.0118325987058051+(0.12)</f>
        <v>0.1318325987058051</v>
      </c>
      <c r="N50" s="40">
        <f>0.0112209946451653+(0.12)</f>
        <v>0.13122099464516529</v>
      </c>
      <c r="O50" s="40">
        <f>0.0103361982870805+(0.12)</f>
        <v>0.13033619828708048</v>
      </c>
      <c r="P50" s="40">
        <f>0.00930902912331952+(0.12)</f>
        <v>0.12930902912331951</v>
      </c>
      <c r="Q50" s="40">
        <f>0.00853499545894003+(0.12)</f>
        <v>0.12853499545894004</v>
      </c>
      <c r="R50" s="40">
        <f>0.00774277656267987+(0.12)</f>
        <v>0.12774277656267988</v>
      </c>
      <c r="S50" s="40"/>
      <c r="T50" s="40"/>
      <c r="U50" s="40"/>
    </row>
    <row r="51" spans="1:21" x14ac:dyDescent="0.55000000000000004">
      <c r="A51" s="41" t="str">
        <f>'Population Definitions'!$A$9</f>
        <v>PLHIV Prisoners</v>
      </c>
      <c r="B51" s="41" t="s">
        <v>10</v>
      </c>
      <c r="C51" s="40" t="str">
        <f t="shared" si="3"/>
        <v>N.A.</v>
      </c>
      <c r="D51" s="41" t="s">
        <v>16</v>
      </c>
      <c r="E51" s="40">
        <f>0.064+(0.12)</f>
        <v>0.184</v>
      </c>
      <c r="F51" s="40">
        <f>0.063948651437988+(0.12)</f>
        <v>0.183948651437988</v>
      </c>
      <c r="G51" s="40">
        <f>0.0638988176268937+(0.12)</f>
        <v>0.1838988176268937</v>
      </c>
      <c r="H51" s="40">
        <f>0.0638450264548522+(0.12)</f>
        <v>0.18384502645485218</v>
      </c>
      <c r="I51" s="40">
        <f>0.0637038800778667+(0.12)</f>
        <v>0.1837038800778667</v>
      </c>
      <c r="J51" s="40">
        <f>0.063354971996338+(0.12)</f>
        <v>0.18335497199633799</v>
      </c>
      <c r="K51" s="40">
        <f>0.0628628864483211+(0.12)</f>
        <v>0.1828628864483211</v>
      </c>
      <c r="L51" s="40">
        <f>0.0621620442417684+(0.12)</f>
        <v>0.18216204424176841</v>
      </c>
      <c r="M51" s="40">
        <f>0.0613708139244735+(0.12)</f>
        <v>0.18137081392447349</v>
      </c>
      <c r="N51" s="40">
        <f>0.0604358083649289+(0.12)</f>
        <v>0.1804358083649289</v>
      </c>
      <c r="O51" s="40">
        <f>0.0591917262714635+(0.12)</f>
        <v>0.17919172627146349</v>
      </c>
      <c r="P51" s="40">
        <f>0.0574998491949804+(0.12)</f>
        <v>0.17749984919498041</v>
      </c>
      <c r="Q51" s="40">
        <f>0.0559351614670864+(0.12)</f>
        <v>0.1759351614670864</v>
      </c>
      <c r="R51" s="40">
        <f>0.0544861311717248+(0.12)</f>
        <v>0.17448613117172479</v>
      </c>
      <c r="S51" s="40">
        <f>0.0535351493099285+(0.12)</f>
        <v>0.1735351493099285</v>
      </c>
      <c r="T51" s="40">
        <f>0.0529028826750741+(0.12)</f>
        <v>0.17290288267507409</v>
      </c>
      <c r="U51" s="40">
        <f>0.0516887916470763+(0.12)</f>
        <v>0.17168879164707629</v>
      </c>
    </row>
    <row r="52" spans="1:21" x14ac:dyDescent="0.55000000000000004">
      <c r="A52" s="41" t="str">
        <f>'Population Definitions'!$A$10</f>
        <v>HCW</v>
      </c>
      <c r="B52" s="41" t="s">
        <v>10</v>
      </c>
      <c r="C52" s="40" t="str">
        <f t="shared" si="3"/>
        <v>N.A.</v>
      </c>
      <c r="D52" s="41" t="s">
        <v>16</v>
      </c>
      <c r="E52" s="40">
        <f>0.00915683846293936+(0.12)</f>
        <v>0.12915683846293935</v>
      </c>
      <c r="F52" s="40">
        <f>0.0100593014100637+(0.12)</f>
        <v>0.13005930141006369</v>
      </c>
      <c r="G52" s="40">
        <f>0.0111691973208963+(0.12)</f>
        <v>0.1311691973208963</v>
      </c>
      <c r="H52" s="40">
        <f>0.0122864004391382+(0.12)</f>
        <v>0.1322864004391382</v>
      </c>
      <c r="I52" s="40">
        <f>0.0126735043308937+(0.12)</f>
        <v>0.1326735043308937</v>
      </c>
      <c r="J52" s="40">
        <f>0.0127732043562662+(0.12)</f>
        <v>0.13277320435626619</v>
      </c>
      <c r="K52" s="40">
        <f>0.0127023240800516+(0.12)</f>
        <v>0.13270232408005159</v>
      </c>
      <c r="L52" s="40">
        <f>0.012266814791303+(0.12)</f>
        <v>0.13226681479130301</v>
      </c>
      <c r="M52" s="40">
        <f>0.0118325987058051+(0.12)</f>
        <v>0.1318325987058051</v>
      </c>
      <c r="N52" s="40">
        <f>0.0112209946451653+(0.12)</f>
        <v>0.13122099464516529</v>
      </c>
      <c r="O52" s="40">
        <f>0.0103361982870805+(0.12)</f>
        <v>0.13033619828708048</v>
      </c>
      <c r="P52" s="40">
        <f>0.00930902912331952+(0.12)</f>
        <v>0.12930902912331951</v>
      </c>
      <c r="Q52" s="40">
        <f>0.00853499545894003+(0.12)</f>
        <v>0.12853499545894004</v>
      </c>
      <c r="R52" s="40">
        <f>0.00774277656267987+(0.12)</f>
        <v>0.12774277656267988</v>
      </c>
      <c r="S52" s="40"/>
      <c r="T52" s="40"/>
      <c r="U52" s="40"/>
    </row>
    <row r="53" spans="1:21" x14ac:dyDescent="0.55000000000000004">
      <c r="A53" s="41" t="str">
        <f>'Population Definitions'!$A$11</f>
        <v>PLHIV HCW</v>
      </c>
      <c r="B53" s="41" t="s">
        <v>10</v>
      </c>
      <c r="C53" s="40" t="str">
        <f t="shared" si="3"/>
        <v>N.A.</v>
      </c>
      <c r="D53" s="41" t="s">
        <v>16</v>
      </c>
      <c r="E53" s="40">
        <f>0.064+(0.12)</f>
        <v>0.184</v>
      </c>
      <c r="F53" s="40">
        <f>0.063948651437988+(0.12)</f>
        <v>0.183948651437988</v>
      </c>
      <c r="G53" s="40">
        <f>0.0638988176268937+(0.12)</f>
        <v>0.1838988176268937</v>
      </c>
      <c r="H53" s="40">
        <f>0.0638450264548522+(0.12)</f>
        <v>0.18384502645485218</v>
      </c>
      <c r="I53" s="40">
        <f>0.0637038800778667+(0.12)</f>
        <v>0.1837038800778667</v>
      </c>
      <c r="J53" s="40">
        <f>0.063354971996338+(0.12)</f>
        <v>0.18335497199633799</v>
      </c>
      <c r="K53" s="40">
        <f>0.0628628864483211+(0.12)</f>
        <v>0.1828628864483211</v>
      </c>
      <c r="L53" s="40">
        <f>0.0621620442417684+(0.12)</f>
        <v>0.18216204424176841</v>
      </c>
      <c r="M53" s="40">
        <f>0.0613708139244735+(0.12)</f>
        <v>0.18137081392447349</v>
      </c>
      <c r="N53" s="40">
        <f>0.0604358083649289+(0.12)</f>
        <v>0.1804358083649289</v>
      </c>
      <c r="O53" s="40">
        <f>0.0591917262714635+(0.12)</f>
        <v>0.17919172627146349</v>
      </c>
      <c r="P53" s="40">
        <f>0.0574998491949804+(0.12)</f>
        <v>0.17749984919498041</v>
      </c>
      <c r="Q53" s="40">
        <f>0.0559351614670864+(0.12)</f>
        <v>0.1759351614670864</v>
      </c>
      <c r="R53" s="40">
        <f>0.0544861311717248+(0.12)</f>
        <v>0.17448613117172479</v>
      </c>
      <c r="S53" s="40">
        <f>0.0535351493099285+(0.12)</f>
        <v>0.1735351493099285</v>
      </c>
      <c r="T53" s="40">
        <f>0.0529028826750741+(0.12)</f>
        <v>0.17290288267507409</v>
      </c>
      <c r="U53" s="40">
        <f>0.0516887916470763+(0.12)</f>
        <v>0.17168879164707629</v>
      </c>
    </row>
    <row r="54" spans="1:21" x14ac:dyDescent="0.55000000000000004">
      <c r="A54" s="41" t="str">
        <f>'Population Definitions'!$A$12</f>
        <v>Miners</v>
      </c>
      <c r="B54" s="41" t="s">
        <v>10</v>
      </c>
      <c r="C54" s="40" t="str">
        <f t="shared" si="3"/>
        <v>N.A.</v>
      </c>
      <c r="D54" s="41" t="s">
        <v>16</v>
      </c>
      <c r="E54" s="40">
        <f>0.00915683846293936+(0.12)</f>
        <v>0.12915683846293935</v>
      </c>
      <c r="F54" s="40">
        <f>0.0100593014100637+(0.12)</f>
        <v>0.13005930141006369</v>
      </c>
      <c r="G54" s="40">
        <f>0.0111691973208963+(0.12)</f>
        <v>0.1311691973208963</v>
      </c>
      <c r="H54" s="40">
        <f>0.0122864004391382+(0.12)</f>
        <v>0.1322864004391382</v>
      </c>
      <c r="I54" s="40">
        <f>0.0126735043308937+(0.12)</f>
        <v>0.1326735043308937</v>
      </c>
      <c r="J54" s="40">
        <f>0.0127732043562662+(0.12)</f>
        <v>0.13277320435626619</v>
      </c>
      <c r="K54" s="40">
        <f>0.0127023240800516+(0.12)</f>
        <v>0.13270232408005159</v>
      </c>
      <c r="L54" s="40">
        <f>0.012266814791303+(0.12)</f>
        <v>0.13226681479130301</v>
      </c>
      <c r="M54" s="40">
        <f>0.0118325987058051+(0.12)</f>
        <v>0.1318325987058051</v>
      </c>
      <c r="N54" s="40">
        <f>0.0112209946451653+(0.12)</f>
        <v>0.13122099464516529</v>
      </c>
      <c r="O54" s="40">
        <f>0.0103361982870805+(0.12)</f>
        <v>0.13033619828708048</v>
      </c>
      <c r="P54" s="40">
        <f>0.00930902912331952+(0.12)</f>
        <v>0.12930902912331951</v>
      </c>
      <c r="Q54" s="40">
        <f>0.00853499545894003+(0.12)</f>
        <v>0.12853499545894004</v>
      </c>
      <c r="R54" s="40">
        <f>0.00774277656267987+(0.12)</f>
        <v>0.12774277656267988</v>
      </c>
      <c r="S54" s="40"/>
      <c r="T54" s="40"/>
      <c r="U54" s="40"/>
    </row>
    <row r="55" spans="1:21" x14ac:dyDescent="0.55000000000000004">
      <c r="A55" s="41" t="str">
        <f>'Population Definitions'!$A$13</f>
        <v>PLHIV Miners</v>
      </c>
      <c r="B55" s="41" t="s">
        <v>10</v>
      </c>
      <c r="C55" s="40" t="str">
        <f t="shared" si="3"/>
        <v>N.A.</v>
      </c>
      <c r="D55" s="41" t="s">
        <v>16</v>
      </c>
      <c r="E55" s="40">
        <f>0.064+(0.12)</f>
        <v>0.184</v>
      </c>
      <c r="F55" s="40">
        <f>0.063948651437988+(0.12)</f>
        <v>0.183948651437988</v>
      </c>
      <c r="G55" s="40">
        <f>0.0638988176268937+(0.12)</f>
        <v>0.1838988176268937</v>
      </c>
      <c r="H55" s="40">
        <f>0.0638450264548522+(0.12)</f>
        <v>0.18384502645485218</v>
      </c>
      <c r="I55" s="40">
        <f>0.0637038800778667+(0.12)</f>
        <v>0.1837038800778667</v>
      </c>
      <c r="J55" s="40">
        <f>0.063354971996338+(0.12)</f>
        <v>0.18335497199633799</v>
      </c>
      <c r="K55" s="40">
        <f>0.0628628864483211+(0.12)</f>
        <v>0.1828628864483211</v>
      </c>
      <c r="L55" s="40">
        <f>0.0621620442417684+(0.12)</f>
        <v>0.18216204424176841</v>
      </c>
      <c r="M55" s="40">
        <f>0.0613708139244735+(0.12)</f>
        <v>0.18137081392447349</v>
      </c>
      <c r="N55" s="40">
        <f>0.0604358083649289+(0.12)</f>
        <v>0.1804358083649289</v>
      </c>
      <c r="O55" s="40">
        <f>0.0591917262714635+(0.12)</f>
        <v>0.17919172627146349</v>
      </c>
      <c r="P55" s="40">
        <f>0.0574998491949804+(0.12)</f>
        <v>0.17749984919498041</v>
      </c>
      <c r="Q55" s="40">
        <f>0.0559351614670864+(0.12)</f>
        <v>0.1759351614670864</v>
      </c>
      <c r="R55" s="40">
        <f>0.0544861311717248+(0.12)</f>
        <v>0.17448613117172479</v>
      </c>
      <c r="S55" s="40">
        <f>0.0535351493099285+(0.12)</f>
        <v>0.1735351493099285</v>
      </c>
      <c r="T55" s="40">
        <f>0.0529028826750741+(0.12)</f>
        <v>0.17290288267507409</v>
      </c>
      <c r="U55" s="40">
        <f>0.0516887916470763+(0.12)</f>
        <v>0.17168879164707629</v>
      </c>
    </row>
    <row r="57" spans="1:21" x14ac:dyDescent="0.55000000000000004">
      <c r="A57" s="21" t="s">
        <v>148</v>
      </c>
      <c r="B57" s="41" t="s">
        <v>8</v>
      </c>
      <c r="C57" s="41" t="s">
        <v>9</v>
      </c>
      <c r="D57" s="41"/>
      <c r="E57" s="41">
        <v>2000</v>
      </c>
      <c r="F57" s="41">
        <v>2001</v>
      </c>
      <c r="G57" s="41">
        <v>2002</v>
      </c>
      <c r="H57" s="41">
        <v>2003</v>
      </c>
      <c r="I57" s="41">
        <v>2004</v>
      </c>
      <c r="J57" s="41">
        <v>2005</v>
      </c>
      <c r="K57" s="41">
        <v>2006</v>
      </c>
      <c r="L57" s="41">
        <v>2007</v>
      </c>
      <c r="M57" s="41">
        <v>2008</v>
      </c>
      <c r="N57" s="41">
        <v>2009</v>
      </c>
      <c r="O57" s="41">
        <v>2010</v>
      </c>
      <c r="P57" s="41">
        <v>2011</v>
      </c>
      <c r="Q57" s="41">
        <v>2012</v>
      </c>
      <c r="R57" s="41">
        <v>2013</v>
      </c>
      <c r="S57" s="41">
        <v>2014</v>
      </c>
      <c r="T57" s="41">
        <v>2015</v>
      </c>
      <c r="U57" s="41">
        <v>2016</v>
      </c>
    </row>
    <row r="58" spans="1:21" x14ac:dyDescent="0.55000000000000004">
      <c r="A58" s="41" t="str">
        <f>'Population Definitions'!$A$2</f>
        <v>Gen 0-4</v>
      </c>
      <c r="B58" s="41" t="s">
        <v>10</v>
      </c>
      <c r="C58" s="40" t="str">
        <f t="shared" ref="C58:C69" si="4">IF(SUMPRODUCT(--(E58:U58&lt;&gt;""))=0,0.12,"N.A.")</f>
        <v>N.A.</v>
      </c>
      <c r="D58" s="41" t="s">
        <v>16</v>
      </c>
      <c r="E58" s="40">
        <f>0.00725373961218837+(0.12)</f>
        <v>0.12725373961218836</v>
      </c>
      <c r="F58" s="40">
        <f>0.00754172015404365+(0.12)</f>
        <v>0.12754172015404364</v>
      </c>
      <c r="G58" s="40">
        <f>0.00859907578558225+(0.12)</f>
        <v>0.12859907578558225</v>
      </c>
      <c r="H58" s="40">
        <f>0.00977512231840422+(0.12)</f>
        <v>0.12977512231840421</v>
      </c>
      <c r="I58" s="40">
        <f>0.0109975129137172+(0.12)</f>
        <v>0.1309975129137172</v>
      </c>
      <c r="J58" s="40">
        <f>0.0119463255098115+(0.12)</f>
        <v>0.1319463255098115</v>
      </c>
      <c r="K58" s="40">
        <f>0.0124815962805114+(0.12)</f>
        <v>0.1324815962805114</v>
      </c>
      <c r="L58" s="40">
        <f>0.011825405921681+(0.12)</f>
        <v>0.13182540592168099</v>
      </c>
      <c r="M58" s="40">
        <f>0.011405505952381+(0.12)</f>
        <v>0.13140550595238099</v>
      </c>
      <c r="N58" s="40">
        <f>0.00944434356273833+(0.12)</f>
        <v>0.12944434356273832</v>
      </c>
      <c r="O58" s="40">
        <f>0.00861112107623318+(0.12)</f>
        <v>0.12861112107623318</v>
      </c>
      <c r="P58" s="40">
        <f>0.00679263157894737+(0.12)</f>
        <v>0.12679263157894738</v>
      </c>
      <c r="Q58" s="40">
        <f>0.00661699507389163+(0.12)</f>
        <v>0.12661699507389163</v>
      </c>
      <c r="R58" s="40">
        <f>0.00629827709978464+(0.12)</f>
        <v>0.12629827709978464</v>
      </c>
      <c r="S58" s="40"/>
      <c r="T58" s="40"/>
      <c r="U58" s="40"/>
    </row>
    <row r="59" spans="1:21" x14ac:dyDescent="0.55000000000000004">
      <c r="A59" s="41" t="str">
        <f>'Population Definitions'!$A$3</f>
        <v>Gen 5-14</v>
      </c>
      <c r="B59" s="41" t="s">
        <v>10</v>
      </c>
      <c r="C59" s="40" t="str">
        <f t="shared" si="4"/>
        <v>N.A.</v>
      </c>
      <c r="D59" s="41" t="s">
        <v>16</v>
      </c>
      <c r="E59" s="40">
        <f>0.000656411758960836+(0.12)</f>
        <v>0.12065641175896083</v>
      </c>
      <c r="F59" s="40">
        <f>0.000688524590163934+(0.12)</f>
        <v>0.12068852459016392</v>
      </c>
      <c r="G59" s="40">
        <f>0.000747687861271676+(0.12)</f>
        <v>0.12074768786127167</v>
      </c>
      <c r="H59" s="40">
        <f>0.000829968424074251+(0.12)</f>
        <v>0.12082996842407424</v>
      </c>
      <c r="I59" s="40">
        <f>0.000945745288406625+(0.12)</f>
        <v>0.12094574528840663</v>
      </c>
      <c r="J59" s="40">
        <f>0.000969420702754036+(0.12)</f>
        <v>0.12096942070275403</v>
      </c>
      <c r="K59" s="40">
        <f>0.000939376716870323+(0.12)</f>
        <v>0.12093937671687031</v>
      </c>
      <c r="L59" s="40">
        <f>0.000905073494547179+(0.12)</f>
        <v>0.12090507349454717</v>
      </c>
      <c r="M59" s="40">
        <f>0.000873928775471339+(0.12)</f>
        <v>0.12087392877547133</v>
      </c>
      <c r="N59" s="40">
        <f>0.000847994639609457+(0.12)</f>
        <v>0.12084799463960945</v>
      </c>
      <c r="O59" s="40">
        <f>0.000888033859176606+(0.12)</f>
        <v>0.1208880338591766</v>
      </c>
      <c r="P59" s="40">
        <f>0.000801447876447876+(0.12)</f>
        <v>0.12080144787644786</v>
      </c>
      <c r="Q59" s="40">
        <f>0.000869464544138929+(0.12)</f>
        <v>0.12086946454413892</v>
      </c>
      <c r="R59" s="40">
        <f>0.000637952559300874+(0.12)</f>
        <v>0.12063795255930088</v>
      </c>
      <c r="S59" s="40"/>
      <c r="T59" s="40"/>
      <c r="U59" s="40"/>
    </row>
    <row r="60" spans="1:21" x14ac:dyDescent="0.55000000000000004">
      <c r="A60" s="41" t="str">
        <f>'Population Definitions'!$A$4</f>
        <v>Gen 15-64</v>
      </c>
      <c r="B60" s="41" t="s">
        <v>10</v>
      </c>
      <c r="C60" s="40" t="str">
        <f t="shared" si="4"/>
        <v>N.A.</v>
      </c>
      <c r="D60" s="41" t="s">
        <v>16</v>
      </c>
      <c r="E60" s="40">
        <f>0.00915683846293936+(0.12)</f>
        <v>0.12915683846293935</v>
      </c>
      <c r="F60" s="40">
        <f>0.0100593014100637+(0.12)</f>
        <v>0.13005930141006369</v>
      </c>
      <c r="G60" s="40">
        <f>0.0111691973208963+(0.12)</f>
        <v>0.1311691973208963</v>
      </c>
      <c r="H60" s="40">
        <f>0.0122864004391382+(0.12)</f>
        <v>0.1322864004391382</v>
      </c>
      <c r="I60" s="40">
        <f>0.0126735043308937+(0.12)</f>
        <v>0.1326735043308937</v>
      </c>
      <c r="J60" s="40">
        <f>0.0127732043562662+(0.12)</f>
        <v>0.13277320435626619</v>
      </c>
      <c r="K60" s="40">
        <f>0.0127023240800516+(0.12)</f>
        <v>0.13270232408005159</v>
      </c>
      <c r="L60" s="40">
        <f>0.012266814791303+(0.12)</f>
        <v>0.13226681479130301</v>
      </c>
      <c r="M60" s="40">
        <f>0.0118325987058051+(0.12)</f>
        <v>0.1318325987058051</v>
      </c>
      <c r="N60" s="40">
        <f>0.0112209946451653+(0.12)</f>
        <v>0.13122099464516529</v>
      </c>
      <c r="O60" s="40">
        <f>0.0103361982870805+(0.12)</f>
        <v>0.13033619828708048</v>
      </c>
      <c r="P60" s="40">
        <f>0.00930902912331952+(0.12)</f>
        <v>0.12930902912331951</v>
      </c>
      <c r="Q60" s="40">
        <f>0.00853499545894003+(0.12)</f>
        <v>0.12853499545894004</v>
      </c>
      <c r="R60" s="40">
        <f>0.00774277656267987+(0.12)</f>
        <v>0.12774277656267988</v>
      </c>
      <c r="S60" s="40"/>
      <c r="T60" s="40"/>
      <c r="U60" s="40"/>
    </row>
    <row r="61" spans="1:21" x14ac:dyDescent="0.55000000000000004">
      <c r="A61" s="41" t="str">
        <f>'Population Definitions'!$A$5</f>
        <v>Gen 65+</v>
      </c>
      <c r="B61" s="41" t="s">
        <v>10</v>
      </c>
      <c r="C61" s="40" t="str">
        <f t="shared" si="4"/>
        <v>N.A.</v>
      </c>
      <c r="D61" s="41" t="s">
        <v>16</v>
      </c>
      <c r="E61" s="40">
        <f>0.0667880313199105+(0.12)</f>
        <v>0.18678803131991051</v>
      </c>
      <c r="F61" s="40">
        <f>0.0673539445628998+(0.12)</f>
        <v>0.18735394456289978</v>
      </c>
      <c r="G61" s="40">
        <f>0.0661256358087487+(0.12)</f>
        <v>0.18612563580874869</v>
      </c>
      <c r="H61" s="40">
        <f>0.0675651117589893+(0.12)</f>
        <v>0.18756511175898929</v>
      </c>
      <c r="I61" s="40">
        <f>0.0618761638733706+(0.12)</f>
        <v>0.18187616387337061</v>
      </c>
      <c r="J61" s="40">
        <f>0.0619413345275414+(0.12)</f>
        <v>0.18194133452754141</v>
      </c>
      <c r="K61" s="40">
        <f>0.0626938950988822+(0.12)</f>
        <v>0.18269389509888218</v>
      </c>
      <c r="L61" s="40">
        <f>0.0612165975103734+(0.12)</f>
        <v>0.18121659751037339</v>
      </c>
      <c r="M61" s="40">
        <f>0.0597051230334812+(0.12)</f>
        <v>0.17970512303348118</v>
      </c>
      <c r="N61" s="40">
        <f>0.0615330188679245+(0.12)</f>
        <v>0.1815330188679245</v>
      </c>
      <c r="O61" s="40">
        <f>0.0579773686229382+(0.12)</f>
        <v>0.1779773686229382</v>
      </c>
      <c r="P61" s="40">
        <f>0.0590019011406844+(0.12)</f>
        <v>0.1790019011406844</v>
      </c>
      <c r="Q61" s="40">
        <f>0.0576626506024096+(0.12)</f>
        <v>0.1776626506024096</v>
      </c>
      <c r="R61" s="40">
        <f>0.0551974664679583+(0.12)</f>
        <v>0.17519746646795831</v>
      </c>
      <c r="S61" s="40"/>
      <c r="T61" s="40"/>
      <c r="U61" s="40"/>
    </row>
    <row r="62" spans="1:21" x14ac:dyDescent="0.55000000000000004">
      <c r="A62" s="41" t="str">
        <f>'Population Definitions'!$A$6</f>
        <v>PLHIV 15-64</v>
      </c>
      <c r="B62" s="41" t="s">
        <v>10</v>
      </c>
      <c r="C62" s="40" t="str">
        <f t="shared" si="4"/>
        <v>N.A.</v>
      </c>
      <c r="D62" s="41" t="s">
        <v>16</v>
      </c>
      <c r="E62" s="40">
        <f>0.22+(0.12)</f>
        <v>0.33999999999999997</v>
      </c>
      <c r="F62" s="40"/>
      <c r="G62" s="40"/>
      <c r="H62" s="40"/>
      <c r="I62" s="40">
        <f>0.22+(0.12)</f>
        <v>0.33999999999999997</v>
      </c>
      <c r="J62" s="40">
        <f>0.1+(0.12)</f>
        <v>0.22</v>
      </c>
      <c r="K62" s="40"/>
      <c r="L62" s="40"/>
      <c r="M62" s="40"/>
      <c r="N62" s="40">
        <f>0.095+(0.12)</f>
        <v>0.215</v>
      </c>
      <c r="O62" s="40"/>
      <c r="P62" s="40"/>
      <c r="Q62" s="40"/>
      <c r="R62" s="40"/>
      <c r="S62" s="40"/>
      <c r="T62" s="40"/>
      <c r="U62" s="40">
        <f>0.0517+(0.12)</f>
        <v>0.17169999999999999</v>
      </c>
    </row>
    <row r="63" spans="1:21" x14ac:dyDescent="0.55000000000000004">
      <c r="A63" s="41" t="str">
        <f>'Population Definitions'!$A$7</f>
        <v>PLHIV 65+</v>
      </c>
      <c r="B63" s="41" t="s">
        <v>10</v>
      </c>
      <c r="C63" s="40" t="str">
        <f t="shared" si="4"/>
        <v>N.A.</v>
      </c>
      <c r="D63" s="41" t="s">
        <v>16</v>
      </c>
      <c r="E63" s="40">
        <f>0.130788031319911+(0.12)</f>
        <v>0.25078803131991101</v>
      </c>
      <c r="F63" s="40">
        <f>0.131302596000888+(0.12)</f>
        <v>0.251302596000888</v>
      </c>
      <c r="G63" s="40">
        <f>0.130024453435642+(0.12)</f>
        <v>0.250024453435642</v>
      </c>
      <c r="H63" s="40">
        <f>0.131410138213842+(0.12)</f>
        <v>0.251410138213842</v>
      </c>
      <c r="I63" s="40">
        <f>0.125580043951237+(0.12)</f>
        <v>0.245580043951237</v>
      </c>
      <c r="J63" s="40">
        <f>0.125296306523879+(0.12)</f>
        <v>0.24529630652387899</v>
      </c>
      <c r="K63" s="40">
        <f>0.125556781547203+(0.12)</f>
        <v>0.24555678154720301</v>
      </c>
      <c r="L63" s="40">
        <f>0.123378641752142+(0.12)</f>
        <v>0.24337864175214199</v>
      </c>
      <c r="M63" s="40">
        <f>0.121075936957955+(0.12)</f>
        <v>0.24107593695795498</v>
      </c>
      <c r="N63" s="40">
        <f>0.121968827232853+(0.12)</f>
        <v>0.24196882723285301</v>
      </c>
      <c r="O63" s="40">
        <f>0.117169094894402+(0.12)</f>
        <v>0.23716909489440199</v>
      </c>
      <c r="P63" s="40">
        <f>0.116501750335665+(0.12)</f>
        <v>0.23650175033566501</v>
      </c>
      <c r="Q63" s="40">
        <f>0.113597812069496+(0.12)</f>
        <v>0.23359781206949598</v>
      </c>
      <c r="R63" s="40">
        <f>0.109683597639683+(0.12)</f>
        <v>0.22968359763968299</v>
      </c>
      <c r="S63" s="40"/>
      <c r="T63" s="40"/>
      <c r="U63" s="40">
        <f>(5.17*2%)+(0.12)</f>
        <v>0.22339999999999999</v>
      </c>
    </row>
    <row r="64" spans="1:21" x14ac:dyDescent="0.55000000000000004">
      <c r="A64" s="41" t="str">
        <f>'Population Definitions'!$A$8</f>
        <v>Prisoners</v>
      </c>
      <c r="B64" s="41" t="s">
        <v>10</v>
      </c>
      <c r="C64" s="40" t="str">
        <f t="shared" si="4"/>
        <v>N.A.</v>
      </c>
      <c r="D64" s="41" t="s">
        <v>16</v>
      </c>
      <c r="E64" s="40">
        <f>0.00915683846293936+(0.12)</f>
        <v>0.12915683846293935</v>
      </c>
      <c r="F64" s="40">
        <f>0.0100593014100637+(0.12)</f>
        <v>0.13005930141006369</v>
      </c>
      <c r="G64" s="40">
        <f>0.0111691973208963+(0.12)</f>
        <v>0.1311691973208963</v>
      </c>
      <c r="H64" s="40">
        <f>0.0122864004391382+(0.12)</f>
        <v>0.1322864004391382</v>
      </c>
      <c r="I64" s="40">
        <f>0.0126735043308937+(0.12)</f>
        <v>0.1326735043308937</v>
      </c>
      <c r="J64" s="40">
        <f>0.0127732043562662+(0.12)</f>
        <v>0.13277320435626619</v>
      </c>
      <c r="K64" s="40">
        <f>0.0127023240800516+(0.12)</f>
        <v>0.13270232408005159</v>
      </c>
      <c r="L64" s="40">
        <f>0.012266814791303+(0.12)</f>
        <v>0.13226681479130301</v>
      </c>
      <c r="M64" s="40">
        <f>0.0118325987058051+(0.12)</f>
        <v>0.1318325987058051</v>
      </c>
      <c r="N64" s="40">
        <f>0.0112209946451653+(0.12)</f>
        <v>0.13122099464516529</v>
      </c>
      <c r="O64" s="40">
        <f>0.0103361982870805+(0.12)</f>
        <v>0.13033619828708048</v>
      </c>
      <c r="P64" s="40">
        <f>0.00930902912331952+(0.12)</f>
        <v>0.12930902912331951</v>
      </c>
      <c r="Q64" s="40">
        <f>0.00853499545894003+(0.12)</f>
        <v>0.12853499545894004</v>
      </c>
      <c r="R64" s="40">
        <f>0.00774277656267987+(0.12)</f>
        <v>0.12774277656267988</v>
      </c>
      <c r="S64" s="40"/>
      <c r="T64" s="40"/>
      <c r="U64" s="40"/>
    </row>
    <row r="65" spans="1:21" x14ac:dyDescent="0.55000000000000004">
      <c r="A65" s="41" t="str">
        <f>'Population Definitions'!$A$9</f>
        <v>PLHIV Prisoners</v>
      </c>
      <c r="B65" s="41" t="s">
        <v>10</v>
      </c>
      <c r="C65" s="40" t="str">
        <f t="shared" si="4"/>
        <v>N.A.</v>
      </c>
      <c r="D65" s="41" t="s">
        <v>16</v>
      </c>
      <c r="E65" s="40">
        <f>0.064+(0.12)</f>
        <v>0.184</v>
      </c>
      <c r="F65" s="40">
        <f>0.063948651437988+(0.12)</f>
        <v>0.183948651437988</v>
      </c>
      <c r="G65" s="40">
        <f>0.0638988176268937+(0.12)</f>
        <v>0.1838988176268937</v>
      </c>
      <c r="H65" s="40">
        <f>0.0638450264548522+(0.12)</f>
        <v>0.18384502645485218</v>
      </c>
      <c r="I65" s="40">
        <f>0.0637038800778667+(0.12)</f>
        <v>0.1837038800778667</v>
      </c>
      <c r="J65" s="40">
        <f>0.063354971996338+(0.12)</f>
        <v>0.18335497199633799</v>
      </c>
      <c r="K65" s="40">
        <f>0.0628628864483211+(0.12)</f>
        <v>0.1828628864483211</v>
      </c>
      <c r="L65" s="40">
        <f>0.0621620442417684+(0.12)</f>
        <v>0.18216204424176841</v>
      </c>
      <c r="M65" s="40">
        <f>0.0613708139244735+(0.12)</f>
        <v>0.18137081392447349</v>
      </c>
      <c r="N65" s="40">
        <f>0.0604358083649289+(0.12)</f>
        <v>0.1804358083649289</v>
      </c>
      <c r="O65" s="40">
        <f>0.0591917262714635+(0.12)</f>
        <v>0.17919172627146349</v>
      </c>
      <c r="P65" s="40">
        <f>0.0574998491949804+(0.12)</f>
        <v>0.17749984919498041</v>
      </c>
      <c r="Q65" s="40">
        <f>0.0559351614670864+(0.12)</f>
        <v>0.1759351614670864</v>
      </c>
      <c r="R65" s="40">
        <f>0.0544861311717248+(0.12)</f>
        <v>0.17448613117172479</v>
      </c>
      <c r="S65" s="40">
        <f>0.0535351493099285+(0.12)</f>
        <v>0.1735351493099285</v>
      </c>
      <c r="T65" s="40">
        <f>0.0529028826750741+(0.12)</f>
        <v>0.17290288267507409</v>
      </c>
      <c r="U65" s="40">
        <f>0.0516887916470763+(0.12)</f>
        <v>0.17168879164707629</v>
      </c>
    </row>
    <row r="66" spans="1:21" x14ac:dyDescent="0.55000000000000004">
      <c r="A66" s="41" t="str">
        <f>'Population Definitions'!$A$10</f>
        <v>HCW</v>
      </c>
      <c r="B66" s="41" t="s">
        <v>10</v>
      </c>
      <c r="C66" s="40" t="str">
        <f t="shared" si="4"/>
        <v>N.A.</v>
      </c>
      <c r="D66" s="41" t="s">
        <v>16</v>
      </c>
      <c r="E66" s="40">
        <f>0.00915683846293936+(0.12)</f>
        <v>0.12915683846293935</v>
      </c>
      <c r="F66" s="40">
        <f>0.0100593014100637+(0.12)</f>
        <v>0.13005930141006369</v>
      </c>
      <c r="G66" s="40">
        <f>0.0111691973208963+(0.12)</f>
        <v>0.1311691973208963</v>
      </c>
      <c r="H66" s="40">
        <f>0.0122864004391382+(0.12)</f>
        <v>0.1322864004391382</v>
      </c>
      <c r="I66" s="40">
        <f>0.0126735043308937+(0.12)</f>
        <v>0.1326735043308937</v>
      </c>
      <c r="J66" s="40">
        <f>0.0127732043562662+(0.12)</f>
        <v>0.13277320435626619</v>
      </c>
      <c r="K66" s="40">
        <f>0.0127023240800516+(0.12)</f>
        <v>0.13270232408005159</v>
      </c>
      <c r="L66" s="40">
        <f>0.012266814791303+(0.12)</f>
        <v>0.13226681479130301</v>
      </c>
      <c r="M66" s="40">
        <f>0.0118325987058051+(0.12)</f>
        <v>0.1318325987058051</v>
      </c>
      <c r="N66" s="40">
        <f>0.0112209946451653+(0.12)</f>
        <v>0.13122099464516529</v>
      </c>
      <c r="O66" s="40">
        <f>0.0103361982870805+(0.12)</f>
        <v>0.13033619828708048</v>
      </c>
      <c r="P66" s="40">
        <f>0.00930902912331952+(0.12)</f>
        <v>0.12930902912331951</v>
      </c>
      <c r="Q66" s="40">
        <f>0.00853499545894003+(0.12)</f>
        <v>0.12853499545894004</v>
      </c>
      <c r="R66" s="40">
        <f>0.00774277656267987+(0.12)</f>
        <v>0.12774277656267988</v>
      </c>
      <c r="S66" s="40"/>
      <c r="T66" s="40"/>
      <c r="U66" s="40"/>
    </row>
    <row r="67" spans="1:21" x14ac:dyDescent="0.55000000000000004">
      <c r="A67" s="41" t="str">
        <f>'Population Definitions'!$A$11</f>
        <v>PLHIV HCW</v>
      </c>
      <c r="B67" s="41" t="s">
        <v>10</v>
      </c>
      <c r="C67" s="40" t="str">
        <f t="shared" si="4"/>
        <v>N.A.</v>
      </c>
      <c r="D67" s="41" t="s">
        <v>16</v>
      </c>
      <c r="E67" s="40">
        <f>0.064+(0.12)</f>
        <v>0.184</v>
      </c>
      <c r="F67" s="40">
        <f>0.063948651437988+(0.12)</f>
        <v>0.183948651437988</v>
      </c>
      <c r="G67" s="40">
        <f>0.0638988176268937+(0.12)</f>
        <v>0.1838988176268937</v>
      </c>
      <c r="H67" s="40">
        <f>0.0638450264548522+(0.12)</f>
        <v>0.18384502645485218</v>
      </c>
      <c r="I67" s="40">
        <f>0.0637038800778667+(0.12)</f>
        <v>0.1837038800778667</v>
      </c>
      <c r="J67" s="40">
        <f>0.063354971996338+(0.12)</f>
        <v>0.18335497199633799</v>
      </c>
      <c r="K67" s="40">
        <f>0.0628628864483211+(0.12)</f>
        <v>0.1828628864483211</v>
      </c>
      <c r="L67" s="40">
        <f>0.0621620442417684+(0.12)</f>
        <v>0.18216204424176841</v>
      </c>
      <c r="M67" s="40">
        <f>0.0613708139244735+(0.12)</f>
        <v>0.18137081392447349</v>
      </c>
      <c r="N67" s="40">
        <f>0.0604358083649289+(0.12)</f>
        <v>0.1804358083649289</v>
      </c>
      <c r="O67" s="40">
        <f>0.0591917262714635+(0.12)</f>
        <v>0.17919172627146349</v>
      </c>
      <c r="P67" s="40">
        <f>0.0574998491949804+(0.12)</f>
        <v>0.17749984919498041</v>
      </c>
      <c r="Q67" s="40">
        <f>0.0559351614670864+(0.12)</f>
        <v>0.1759351614670864</v>
      </c>
      <c r="R67" s="40">
        <f>0.0544861311717248+(0.12)</f>
        <v>0.17448613117172479</v>
      </c>
      <c r="S67" s="40">
        <f>0.0535351493099285+(0.12)</f>
        <v>0.1735351493099285</v>
      </c>
      <c r="T67" s="40">
        <f>0.0529028826750741+(0.12)</f>
        <v>0.17290288267507409</v>
      </c>
      <c r="U67" s="40">
        <f>0.0516887916470763+(0.12)</f>
        <v>0.17168879164707629</v>
      </c>
    </row>
    <row r="68" spans="1:21" x14ac:dyDescent="0.55000000000000004">
      <c r="A68" s="41" t="str">
        <f>'Population Definitions'!$A$12</f>
        <v>Miners</v>
      </c>
      <c r="B68" s="41" t="s">
        <v>10</v>
      </c>
      <c r="C68" s="40" t="str">
        <f t="shared" si="4"/>
        <v>N.A.</v>
      </c>
      <c r="D68" s="41" t="s">
        <v>16</v>
      </c>
      <c r="E68" s="40">
        <f>0.00915683846293936+(0.12)</f>
        <v>0.12915683846293935</v>
      </c>
      <c r="F68" s="40">
        <f>0.0100593014100637+(0.12)</f>
        <v>0.13005930141006369</v>
      </c>
      <c r="G68" s="40">
        <f>0.0111691973208963+(0.12)</f>
        <v>0.1311691973208963</v>
      </c>
      <c r="H68" s="40">
        <f>0.0122864004391382+(0.12)</f>
        <v>0.1322864004391382</v>
      </c>
      <c r="I68" s="40">
        <f>0.0126735043308937+(0.12)</f>
        <v>0.1326735043308937</v>
      </c>
      <c r="J68" s="40">
        <f>0.0127732043562662+(0.12)</f>
        <v>0.13277320435626619</v>
      </c>
      <c r="K68" s="40">
        <f>0.0127023240800516+(0.12)</f>
        <v>0.13270232408005159</v>
      </c>
      <c r="L68" s="40">
        <f>0.012266814791303+(0.12)</f>
        <v>0.13226681479130301</v>
      </c>
      <c r="M68" s="40">
        <f>0.0118325987058051+(0.12)</f>
        <v>0.1318325987058051</v>
      </c>
      <c r="N68" s="40">
        <f>0.0112209946451653+(0.12)</f>
        <v>0.13122099464516529</v>
      </c>
      <c r="O68" s="40">
        <f>0.0103361982870805+(0.12)</f>
        <v>0.13033619828708048</v>
      </c>
      <c r="P68" s="40">
        <f>0.00930902912331952+(0.12)</f>
        <v>0.12930902912331951</v>
      </c>
      <c r="Q68" s="40">
        <f>0.00853499545894003+(0.12)</f>
        <v>0.12853499545894004</v>
      </c>
      <c r="R68" s="40">
        <f>0.00774277656267987+(0.12)</f>
        <v>0.12774277656267988</v>
      </c>
      <c r="S68" s="40"/>
      <c r="T68" s="40"/>
      <c r="U68" s="40"/>
    </row>
    <row r="69" spans="1:21" x14ac:dyDescent="0.55000000000000004">
      <c r="A69" s="41" t="str">
        <f>'Population Definitions'!$A$13</f>
        <v>PLHIV Miners</v>
      </c>
      <c r="B69" s="41" t="s">
        <v>10</v>
      </c>
      <c r="C69" s="40" t="str">
        <f t="shared" si="4"/>
        <v>N.A.</v>
      </c>
      <c r="D69" s="41" t="s">
        <v>16</v>
      </c>
      <c r="E69" s="40">
        <f>0.064+(0.12)</f>
        <v>0.184</v>
      </c>
      <c r="F69" s="40">
        <f>0.063948651437988+(0.12)</f>
        <v>0.183948651437988</v>
      </c>
      <c r="G69" s="40">
        <f>0.0638988176268937+(0.12)</f>
        <v>0.1838988176268937</v>
      </c>
      <c r="H69" s="40">
        <f>0.0638450264548522+(0.12)</f>
        <v>0.18384502645485218</v>
      </c>
      <c r="I69" s="40">
        <f>0.0637038800778667+(0.12)</f>
        <v>0.1837038800778667</v>
      </c>
      <c r="J69" s="40">
        <f>0.063354971996338+(0.12)</f>
        <v>0.18335497199633799</v>
      </c>
      <c r="K69" s="40">
        <f>0.0628628864483211+(0.12)</f>
        <v>0.1828628864483211</v>
      </c>
      <c r="L69" s="40">
        <f>0.0621620442417684+(0.12)</f>
        <v>0.18216204424176841</v>
      </c>
      <c r="M69" s="40">
        <f>0.0613708139244735+(0.12)</f>
        <v>0.18137081392447349</v>
      </c>
      <c r="N69" s="40">
        <f>0.0604358083649289+(0.12)</f>
        <v>0.1804358083649289</v>
      </c>
      <c r="O69" s="40">
        <f>0.0591917262714635+(0.12)</f>
        <v>0.17919172627146349</v>
      </c>
      <c r="P69" s="40">
        <f>0.0574998491949804+(0.12)</f>
        <v>0.17749984919498041</v>
      </c>
      <c r="Q69" s="40">
        <f>0.0559351614670864+(0.12)</f>
        <v>0.1759351614670864</v>
      </c>
      <c r="R69" s="40">
        <f>0.0544861311717248+(0.12)</f>
        <v>0.17448613117172479</v>
      </c>
      <c r="S69" s="40">
        <f>0.0535351493099285+(0.12)</f>
        <v>0.1735351493099285</v>
      </c>
      <c r="T69" s="40">
        <f>0.0529028826750741+(0.12)</f>
        <v>0.17290288267507409</v>
      </c>
      <c r="U69" s="40">
        <f>0.0516887916470763+(0.12)</f>
        <v>0.17168879164707629</v>
      </c>
    </row>
    <row r="71" spans="1:21" x14ac:dyDescent="0.55000000000000004">
      <c r="A71" s="21" t="s">
        <v>149</v>
      </c>
      <c r="B71" s="41" t="s">
        <v>8</v>
      </c>
      <c r="C71" s="41" t="s">
        <v>9</v>
      </c>
      <c r="D71" s="41"/>
      <c r="E71" s="41">
        <v>2000</v>
      </c>
      <c r="F71" s="41">
        <v>2001</v>
      </c>
      <c r="G71" s="41">
        <v>2002</v>
      </c>
      <c r="H71" s="41">
        <v>2003</v>
      </c>
      <c r="I71" s="41">
        <v>2004</v>
      </c>
      <c r="J71" s="41">
        <v>2005</v>
      </c>
      <c r="K71" s="41">
        <v>2006</v>
      </c>
      <c r="L71" s="41">
        <v>2007</v>
      </c>
      <c r="M71" s="41">
        <v>2008</v>
      </c>
      <c r="N71" s="41">
        <v>2009</v>
      </c>
      <c r="O71" s="41">
        <v>2010</v>
      </c>
      <c r="P71" s="41">
        <v>2011</v>
      </c>
      <c r="Q71" s="41">
        <v>2012</v>
      </c>
      <c r="R71" s="41">
        <v>2013</v>
      </c>
      <c r="S71" s="41">
        <v>2014</v>
      </c>
      <c r="T71" s="41">
        <v>2015</v>
      </c>
      <c r="U71" s="41">
        <v>2016</v>
      </c>
    </row>
    <row r="72" spans="1:21" x14ac:dyDescent="0.55000000000000004">
      <c r="A72" s="41" t="str">
        <f>'Population Definitions'!$A$2</f>
        <v>Gen 0-4</v>
      </c>
      <c r="B72" s="41" t="s">
        <v>10</v>
      </c>
      <c r="C72" s="40" t="str">
        <f t="shared" ref="C72:C83" si="5">IF(SUMPRODUCT(--(E72:U72&lt;&gt;""))=0,0.12,"N.A.")</f>
        <v>N.A.</v>
      </c>
      <c r="D72" s="41" t="s">
        <v>16</v>
      </c>
      <c r="E72" s="40">
        <f>0.00725373961218837+(0.12)</f>
        <v>0.12725373961218836</v>
      </c>
      <c r="F72" s="40">
        <f>0.00754172015404365+(0.12)</f>
        <v>0.12754172015404364</v>
      </c>
      <c r="G72" s="40">
        <f>0.00859907578558225+(0.12)</f>
        <v>0.12859907578558225</v>
      </c>
      <c r="H72" s="40">
        <f>0.00977512231840422+(0.12)</f>
        <v>0.12977512231840421</v>
      </c>
      <c r="I72" s="40">
        <f>0.0109975129137172+(0.12)</f>
        <v>0.1309975129137172</v>
      </c>
      <c r="J72" s="40">
        <f>0.0119463255098115+(0.12)</f>
        <v>0.1319463255098115</v>
      </c>
      <c r="K72" s="40">
        <f>0.0124815962805114+(0.12)</f>
        <v>0.1324815962805114</v>
      </c>
      <c r="L72" s="40">
        <f>0.011825405921681+(0.12)</f>
        <v>0.13182540592168099</v>
      </c>
      <c r="M72" s="40">
        <f>0.011405505952381+(0.12)</f>
        <v>0.13140550595238099</v>
      </c>
      <c r="N72" s="40">
        <f>0.00944434356273833+(0.12)</f>
        <v>0.12944434356273832</v>
      </c>
      <c r="O72" s="40">
        <f>0.00861112107623318+(0.12)</f>
        <v>0.12861112107623318</v>
      </c>
      <c r="P72" s="40">
        <f>0.00679263157894737+(0.12)</f>
        <v>0.12679263157894738</v>
      </c>
      <c r="Q72" s="40">
        <f>0.00661699507389163+(0.12)</f>
        <v>0.12661699507389163</v>
      </c>
      <c r="R72" s="40">
        <f>0.00629827709978464+(0.12)</f>
        <v>0.12629827709978464</v>
      </c>
      <c r="S72" s="40"/>
      <c r="T72" s="40"/>
      <c r="U72" s="40"/>
    </row>
    <row r="73" spans="1:21" x14ac:dyDescent="0.55000000000000004">
      <c r="A73" s="41" t="str">
        <f>'Population Definitions'!$A$3</f>
        <v>Gen 5-14</v>
      </c>
      <c r="B73" s="41" t="s">
        <v>10</v>
      </c>
      <c r="C73" s="40" t="str">
        <f t="shared" si="5"/>
        <v>N.A.</v>
      </c>
      <c r="D73" s="41" t="s">
        <v>16</v>
      </c>
      <c r="E73" s="40">
        <f>0.000656411758960836+(0.12)</f>
        <v>0.12065641175896083</v>
      </c>
      <c r="F73" s="40">
        <f>0.000688524590163934+(0.12)</f>
        <v>0.12068852459016392</v>
      </c>
      <c r="G73" s="40">
        <f>0.000747687861271676+(0.12)</f>
        <v>0.12074768786127167</v>
      </c>
      <c r="H73" s="40">
        <f>0.000829968424074251+(0.12)</f>
        <v>0.12082996842407424</v>
      </c>
      <c r="I73" s="40">
        <f>0.000945745288406625+(0.12)</f>
        <v>0.12094574528840663</v>
      </c>
      <c r="J73" s="40">
        <f>0.000969420702754036+(0.12)</f>
        <v>0.12096942070275403</v>
      </c>
      <c r="K73" s="40">
        <f>0.000939376716870323+(0.12)</f>
        <v>0.12093937671687031</v>
      </c>
      <c r="L73" s="40">
        <f>0.000905073494547179+(0.12)</f>
        <v>0.12090507349454717</v>
      </c>
      <c r="M73" s="40">
        <f>0.000873928775471339+(0.12)</f>
        <v>0.12087392877547133</v>
      </c>
      <c r="N73" s="40">
        <f>0.000847994639609457+(0.12)</f>
        <v>0.12084799463960945</v>
      </c>
      <c r="O73" s="40">
        <f>0.000888033859176606+(0.12)</f>
        <v>0.1208880338591766</v>
      </c>
      <c r="P73" s="40">
        <f>0.000801447876447876+(0.12)</f>
        <v>0.12080144787644786</v>
      </c>
      <c r="Q73" s="40">
        <f>0.000869464544138929+(0.12)</f>
        <v>0.12086946454413892</v>
      </c>
      <c r="R73" s="40">
        <f>0.000637952559300874+(0.12)</f>
        <v>0.12063795255930088</v>
      </c>
      <c r="S73" s="40"/>
      <c r="T73" s="40"/>
      <c r="U73" s="40"/>
    </row>
    <row r="74" spans="1:21" x14ac:dyDescent="0.55000000000000004">
      <c r="A74" s="41" t="str">
        <f>'Population Definitions'!$A$4</f>
        <v>Gen 15-64</v>
      </c>
      <c r="B74" s="41" t="s">
        <v>10</v>
      </c>
      <c r="C74" s="40" t="str">
        <f t="shared" si="5"/>
        <v>N.A.</v>
      </c>
      <c r="D74" s="41" t="s">
        <v>16</v>
      </c>
      <c r="E74" s="40">
        <f>0.00915683846293936+(0.12)</f>
        <v>0.12915683846293935</v>
      </c>
      <c r="F74" s="40">
        <f>0.0100593014100637+(0.12)</f>
        <v>0.13005930141006369</v>
      </c>
      <c r="G74" s="40">
        <f>0.0111691973208963+(0.12)</f>
        <v>0.1311691973208963</v>
      </c>
      <c r="H74" s="40">
        <f>0.0122864004391382+(0.12)</f>
        <v>0.1322864004391382</v>
      </c>
      <c r="I74" s="40">
        <f>0.0126735043308937+(0.12)</f>
        <v>0.1326735043308937</v>
      </c>
      <c r="J74" s="40">
        <f>0.0127732043562662+(0.12)</f>
        <v>0.13277320435626619</v>
      </c>
      <c r="K74" s="40">
        <f>0.0127023240800516+(0.12)</f>
        <v>0.13270232408005159</v>
      </c>
      <c r="L74" s="40">
        <f>0.012266814791303+(0.12)</f>
        <v>0.13226681479130301</v>
      </c>
      <c r="M74" s="40">
        <f>0.0118325987058051+(0.12)</f>
        <v>0.1318325987058051</v>
      </c>
      <c r="N74" s="40">
        <f>0.0112209946451653+(0.12)</f>
        <v>0.13122099464516529</v>
      </c>
      <c r="O74" s="40">
        <f>0.0103361982870805+(0.12)</f>
        <v>0.13033619828708048</v>
      </c>
      <c r="P74" s="40">
        <f>0.00930902912331952+(0.12)</f>
        <v>0.12930902912331951</v>
      </c>
      <c r="Q74" s="40">
        <f>0.00853499545894003+(0.12)</f>
        <v>0.12853499545894004</v>
      </c>
      <c r="R74" s="40">
        <f>0.00774277656267987+(0.12)</f>
        <v>0.12774277656267988</v>
      </c>
      <c r="S74" s="40"/>
      <c r="T74" s="40"/>
      <c r="U74" s="40"/>
    </row>
    <row r="75" spans="1:21" x14ac:dyDescent="0.55000000000000004">
      <c r="A75" s="41" t="str">
        <f>'Population Definitions'!$A$5</f>
        <v>Gen 65+</v>
      </c>
      <c r="B75" s="41" t="s">
        <v>10</v>
      </c>
      <c r="C75" s="40" t="str">
        <f t="shared" si="5"/>
        <v>N.A.</v>
      </c>
      <c r="D75" s="41" t="s">
        <v>16</v>
      </c>
      <c r="E75" s="40">
        <f>0.0667880313199105+(0.12)</f>
        <v>0.18678803131991051</v>
      </c>
      <c r="F75" s="40">
        <f>0.0673539445628998+(0.12)</f>
        <v>0.18735394456289978</v>
      </c>
      <c r="G75" s="40">
        <f>0.0661256358087487+(0.12)</f>
        <v>0.18612563580874869</v>
      </c>
      <c r="H75" s="40">
        <f>0.0675651117589893+(0.12)</f>
        <v>0.18756511175898929</v>
      </c>
      <c r="I75" s="40">
        <f>0.0618761638733706+(0.12)</f>
        <v>0.18187616387337061</v>
      </c>
      <c r="J75" s="40">
        <f>0.0619413345275414+(0.12)</f>
        <v>0.18194133452754141</v>
      </c>
      <c r="K75" s="40">
        <f>0.0626938950988822+(0.12)</f>
        <v>0.18269389509888218</v>
      </c>
      <c r="L75" s="40">
        <f>0.0612165975103734+(0.12)</f>
        <v>0.18121659751037339</v>
      </c>
      <c r="M75" s="40">
        <f>0.0597051230334812+(0.12)</f>
        <v>0.17970512303348118</v>
      </c>
      <c r="N75" s="40">
        <f>0.0615330188679245+(0.12)</f>
        <v>0.1815330188679245</v>
      </c>
      <c r="O75" s="40">
        <f>0.0579773686229382+(0.12)</f>
        <v>0.1779773686229382</v>
      </c>
      <c r="P75" s="40">
        <f>0.0590019011406844+(0.12)</f>
        <v>0.1790019011406844</v>
      </c>
      <c r="Q75" s="40">
        <f>0.0576626506024096+(0.12)</f>
        <v>0.1776626506024096</v>
      </c>
      <c r="R75" s="40">
        <f>0.0551974664679583+(0.12)</f>
        <v>0.17519746646795831</v>
      </c>
      <c r="S75" s="40"/>
      <c r="T75" s="40"/>
      <c r="U75" s="40"/>
    </row>
    <row r="76" spans="1:21" x14ac:dyDescent="0.55000000000000004">
      <c r="A76" s="41" t="str">
        <f>'Population Definitions'!$A$6</f>
        <v>PLHIV 15-64</v>
      </c>
      <c r="B76" s="41" t="s">
        <v>10</v>
      </c>
      <c r="C76" s="40" t="str">
        <f t="shared" si="5"/>
        <v>N.A.</v>
      </c>
      <c r="D76" s="41" t="s">
        <v>16</v>
      </c>
      <c r="E76" s="40">
        <f>0.22+(0.12)</f>
        <v>0.33999999999999997</v>
      </c>
      <c r="F76" s="40"/>
      <c r="G76" s="40"/>
      <c r="H76" s="40"/>
      <c r="I76" s="40">
        <f>0.22+(0.12)</f>
        <v>0.33999999999999997</v>
      </c>
      <c r="J76" s="40">
        <f>0.1+(0.12)</f>
        <v>0.22</v>
      </c>
      <c r="K76" s="40"/>
      <c r="L76" s="40"/>
      <c r="M76" s="40"/>
      <c r="N76" s="40">
        <f>0.095+(0.12)</f>
        <v>0.215</v>
      </c>
      <c r="O76" s="40"/>
      <c r="P76" s="40"/>
      <c r="Q76" s="40"/>
      <c r="R76" s="40"/>
      <c r="S76" s="40"/>
      <c r="T76" s="40"/>
      <c r="U76" s="40">
        <f>0.0517+(0.12)</f>
        <v>0.17169999999999999</v>
      </c>
    </row>
    <row r="77" spans="1:21" x14ac:dyDescent="0.55000000000000004">
      <c r="A77" s="41" t="str">
        <f>'Population Definitions'!$A$7</f>
        <v>PLHIV 65+</v>
      </c>
      <c r="B77" s="41" t="s">
        <v>10</v>
      </c>
      <c r="C77" s="40" t="str">
        <f t="shared" si="5"/>
        <v>N.A.</v>
      </c>
      <c r="D77" s="41" t="s">
        <v>16</v>
      </c>
      <c r="E77" s="40">
        <f>0.130788031319911+(0.12)</f>
        <v>0.25078803131991101</v>
      </c>
      <c r="F77" s="40">
        <f>0.131302596000888+(0.12)</f>
        <v>0.251302596000888</v>
      </c>
      <c r="G77" s="40">
        <f>0.130024453435642+(0.12)</f>
        <v>0.250024453435642</v>
      </c>
      <c r="H77" s="40">
        <f>0.131410138213842+(0.12)</f>
        <v>0.251410138213842</v>
      </c>
      <c r="I77" s="40">
        <f>0.125580043951237+(0.12)</f>
        <v>0.245580043951237</v>
      </c>
      <c r="J77" s="40">
        <f>0.125296306523879+(0.12)</f>
        <v>0.24529630652387899</v>
      </c>
      <c r="K77" s="40">
        <f>0.125556781547203+(0.12)</f>
        <v>0.24555678154720301</v>
      </c>
      <c r="L77" s="40">
        <f>0.123378641752142+(0.12)</f>
        <v>0.24337864175214199</v>
      </c>
      <c r="M77" s="40">
        <f>0.121075936957955+(0.12)</f>
        <v>0.24107593695795498</v>
      </c>
      <c r="N77" s="40">
        <f>0.121968827232853+(0.12)</f>
        <v>0.24196882723285301</v>
      </c>
      <c r="O77" s="40">
        <f>0.117169094894402+(0.12)</f>
        <v>0.23716909489440199</v>
      </c>
      <c r="P77" s="40">
        <f>0.116501750335665+(0.12)</f>
        <v>0.23650175033566501</v>
      </c>
      <c r="Q77" s="40">
        <f>0.113597812069496+(0.12)</f>
        <v>0.23359781206949598</v>
      </c>
      <c r="R77" s="40">
        <f>0.109683597639683+(0.12)</f>
        <v>0.22968359763968299</v>
      </c>
      <c r="S77" s="40"/>
      <c r="T77" s="40"/>
      <c r="U77" s="40">
        <f>(5.17*2%)+(0.12)</f>
        <v>0.22339999999999999</v>
      </c>
    </row>
    <row r="78" spans="1:21" x14ac:dyDescent="0.55000000000000004">
      <c r="A78" s="41" t="str">
        <f>'Population Definitions'!$A$8</f>
        <v>Prisoners</v>
      </c>
      <c r="B78" s="41" t="s">
        <v>10</v>
      </c>
      <c r="C78" s="40" t="str">
        <f t="shared" si="5"/>
        <v>N.A.</v>
      </c>
      <c r="D78" s="41" t="s">
        <v>16</v>
      </c>
      <c r="E78" s="40">
        <f>0.00915683846293936+(0.12)</f>
        <v>0.12915683846293935</v>
      </c>
      <c r="F78" s="40">
        <f>0.0100593014100637+(0.12)</f>
        <v>0.13005930141006369</v>
      </c>
      <c r="G78" s="40">
        <f>0.0111691973208963+(0.12)</f>
        <v>0.1311691973208963</v>
      </c>
      <c r="H78" s="40">
        <f>0.0122864004391382+(0.12)</f>
        <v>0.1322864004391382</v>
      </c>
      <c r="I78" s="40">
        <f>0.0126735043308937+(0.12)</f>
        <v>0.1326735043308937</v>
      </c>
      <c r="J78" s="40">
        <f>0.0127732043562662+(0.12)</f>
        <v>0.13277320435626619</v>
      </c>
      <c r="K78" s="40">
        <f>0.0127023240800516+(0.12)</f>
        <v>0.13270232408005159</v>
      </c>
      <c r="L78" s="40">
        <f>0.012266814791303+(0.12)</f>
        <v>0.13226681479130301</v>
      </c>
      <c r="M78" s="40">
        <f>0.0118325987058051+(0.12)</f>
        <v>0.1318325987058051</v>
      </c>
      <c r="N78" s="40">
        <f>0.0112209946451653+(0.12)</f>
        <v>0.13122099464516529</v>
      </c>
      <c r="O78" s="40">
        <f>0.0103361982870805+(0.12)</f>
        <v>0.13033619828708048</v>
      </c>
      <c r="P78" s="40">
        <f>0.00930902912331952+(0.12)</f>
        <v>0.12930902912331951</v>
      </c>
      <c r="Q78" s="40">
        <f>0.00853499545894003+(0.12)</f>
        <v>0.12853499545894004</v>
      </c>
      <c r="R78" s="40">
        <f>0.00774277656267987+(0.12)</f>
        <v>0.12774277656267988</v>
      </c>
      <c r="S78" s="40"/>
      <c r="T78" s="40"/>
      <c r="U78" s="40"/>
    </row>
    <row r="79" spans="1:21" x14ac:dyDescent="0.55000000000000004">
      <c r="A79" s="41" t="str">
        <f>'Population Definitions'!$A$9</f>
        <v>PLHIV Prisoners</v>
      </c>
      <c r="B79" s="41" t="s">
        <v>10</v>
      </c>
      <c r="C79" s="40" t="str">
        <f t="shared" si="5"/>
        <v>N.A.</v>
      </c>
      <c r="D79" s="41" t="s">
        <v>16</v>
      </c>
      <c r="E79" s="40">
        <f>0.064+(0.12)</f>
        <v>0.184</v>
      </c>
      <c r="F79" s="40">
        <f>0.063948651437988+(0.12)</f>
        <v>0.183948651437988</v>
      </c>
      <c r="G79" s="40">
        <f>0.0638988176268937+(0.12)</f>
        <v>0.1838988176268937</v>
      </c>
      <c r="H79" s="40">
        <f>0.0638450264548522+(0.12)</f>
        <v>0.18384502645485218</v>
      </c>
      <c r="I79" s="40">
        <f>0.0637038800778667+(0.12)</f>
        <v>0.1837038800778667</v>
      </c>
      <c r="J79" s="40">
        <f>0.063354971996338+(0.12)</f>
        <v>0.18335497199633799</v>
      </c>
      <c r="K79" s="40">
        <f>0.0628628864483211+(0.12)</f>
        <v>0.1828628864483211</v>
      </c>
      <c r="L79" s="40">
        <f>0.0621620442417684+(0.12)</f>
        <v>0.18216204424176841</v>
      </c>
      <c r="M79" s="40">
        <f>0.0613708139244735+(0.12)</f>
        <v>0.18137081392447349</v>
      </c>
      <c r="N79" s="40">
        <f>0.0604358083649289+(0.12)</f>
        <v>0.1804358083649289</v>
      </c>
      <c r="O79" s="40">
        <f>0.0591917262714635+(0.12)</f>
        <v>0.17919172627146349</v>
      </c>
      <c r="P79" s="40">
        <f>0.0574998491949804+(0.12)</f>
        <v>0.17749984919498041</v>
      </c>
      <c r="Q79" s="40">
        <f>0.0559351614670864+(0.12)</f>
        <v>0.1759351614670864</v>
      </c>
      <c r="R79" s="40">
        <f>0.0544861311717248+(0.12)</f>
        <v>0.17448613117172479</v>
      </c>
      <c r="S79" s="40">
        <f>0.0535351493099285+(0.12)</f>
        <v>0.1735351493099285</v>
      </c>
      <c r="T79" s="40">
        <f>0.0529028826750741+(0.12)</f>
        <v>0.17290288267507409</v>
      </c>
      <c r="U79" s="40">
        <f>0.0516887916470763+(0.12)</f>
        <v>0.17168879164707629</v>
      </c>
    </row>
    <row r="80" spans="1:21" x14ac:dyDescent="0.55000000000000004">
      <c r="A80" s="41" t="str">
        <f>'Population Definitions'!$A$10</f>
        <v>HCW</v>
      </c>
      <c r="B80" s="41" t="s">
        <v>10</v>
      </c>
      <c r="C80" s="40" t="str">
        <f t="shared" si="5"/>
        <v>N.A.</v>
      </c>
      <c r="D80" s="41" t="s">
        <v>16</v>
      </c>
      <c r="E80" s="40">
        <f>0.00915683846293936+(0.12)</f>
        <v>0.12915683846293935</v>
      </c>
      <c r="F80" s="40">
        <f>0.0100593014100637+(0.12)</f>
        <v>0.13005930141006369</v>
      </c>
      <c r="G80" s="40">
        <f>0.0111691973208963+(0.12)</f>
        <v>0.1311691973208963</v>
      </c>
      <c r="H80" s="40">
        <f>0.0122864004391382+(0.12)</f>
        <v>0.1322864004391382</v>
      </c>
      <c r="I80" s="40">
        <f>0.0126735043308937+(0.12)</f>
        <v>0.1326735043308937</v>
      </c>
      <c r="J80" s="40">
        <f>0.0127732043562662+(0.12)</f>
        <v>0.13277320435626619</v>
      </c>
      <c r="K80" s="40">
        <f>0.0127023240800516+(0.12)</f>
        <v>0.13270232408005159</v>
      </c>
      <c r="L80" s="40">
        <f>0.012266814791303+(0.12)</f>
        <v>0.13226681479130301</v>
      </c>
      <c r="M80" s="40">
        <f>0.0118325987058051+(0.12)</f>
        <v>0.1318325987058051</v>
      </c>
      <c r="N80" s="40">
        <f>0.0112209946451653+(0.12)</f>
        <v>0.13122099464516529</v>
      </c>
      <c r="O80" s="40">
        <f>0.0103361982870805+(0.12)</f>
        <v>0.13033619828708048</v>
      </c>
      <c r="P80" s="40">
        <f>0.00930902912331952+(0.12)</f>
        <v>0.12930902912331951</v>
      </c>
      <c r="Q80" s="40">
        <f>0.00853499545894003+(0.12)</f>
        <v>0.12853499545894004</v>
      </c>
      <c r="R80" s="40">
        <f>0.00774277656267987+(0.12)</f>
        <v>0.12774277656267988</v>
      </c>
      <c r="S80" s="40"/>
      <c r="T80" s="40"/>
      <c r="U80" s="40"/>
    </row>
    <row r="81" spans="1:21" x14ac:dyDescent="0.55000000000000004">
      <c r="A81" s="41" t="str">
        <f>'Population Definitions'!$A$11</f>
        <v>PLHIV HCW</v>
      </c>
      <c r="B81" s="41" t="s">
        <v>10</v>
      </c>
      <c r="C81" s="40" t="str">
        <f t="shared" si="5"/>
        <v>N.A.</v>
      </c>
      <c r="D81" s="41" t="s">
        <v>16</v>
      </c>
      <c r="E81" s="40">
        <f>0.064+(0.12)</f>
        <v>0.184</v>
      </c>
      <c r="F81" s="40">
        <f>0.063948651437988+(0.12)</f>
        <v>0.183948651437988</v>
      </c>
      <c r="G81" s="40">
        <f>0.0638988176268937+(0.12)</f>
        <v>0.1838988176268937</v>
      </c>
      <c r="H81" s="40">
        <f>0.0638450264548522+(0.12)</f>
        <v>0.18384502645485218</v>
      </c>
      <c r="I81" s="40">
        <f>0.0637038800778667+(0.12)</f>
        <v>0.1837038800778667</v>
      </c>
      <c r="J81" s="40">
        <f>0.063354971996338+(0.12)</f>
        <v>0.18335497199633799</v>
      </c>
      <c r="K81" s="40">
        <f>0.0628628864483211+(0.12)</f>
        <v>0.1828628864483211</v>
      </c>
      <c r="L81" s="40">
        <f>0.0621620442417684+(0.12)</f>
        <v>0.18216204424176841</v>
      </c>
      <c r="M81" s="40">
        <f>0.0613708139244735+(0.12)</f>
        <v>0.18137081392447349</v>
      </c>
      <c r="N81" s="40">
        <f>0.0604358083649289+(0.12)</f>
        <v>0.1804358083649289</v>
      </c>
      <c r="O81" s="40">
        <f>0.0591917262714635+(0.12)</f>
        <v>0.17919172627146349</v>
      </c>
      <c r="P81" s="40">
        <f>0.0574998491949804+(0.12)</f>
        <v>0.17749984919498041</v>
      </c>
      <c r="Q81" s="40">
        <f>0.0559351614670864+(0.12)</f>
        <v>0.1759351614670864</v>
      </c>
      <c r="R81" s="40">
        <f>0.0544861311717248+(0.12)</f>
        <v>0.17448613117172479</v>
      </c>
      <c r="S81" s="40">
        <f>0.0535351493099285+(0.12)</f>
        <v>0.1735351493099285</v>
      </c>
      <c r="T81" s="40">
        <f>0.0529028826750741+(0.12)</f>
        <v>0.17290288267507409</v>
      </c>
      <c r="U81" s="40">
        <f>0.0516887916470763+(0.12)</f>
        <v>0.17168879164707629</v>
      </c>
    </row>
    <row r="82" spans="1:21" x14ac:dyDescent="0.55000000000000004">
      <c r="A82" s="41" t="str">
        <f>'Population Definitions'!$A$12</f>
        <v>Miners</v>
      </c>
      <c r="B82" s="41" t="s">
        <v>10</v>
      </c>
      <c r="C82" s="40" t="str">
        <f t="shared" si="5"/>
        <v>N.A.</v>
      </c>
      <c r="D82" s="41" t="s">
        <v>16</v>
      </c>
      <c r="E82" s="40">
        <f>0.00915683846293936+(0.12)</f>
        <v>0.12915683846293935</v>
      </c>
      <c r="F82" s="40">
        <f>0.0100593014100637+(0.12)</f>
        <v>0.13005930141006369</v>
      </c>
      <c r="G82" s="40">
        <f>0.0111691973208963+(0.12)</f>
        <v>0.1311691973208963</v>
      </c>
      <c r="H82" s="40">
        <f>0.0122864004391382+(0.12)</f>
        <v>0.1322864004391382</v>
      </c>
      <c r="I82" s="40">
        <f>0.0126735043308937+(0.12)</f>
        <v>0.1326735043308937</v>
      </c>
      <c r="J82" s="40">
        <f>0.0127732043562662+(0.12)</f>
        <v>0.13277320435626619</v>
      </c>
      <c r="K82" s="40">
        <f>0.0127023240800516+(0.12)</f>
        <v>0.13270232408005159</v>
      </c>
      <c r="L82" s="40">
        <f>0.012266814791303+(0.12)</f>
        <v>0.13226681479130301</v>
      </c>
      <c r="M82" s="40">
        <f>0.0118325987058051+(0.12)</f>
        <v>0.1318325987058051</v>
      </c>
      <c r="N82" s="40">
        <f>0.0112209946451653+(0.12)</f>
        <v>0.13122099464516529</v>
      </c>
      <c r="O82" s="40">
        <f>0.0103361982870805+(0.12)</f>
        <v>0.13033619828708048</v>
      </c>
      <c r="P82" s="40">
        <f>0.00930902912331952+(0.12)</f>
        <v>0.12930902912331951</v>
      </c>
      <c r="Q82" s="40">
        <f>0.00853499545894003+(0.12)</f>
        <v>0.12853499545894004</v>
      </c>
      <c r="R82" s="40">
        <f>0.00774277656267987+(0.12)</f>
        <v>0.12774277656267988</v>
      </c>
      <c r="S82" s="40"/>
      <c r="T82" s="40"/>
      <c r="U82" s="40"/>
    </row>
    <row r="83" spans="1:21" x14ac:dyDescent="0.55000000000000004">
      <c r="A83" s="41" t="str">
        <f>'Population Definitions'!$A$13</f>
        <v>PLHIV Miners</v>
      </c>
      <c r="B83" s="41" t="s">
        <v>10</v>
      </c>
      <c r="C83" s="40" t="str">
        <f t="shared" si="5"/>
        <v>N.A.</v>
      </c>
      <c r="D83" s="41" t="s">
        <v>16</v>
      </c>
      <c r="E83" s="40">
        <f>0.064+(0.12)</f>
        <v>0.184</v>
      </c>
      <c r="F83" s="40">
        <f>0.063948651437988+(0.12)</f>
        <v>0.183948651437988</v>
      </c>
      <c r="G83" s="40">
        <f>0.0638988176268937+(0.12)</f>
        <v>0.1838988176268937</v>
      </c>
      <c r="H83" s="40">
        <f>0.0638450264548522+(0.12)</f>
        <v>0.18384502645485218</v>
      </c>
      <c r="I83" s="40">
        <f>0.0637038800778667+(0.12)</f>
        <v>0.1837038800778667</v>
      </c>
      <c r="J83" s="40">
        <f>0.063354971996338+(0.12)</f>
        <v>0.18335497199633799</v>
      </c>
      <c r="K83" s="40">
        <f>0.0628628864483211+(0.12)</f>
        <v>0.1828628864483211</v>
      </c>
      <c r="L83" s="40">
        <f>0.0621620442417684+(0.12)</f>
        <v>0.18216204424176841</v>
      </c>
      <c r="M83" s="40">
        <f>0.0613708139244735+(0.12)</f>
        <v>0.18137081392447349</v>
      </c>
      <c r="N83" s="40">
        <f>0.0604358083649289+(0.12)</f>
        <v>0.1804358083649289</v>
      </c>
      <c r="O83" s="40">
        <f>0.0591917262714635+(0.12)</f>
        <v>0.17919172627146349</v>
      </c>
      <c r="P83" s="40">
        <f>0.0574998491949804+(0.12)</f>
        <v>0.17749984919498041</v>
      </c>
      <c r="Q83" s="40">
        <f>0.0559351614670864+(0.12)</f>
        <v>0.1759351614670864</v>
      </c>
      <c r="R83" s="40">
        <f>0.0544861311717248+(0.12)</f>
        <v>0.17448613117172479</v>
      </c>
      <c r="S83" s="40">
        <f>0.0535351493099285+(0.12)</f>
        <v>0.1735351493099285</v>
      </c>
      <c r="T83" s="40">
        <f>0.0529028826750741+(0.12)</f>
        <v>0.17290288267507409</v>
      </c>
      <c r="U83" s="40">
        <f>0.0516887916470763+(0.12)</f>
        <v>0.17168879164707629</v>
      </c>
    </row>
    <row r="85" spans="1:21" x14ac:dyDescent="0.55000000000000004">
      <c r="A85" s="21" t="s">
        <v>150</v>
      </c>
      <c r="B85" s="41" t="s">
        <v>8</v>
      </c>
      <c r="C85" s="41" t="s">
        <v>9</v>
      </c>
      <c r="D85" s="41"/>
      <c r="E85" s="41">
        <v>2000</v>
      </c>
      <c r="F85" s="41">
        <v>2001</v>
      </c>
      <c r="G85" s="41">
        <v>2002</v>
      </c>
      <c r="H85" s="41">
        <v>2003</v>
      </c>
      <c r="I85" s="41">
        <v>2004</v>
      </c>
      <c r="J85" s="41">
        <v>2005</v>
      </c>
      <c r="K85" s="41">
        <v>2006</v>
      </c>
      <c r="L85" s="41">
        <v>2007</v>
      </c>
      <c r="M85" s="41">
        <v>2008</v>
      </c>
      <c r="N85" s="41">
        <v>2009</v>
      </c>
      <c r="O85" s="41">
        <v>2010</v>
      </c>
      <c r="P85" s="41">
        <v>2011</v>
      </c>
      <c r="Q85" s="41">
        <v>2012</v>
      </c>
      <c r="R85" s="41">
        <v>2013</v>
      </c>
      <c r="S85" s="41">
        <v>2014</v>
      </c>
      <c r="T85" s="41">
        <v>2015</v>
      </c>
      <c r="U85" s="41">
        <v>2016</v>
      </c>
    </row>
    <row r="86" spans="1:21" x14ac:dyDescent="0.55000000000000004">
      <c r="A86" s="41" t="str">
        <f>'Population Definitions'!$A$2</f>
        <v>Gen 0-4</v>
      </c>
      <c r="B86" s="41" t="s">
        <v>10</v>
      </c>
      <c r="C86" s="40" t="str">
        <f t="shared" ref="C86:C97" si="6">IF(SUMPRODUCT(--(E86:U86&lt;&gt;""))=0,0.03,"N.A.")</f>
        <v>N.A.</v>
      </c>
      <c r="D86" s="41" t="s">
        <v>16</v>
      </c>
      <c r="E86" s="40"/>
      <c r="F86" s="40"/>
      <c r="G86" s="40"/>
      <c r="H86" s="40"/>
      <c r="I86" s="40">
        <v>5.0893158072126729E-2</v>
      </c>
      <c r="J86" s="40">
        <v>4.2280414620840152E-2</v>
      </c>
      <c r="K86" s="40">
        <v>3.4728829686013318E-2</v>
      </c>
      <c r="L86" s="40">
        <v>4.0057915057915061E-2</v>
      </c>
      <c r="M86" s="40">
        <v>3.1868882312770318E-2</v>
      </c>
      <c r="N86" s="40">
        <v>2.4430350011745362E-2</v>
      </c>
      <c r="O86" s="40">
        <v>1.7618927762396173E-2</v>
      </c>
      <c r="P86" s="40">
        <v>1.4056224899598393E-2</v>
      </c>
      <c r="Q86" s="40">
        <v>1.3333333333333334E-2</v>
      </c>
      <c r="R86" s="40">
        <v>1.2536676447052548E-2</v>
      </c>
      <c r="S86" s="40">
        <v>1.2337662337662338E-2</v>
      </c>
      <c r="T86" s="40">
        <v>1.2662559890485968E-2</v>
      </c>
      <c r="U86" s="40"/>
    </row>
    <row r="87" spans="1:21" x14ac:dyDescent="0.55000000000000004">
      <c r="A87" s="41" t="str">
        <f>'Population Definitions'!$A$3</f>
        <v>Gen 5-14</v>
      </c>
      <c r="B87" s="41" t="s">
        <v>10</v>
      </c>
      <c r="C87" s="40" t="str">
        <f t="shared" si="6"/>
        <v>N.A.</v>
      </c>
      <c r="D87" s="41" t="s">
        <v>16</v>
      </c>
      <c r="E87" s="40"/>
      <c r="F87" s="40"/>
      <c r="G87" s="40"/>
      <c r="H87" s="40"/>
      <c r="I87" s="40">
        <v>5.4991034070531977E-2</v>
      </c>
      <c r="J87" s="40">
        <v>4.6202867764206054E-2</v>
      </c>
      <c r="K87" s="40">
        <v>3.9403620873269436E-2</v>
      </c>
      <c r="L87" s="40">
        <v>3.5398230088495575E-2</v>
      </c>
      <c r="M87" s="40">
        <v>2.7470093043863535E-2</v>
      </c>
      <c r="N87" s="40">
        <v>2.6864289022695692E-2</v>
      </c>
      <c r="O87" s="40">
        <v>1.9890601690701143E-2</v>
      </c>
      <c r="P87" s="40">
        <v>2.0795660036166366E-2</v>
      </c>
      <c r="Q87" s="40">
        <v>1.4314928425357873E-2</v>
      </c>
      <c r="R87" s="40">
        <v>1.4906832298136646E-2</v>
      </c>
      <c r="S87" s="40">
        <v>2.313030069390902E-2</v>
      </c>
      <c r="T87" s="40">
        <v>2.526487367563162E-2</v>
      </c>
      <c r="U87" s="40"/>
    </row>
    <row r="88" spans="1:21" x14ac:dyDescent="0.55000000000000004">
      <c r="A88" s="41" t="str">
        <f>'Population Definitions'!$A$4</f>
        <v>Gen 15-64</v>
      </c>
      <c r="B88" s="41" t="s">
        <v>10</v>
      </c>
      <c r="C88" s="40" t="str">
        <f t="shared" si="6"/>
        <v>N.A.</v>
      </c>
      <c r="D88" s="41" t="s">
        <v>16</v>
      </c>
      <c r="E88" s="40"/>
      <c r="F88" s="40"/>
      <c r="G88" s="40"/>
      <c r="H88" s="40">
        <v>0.11797978445679094</v>
      </c>
      <c r="I88" s="40">
        <v>0.12582017010935603</v>
      </c>
      <c r="J88" s="40">
        <v>0.13173282501738751</v>
      </c>
      <c r="K88" s="40">
        <v>0.11613705078080136</v>
      </c>
      <c r="L88" s="40">
        <v>0.10884116180150458</v>
      </c>
      <c r="M88" s="40">
        <v>8.7771787665731987E-2</v>
      </c>
      <c r="N88" s="40">
        <v>6.569905197021389E-2</v>
      </c>
      <c r="O88" s="40">
        <v>4.9268606820485179E-2</v>
      </c>
      <c r="P88" s="40">
        <v>4.6772377289933401E-2</v>
      </c>
      <c r="Q88" s="40">
        <v>4.1917283793324454E-2</v>
      </c>
      <c r="R88" s="40">
        <v>3.942762321770623E-2</v>
      </c>
      <c r="S88" s="40">
        <v>3.9936829834587927E-2</v>
      </c>
      <c r="T88" s="40">
        <v>3.7857082510877042E-2</v>
      </c>
      <c r="U88" s="40"/>
    </row>
    <row r="89" spans="1:21" x14ac:dyDescent="0.55000000000000004">
      <c r="A89" s="41" t="str">
        <f>'Population Definitions'!$A$5</f>
        <v>Gen 65+</v>
      </c>
      <c r="B89" s="41" t="s">
        <v>10</v>
      </c>
      <c r="C89" s="40" t="str">
        <f t="shared" si="6"/>
        <v>N.A.</v>
      </c>
      <c r="D89" s="41" t="s">
        <v>16</v>
      </c>
      <c r="E89" s="40"/>
      <c r="F89" s="40"/>
      <c r="G89" s="40"/>
      <c r="H89" s="40">
        <v>0.23999999999999996</v>
      </c>
      <c r="I89" s="40">
        <v>0.23126338329764451</v>
      </c>
      <c r="J89" s="40">
        <v>0.22187499999999999</v>
      </c>
      <c r="K89" s="40">
        <v>0.23538461538461539</v>
      </c>
      <c r="L89" s="40">
        <v>0.2142813565526264</v>
      </c>
      <c r="M89" s="40">
        <v>0.20334259180629913</v>
      </c>
      <c r="N89" s="40">
        <v>0.20307210172779691</v>
      </c>
      <c r="O89" s="40"/>
      <c r="P89" s="40">
        <v>0.18729063789214634</v>
      </c>
      <c r="Q89" s="40">
        <v>0.1754822145586985</v>
      </c>
      <c r="R89" s="40">
        <v>0.18639214701404841</v>
      </c>
      <c r="S89" s="40"/>
      <c r="T89" s="40">
        <v>0.16776970259264987</v>
      </c>
      <c r="U89" s="40"/>
    </row>
    <row r="90" spans="1:21" x14ac:dyDescent="0.55000000000000004">
      <c r="A90" s="41" t="str">
        <f>'Population Definitions'!$A$6</f>
        <v>PLHIV 15-64</v>
      </c>
      <c r="B90" s="41" t="s">
        <v>10</v>
      </c>
      <c r="C90" s="40" t="str">
        <f t="shared" si="6"/>
        <v>N.A.</v>
      </c>
      <c r="D90" s="41" t="s">
        <v>16</v>
      </c>
      <c r="E90" s="40"/>
      <c r="F90" s="40"/>
      <c r="G90" s="40"/>
      <c r="H90" s="40">
        <v>0.11797019625268639</v>
      </c>
      <c r="I90" s="40">
        <v>0.12581552965057555</v>
      </c>
      <c r="J90" s="40">
        <v>0.13172046570556253</v>
      </c>
      <c r="K90" s="40">
        <v>0.11625361982845815</v>
      </c>
      <c r="L90" s="40">
        <v>0.11263263117463254</v>
      </c>
      <c r="M90" s="40">
        <v>0.1073244204082599</v>
      </c>
      <c r="N90" s="40">
        <v>9.1866921120217784E-2</v>
      </c>
      <c r="O90" s="40">
        <v>8.150790147757532E-2</v>
      </c>
      <c r="P90" s="40">
        <v>8.2946386576295772E-2</v>
      </c>
      <c r="Q90" s="40">
        <v>8.2772908062547307E-2</v>
      </c>
      <c r="R90" s="40">
        <v>7.6743707431563085E-2</v>
      </c>
      <c r="S90" s="40">
        <v>7.1985984878794054E-2</v>
      </c>
      <c r="T90" s="40">
        <v>7.51569946659425E-2</v>
      </c>
      <c r="U90" s="40"/>
    </row>
    <row r="91" spans="1:21" x14ac:dyDescent="0.55000000000000004">
      <c r="A91" s="41" t="str">
        <f>'Population Definitions'!$A$7</f>
        <v>PLHIV 65+</v>
      </c>
      <c r="B91" s="41" t="s">
        <v>10</v>
      </c>
      <c r="C91" s="40" t="str">
        <f t="shared" si="6"/>
        <v>N.A.</v>
      </c>
      <c r="D91" s="41" t="s">
        <v>16</v>
      </c>
      <c r="E91" s="40"/>
      <c r="F91" s="40"/>
      <c r="G91" s="40"/>
      <c r="H91" s="40">
        <v>0.24</v>
      </c>
      <c r="I91" s="40">
        <v>0.23126338329764454</v>
      </c>
      <c r="J91" s="40">
        <v>0.22187499999999999</v>
      </c>
      <c r="K91" s="40">
        <v>0.23538461538461541</v>
      </c>
      <c r="L91" s="40">
        <v>0.2306769387845006</v>
      </c>
      <c r="M91" s="40">
        <v>0.23536319409495049</v>
      </c>
      <c r="N91" s="40"/>
      <c r="O91" s="40"/>
      <c r="P91" s="40"/>
      <c r="Q91" s="40">
        <v>0.2242763472180534</v>
      </c>
      <c r="R91" s="40">
        <v>0.22657601167203545</v>
      </c>
      <c r="S91" s="40">
        <v>0.23530684778718342</v>
      </c>
      <c r="T91" s="40">
        <v>0.24341040620971505</v>
      </c>
      <c r="U91" s="40"/>
    </row>
    <row r="92" spans="1:21" x14ac:dyDescent="0.55000000000000004">
      <c r="A92" s="41" t="str">
        <f>'Population Definitions'!$A$8</f>
        <v>Prisoners</v>
      </c>
      <c r="B92" s="41" t="s">
        <v>10</v>
      </c>
      <c r="C92" s="40" t="str">
        <f t="shared" si="6"/>
        <v>N.A.</v>
      </c>
      <c r="D92" s="41" t="s">
        <v>16</v>
      </c>
      <c r="E92" s="40"/>
      <c r="F92" s="40"/>
      <c r="G92" s="40"/>
      <c r="H92" s="40"/>
      <c r="I92" s="40">
        <v>9.8966026587887737E-2</v>
      </c>
      <c r="J92" s="40"/>
      <c r="K92" s="40">
        <v>8.3155650319829411E-2</v>
      </c>
      <c r="L92" s="40"/>
      <c r="M92" s="40">
        <v>7.9971157943036941E-2</v>
      </c>
      <c r="N92" s="40">
        <v>4.5432414338749935E-2</v>
      </c>
      <c r="O92" s="40">
        <v>2.7149541821017743E-2</v>
      </c>
      <c r="P92" s="40">
        <v>2.3607064280192665E-2</v>
      </c>
      <c r="Q92" s="40">
        <v>2.8947590513967426E-2</v>
      </c>
      <c r="R92" s="40">
        <v>1.6541353383458648E-2</v>
      </c>
      <c r="S92" s="40"/>
      <c r="T92" s="40">
        <v>1.3673633821508126E-2</v>
      </c>
      <c r="U92" s="40"/>
    </row>
    <row r="93" spans="1:21" x14ac:dyDescent="0.55000000000000004">
      <c r="A93" s="41" t="str">
        <f>'Population Definitions'!$A$9</f>
        <v>PLHIV Prisoners</v>
      </c>
      <c r="B93" s="41" t="s">
        <v>10</v>
      </c>
      <c r="C93" s="40" t="str">
        <f t="shared" si="6"/>
        <v>N.A.</v>
      </c>
      <c r="D93" s="41" t="s">
        <v>16</v>
      </c>
      <c r="E93" s="40"/>
      <c r="F93" s="40"/>
      <c r="G93" s="40"/>
      <c r="H93" s="40"/>
      <c r="I93" s="40">
        <v>9.8966026587887723E-2</v>
      </c>
      <c r="J93" s="40"/>
      <c r="K93" s="40"/>
      <c r="L93" s="40">
        <v>0.11024327784891166</v>
      </c>
      <c r="M93" s="40">
        <v>0.10692436753144943</v>
      </c>
      <c r="N93" s="40">
        <v>9.4096251423837637E-2</v>
      </c>
      <c r="O93" s="40">
        <v>7.5132457012188278E-2</v>
      </c>
      <c r="P93" s="40">
        <v>7.5596792752643791E-2</v>
      </c>
      <c r="Q93" s="40"/>
      <c r="R93" s="40">
        <v>5.8534588620548507E-2</v>
      </c>
      <c r="S93" s="40">
        <v>5.3481810153574429E-2</v>
      </c>
      <c r="T93" s="40">
        <v>4.7948232323232323E-2</v>
      </c>
      <c r="U93" s="40"/>
    </row>
    <row r="94" spans="1:21" x14ac:dyDescent="0.55000000000000004">
      <c r="A94" s="41" t="str">
        <f>'Population Definitions'!$A$10</f>
        <v>HCW</v>
      </c>
      <c r="B94" s="41" t="s">
        <v>10</v>
      </c>
      <c r="C94" s="40">
        <f t="shared" si="6"/>
        <v>0.03</v>
      </c>
      <c r="D94" s="41" t="s">
        <v>16</v>
      </c>
      <c r="E94" s="40"/>
      <c r="F94" s="40"/>
      <c r="G94" s="40"/>
      <c r="H94" s="40"/>
      <c r="I94" s="40"/>
      <c r="J94" s="40"/>
      <c r="K94" s="40"/>
      <c r="L94" s="40"/>
      <c r="M94" s="40"/>
      <c r="N94" s="40"/>
      <c r="O94" s="40"/>
      <c r="P94" s="40"/>
      <c r="Q94" s="40"/>
      <c r="R94" s="40"/>
      <c r="S94" s="40"/>
      <c r="T94" s="40"/>
      <c r="U94" s="40"/>
    </row>
    <row r="95" spans="1:21" x14ac:dyDescent="0.55000000000000004">
      <c r="A95" s="41" t="str">
        <f>'Population Definitions'!$A$11</f>
        <v>PLHIV HCW</v>
      </c>
      <c r="B95" s="41" t="s">
        <v>10</v>
      </c>
      <c r="C95" s="40">
        <f t="shared" si="6"/>
        <v>0.03</v>
      </c>
      <c r="D95" s="41" t="s">
        <v>16</v>
      </c>
      <c r="E95" s="40"/>
      <c r="F95" s="40"/>
      <c r="G95" s="40"/>
      <c r="H95" s="40"/>
      <c r="I95" s="40"/>
      <c r="J95" s="40"/>
      <c r="K95" s="40"/>
      <c r="L95" s="40"/>
      <c r="M95" s="40"/>
      <c r="N95" s="40"/>
      <c r="O95" s="40"/>
      <c r="P95" s="40"/>
      <c r="Q95" s="40"/>
      <c r="R95" s="40"/>
      <c r="S95" s="40"/>
      <c r="T95" s="40"/>
      <c r="U95" s="40"/>
    </row>
    <row r="96" spans="1:21" x14ac:dyDescent="0.55000000000000004">
      <c r="A96" s="41" t="str">
        <f>'Population Definitions'!$A$12</f>
        <v>Miners</v>
      </c>
      <c r="B96" s="41" t="s">
        <v>10</v>
      </c>
      <c r="C96" s="40">
        <f t="shared" si="6"/>
        <v>0.03</v>
      </c>
      <c r="D96" s="41" t="s">
        <v>16</v>
      </c>
      <c r="E96" s="40"/>
      <c r="F96" s="40"/>
      <c r="G96" s="40"/>
      <c r="H96" s="40"/>
      <c r="I96" s="40"/>
      <c r="J96" s="40"/>
      <c r="K96" s="40"/>
      <c r="L96" s="40"/>
      <c r="M96" s="40"/>
      <c r="N96" s="40"/>
      <c r="O96" s="40"/>
      <c r="P96" s="40"/>
      <c r="Q96" s="40"/>
      <c r="R96" s="40"/>
      <c r="S96" s="40"/>
      <c r="T96" s="40"/>
      <c r="U96" s="40"/>
    </row>
    <row r="97" spans="1:21" x14ac:dyDescent="0.55000000000000004">
      <c r="A97" s="41" t="str">
        <f>'Population Definitions'!$A$13</f>
        <v>PLHIV Miners</v>
      </c>
      <c r="B97" s="41" t="s">
        <v>10</v>
      </c>
      <c r="C97" s="40">
        <f t="shared" si="6"/>
        <v>0.03</v>
      </c>
      <c r="D97" s="41" t="s">
        <v>16</v>
      </c>
      <c r="E97" s="40"/>
      <c r="F97" s="40"/>
      <c r="G97" s="40"/>
      <c r="H97" s="40"/>
      <c r="I97" s="40"/>
      <c r="J97" s="40"/>
      <c r="K97" s="40"/>
      <c r="L97" s="40"/>
      <c r="M97" s="40"/>
      <c r="N97" s="40"/>
      <c r="O97" s="40"/>
      <c r="P97" s="40"/>
      <c r="Q97" s="40"/>
      <c r="R97" s="40"/>
      <c r="S97" s="40"/>
      <c r="T97" s="40"/>
      <c r="U97" s="40"/>
    </row>
    <row r="99" spans="1:21" x14ac:dyDescent="0.55000000000000004">
      <c r="A99" s="21" t="s">
        <v>151</v>
      </c>
      <c r="B99" s="41" t="s">
        <v>8</v>
      </c>
      <c r="C99" s="41" t="s">
        <v>9</v>
      </c>
      <c r="D99" s="41"/>
      <c r="E99" s="41">
        <v>2000</v>
      </c>
      <c r="F99" s="41">
        <v>2001</v>
      </c>
      <c r="G99" s="41">
        <v>2002</v>
      </c>
      <c r="H99" s="41">
        <v>2003</v>
      </c>
      <c r="I99" s="41">
        <v>2004</v>
      </c>
      <c r="J99" s="41">
        <v>2005</v>
      </c>
      <c r="K99" s="41">
        <v>2006</v>
      </c>
      <c r="L99" s="41">
        <v>2007</v>
      </c>
      <c r="M99" s="41">
        <v>2008</v>
      </c>
      <c r="N99" s="41">
        <v>2009</v>
      </c>
      <c r="O99" s="41">
        <v>2010</v>
      </c>
      <c r="P99" s="41">
        <v>2011</v>
      </c>
      <c r="Q99" s="41">
        <v>2012</v>
      </c>
      <c r="R99" s="41">
        <v>2013</v>
      </c>
      <c r="S99" s="41">
        <v>2014</v>
      </c>
      <c r="T99" s="41">
        <v>2015</v>
      </c>
      <c r="U99" s="41">
        <v>2016</v>
      </c>
    </row>
    <row r="100" spans="1:21" x14ac:dyDescent="0.55000000000000004">
      <c r="A100" s="41" t="str">
        <f>'Population Definitions'!$A$2</f>
        <v>Gen 0-4</v>
      </c>
      <c r="B100" s="41" t="s">
        <v>10</v>
      </c>
      <c r="C100" s="40" t="str">
        <f t="shared" ref="C100:C111" si="7">IF(SUMPRODUCT(--(E100:U100&lt;&gt;""))=0,0.03,"N.A.")</f>
        <v>N.A.</v>
      </c>
      <c r="D100" s="41" t="s">
        <v>16</v>
      </c>
      <c r="E100" s="40"/>
      <c r="F100" s="40"/>
      <c r="G100" s="40"/>
      <c r="H100" s="40"/>
      <c r="I100" s="40">
        <v>5.0893158072126729E-2</v>
      </c>
      <c r="J100" s="40">
        <v>4.2280414620840152E-2</v>
      </c>
      <c r="K100" s="40">
        <v>3.4728829686013318E-2</v>
      </c>
      <c r="L100" s="40">
        <v>4.0057915057915061E-2</v>
      </c>
      <c r="M100" s="40">
        <v>3.1868882312770318E-2</v>
      </c>
      <c r="N100" s="40">
        <v>2.4430350011745362E-2</v>
      </c>
      <c r="O100" s="40">
        <v>1.7618927762396173E-2</v>
      </c>
      <c r="P100" s="40">
        <v>1.4056224899598393E-2</v>
      </c>
      <c r="Q100" s="40">
        <v>1.3333333333333334E-2</v>
      </c>
      <c r="R100" s="40">
        <v>1.2536676447052548E-2</v>
      </c>
      <c r="S100" s="40">
        <v>1.2337662337662338E-2</v>
      </c>
      <c r="T100" s="40">
        <v>1.2662559890485968E-2</v>
      </c>
      <c r="U100" s="40"/>
    </row>
    <row r="101" spans="1:21" x14ac:dyDescent="0.55000000000000004">
      <c r="A101" s="41" t="str">
        <f>'Population Definitions'!$A$3</f>
        <v>Gen 5-14</v>
      </c>
      <c r="B101" s="41" t="s">
        <v>10</v>
      </c>
      <c r="C101" s="40" t="str">
        <f t="shared" si="7"/>
        <v>N.A.</v>
      </c>
      <c r="D101" s="41" t="s">
        <v>16</v>
      </c>
      <c r="E101" s="40"/>
      <c r="F101" s="40"/>
      <c r="G101" s="40"/>
      <c r="H101" s="40"/>
      <c r="I101" s="40">
        <v>5.4991034070531977E-2</v>
      </c>
      <c r="J101" s="40">
        <v>4.6202867764206054E-2</v>
      </c>
      <c r="K101" s="40">
        <v>3.9403620873269436E-2</v>
      </c>
      <c r="L101" s="40">
        <v>3.5398230088495575E-2</v>
      </c>
      <c r="M101" s="40">
        <v>2.7470093043863535E-2</v>
      </c>
      <c r="N101" s="40">
        <v>2.6864289022695692E-2</v>
      </c>
      <c r="O101" s="40">
        <v>1.9890601690701143E-2</v>
      </c>
      <c r="P101" s="40">
        <v>2.0795660036166366E-2</v>
      </c>
      <c r="Q101" s="40">
        <v>1.4314928425357873E-2</v>
      </c>
      <c r="R101" s="40">
        <v>1.4906832298136646E-2</v>
      </c>
      <c r="S101" s="40">
        <v>2.313030069390902E-2</v>
      </c>
      <c r="T101" s="40">
        <v>2.526487367563162E-2</v>
      </c>
      <c r="U101" s="40"/>
    </row>
    <row r="102" spans="1:21" x14ac:dyDescent="0.55000000000000004">
      <c r="A102" s="41" t="str">
        <f>'Population Definitions'!$A$4</f>
        <v>Gen 15-64</v>
      </c>
      <c r="B102" s="41" t="s">
        <v>10</v>
      </c>
      <c r="C102" s="40" t="str">
        <f t="shared" si="7"/>
        <v>N.A.</v>
      </c>
      <c r="D102" s="41" t="s">
        <v>16</v>
      </c>
      <c r="E102" s="40"/>
      <c r="F102" s="40"/>
      <c r="G102" s="40"/>
      <c r="H102" s="40">
        <v>0.11797978445679094</v>
      </c>
      <c r="I102" s="40">
        <v>0.12582017010935603</v>
      </c>
      <c r="J102" s="40">
        <v>0.13173282501738751</v>
      </c>
      <c r="K102" s="40">
        <v>0.11613705078080136</v>
      </c>
      <c r="L102" s="40">
        <v>0.10884116180150458</v>
      </c>
      <c r="M102" s="40">
        <v>8.7771787665731987E-2</v>
      </c>
      <c r="N102" s="40">
        <v>6.569905197021389E-2</v>
      </c>
      <c r="O102" s="40">
        <v>4.9268606820485179E-2</v>
      </c>
      <c r="P102" s="40">
        <v>4.6772377289933401E-2</v>
      </c>
      <c r="Q102" s="40">
        <v>4.1917283793324454E-2</v>
      </c>
      <c r="R102" s="40">
        <v>3.942762321770623E-2</v>
      </c>
      <c r="S102" s="40">
        <v>3.9936829834587927E-2</v>
      </c>
      <c r="T102" s="40">
        <v>3.7857082510877042E-2</v>
      </c>
      <c r="U102" s="40"/>
    </row>
    <row r="103" spans="1:21" x14ac:dyDescent="0.55000000000000004">
      <c r="A103" s="41" t="str">
        <f>'Population Definitions'!$A$5</f>
        <v>Gen 65+</v>
      </c>
      <c r="B103" s="41" t="s">
        <v>10</v>
      </c>
      <c r="C103" s="40" t="str">
        <f t="shared" si="7"/>
        <v>N.A.</v>
      </c>
      <c r="D103" s="41" t="s">
        <v>16</v>
      </c>
      <c r="E103" s="40"/>
      <c r="F103" s="40"/>
      <c r="G103" s="40"/>
      <c r="H103" s="40">
        <v>0.23999999999999996</v>
      </c>
      <c r="I103" s="40">
        <v>0.23126338329764451</v>
      </c>
      <c r="J103" s="40">
        <v>0.22187499999999999</v>
      </c>
      <c r="K103" s="40">
        <v>0.23538461538461539</v>
      </c>
      <c r="L103" s="40">
        <v>0.2142813565526264</v>
      </c>
      <c r="M103" s="40">
        <v>0.20334259180629913</v>
      </c>
      <c r="N103" s="40">
        <v>0.20307210172779691</v>
      </c>
      <c r="O103" s="40"/>
      <c r="P103" s="40">
        <v>0.18729063789214634</v>
      </c>
      <c r="Q103" s="40">
        <v>0.1754822145586985</v>
      </c>
      <c r="R103" s="40">
        <v>0.18639214701404841</v>
      </c>
      <c r="S103" s="40"/>
      <c r="T103" s="40">
        <v>0.16776970259264987</v>
      </c>
      <c r="U103" s="40"/>
    </row>
    <row r="104" spans="1:21" x14ac:dyDescent="0.55000000000000004">
      <c r="A104" s="41" t="str">
        <f>'Population Definitions'!$A$6</f>
        <v>PLHIV 15-64</v>
      </c>
      <c r="B104" s="41" t="s">
        <v>10</v>
      </c>
      <c r="C104" s="40" t="str">
        <f t="shared" si="7"/>
        <v>N.A.</v>
      </c>
      <c r="D104" s="41" t="s">
        <v>16</v>
      </c>
      <c r="E104" s="40"/>
      <c r="F104" s="40"/>
      <c r="G104" s="40"/>
      <c r="H104" s="40">
        <v>0.11797019625268639</v>
      </c>
      <c r="I104" s="40">
        <v>0.12581552965057555</v>
      </c>
      <c r="J104" s="40">
        <v>0.13172046570556253</v>
      </c>
      <c r="K104" s="40">
        <v>0.11625361982845815</v>
      </c>
      <c r="L104" s="40">
        <v>0.11263263117463254</v>
      </c>
      <c r="M104" s="40">
        <v>0.1073244204082599</v>
      </c>
      <c r="N104" s="40">
        <v>9.1866921120217784E-2</v>
      </c>
      <c r="O104" s="40">
        <v>8.150790147757532E-2</v>
      </c>
      <c r="P104" s="40">
        <v>8.2946386576295772E-2</v>
      </c>
      <c r="Q104" s="40">
        <v>8.2772908062547307E-2</v>
      </c>
      <c r="R104" s="40">
        <v>7.6743707431563085E-2</v>
      </c>
      <c r="S104" s="40">
        <v>7.1985984878794054E-2</v>
      </c>
      <c r="T104" s="40">
        <v>7.51569946659425E-2</v>
      </c>
      <c r="U104" s="40"/>
    </row>
    <row r="105" spans="1:21" x14ac:dyDescent="0.55000000000000004">
      <c r="A105" s="41" t="str">
        <f>'Population Definitions'!$A$7</f>
        <v>PLHIV 65+</v>
      </c>
      <c r="B105" s="41" t="s">
        <v>10</v>
      </c>
      <c r="C105" s="40" t="str">
        <f t="shared" si="7"/>
        <v>N.A.</v>
      </c>
      <c r="D105" s="41" t="s">
        <v>16</v>
      </c>
      <c r="E105" s="40"/>
      <c r="F105" s="40"/>
      <c r="G105" s="40"/>
      <c r="H105" s="40">
        <v>0.24</v>
      </c>
      <c r="I105" s="40">
        <v>0.23126338329764454</v>
      </c>
      <c r="J105" s="40">
        <v>0.22187499999999999</v>
      </c>
      <c r="K105" s="40">
        <v>0.23538461538461541</v>
      </c>
      <c r="L105" s="40">
        <v>0.2306769387845006</v>
      </c>
      <c r="M105" s="40">
        <v>0.23536319409495049</v>
      </c>
      <c r="N105" s="40"/>
      <c r="O105" s="40"/>
      <c r="P105" s="40"/>
      <c r="Q105" s="40">
        <v>0.2242763472180534</v>
      </c>
      <c r="R105" s="40">
        <v>0.22657601167203545</v>
      </c>
      <c r="S105" s="40">
        <v>0.23530684778718342</v>
      </c>
      <c r="T105" s="40">
        <v>0.24341040620971505</v>
      </c>
      <c r="U105" s="40"/>
    </row>
    <row r="106" spans="1:21" x14ac:dyDescent="0.55000000000000004">
      <c r="A106" s="41" t="str">
        <f>'Population Definitions'!$A$8</f>
        <v>Prisoners</v>
      </c>
      <c r="B106" s="41" t="s">
        <v>10</v>
      </c>
      <c r="C106" s="40" t="str">
        <f t="shared" si="7"/>
        <v>N.A.</v>
      </c>
      <c r="D106" s="41" t="s">
        <v>16</v>
      </c>
      <c r="E106" s="40"/>
      <c r="F106" s="40"/>
      <c r="G106" s="40"/>
      <c r="H106" s="40"/>
      <c r="I106" s="40">
        <v>9.8966026587887737E-2</v>
      </c>
      <c r="J106" s="40"/>
      <c r="K106" s="40">
        <v>8.3155650319829411E-2</v>
      </c>
      <c r="L106" s="40"/>
      <c r="M106" s="40">
        <v>7.9971157943036941E-2</v>
      </c>
      <c r="N106" s="40">
        <v>4.5432414338749935E-2</v>
      </c>
      <c r="O106" s="40">
        <v>2.7149541821017743E-2</v>
      </c>
      <c r="P106" s="40">
        <v>2.3607064280192665E-2</v>
      </c>
      <c r="Q106" s="40">
        <v>2.8947590513967426E-2</v>
      </c>
      <c r="R106" s="40">
        <v>1.6541353383458648E-2</v>
      </c>
      <c r="S106" s="40"/>
      <c r="T106" s="40">
        <v>1.3673633821508126E-2</v>
      </c>
      <c r="U106" s="40"/>
    </row>
    <row r="107" spans="1:21" x14ac:dyDescent="0.55000000000000004">
      <c r="A107" s="41" t="str">
        <f>'Population Definitions'!$A$9</f>
        <v>PLHIV Prisoners</v>
      </c>
      <c r="B107" s="41" t="s">
        <v>10</v>
      </c>
      <c r="C107" s="40" t="str">
        <f t="shared" si="7"/>
        <v>N.A.</v>
      </c>
      <c r="D107" s="41" t="s">
        <v>16</v>
      </c>
      <c r="E107" s="40"/>
      <c r="F107" s="40"/>
      <c r="G107" s="40"/>
      <c r="H107" s="40"/>
      <c r="I107" s="40">
        <v>9.8966026587887723E-2</v>
      </c>
      <c r="J107" s="40"/>
      <c r="K107" s="40"/>
      <c r="L107" s="40">
        <v>0.11024327784891166</v>
      </c>
      <c r="M107" s="40">
        <v>0.10692436753144943</v>
      </c>
      <c r="N107" s="40">
        <v>9.4096251423837637E-2</v>
      </c>
      <c r="O107" s="40">
        <v>7.5132457012188278E-2</v>
      </c>
      <c r="P107" s="40">
        <v>7.5596792752643791E-2</v>
      </c>
      <c r="Q107" s="40"/>
      <c r="R107" s="40">
        <v>5.8534588620548507E-2</v>
      </c>
      <c r="S107" s="40">
        <v>5.3481810153574429E-2</v>
      </c>
      <c r="T107" s="40">
        <v>4.7948232323232323E-2</v>
      </c>
      <c r="U107" s="40"/>
    </row>
    <row r="108" spans="1:21" x14ac:dyDescent="0.55000000000000004">
      <c r="A108" s="41" t="str">
        <f>'Population Definitions'!$A$10</f>
        <v>HCW</v>
      </c>
      <c r="B108" s="41" t="s">
        <v>10</v>
      </c>
      <c r="C108" s="40">
        <f t="shared" si="7"/>
        <v>0.03</v>
      </c>
      <c r="D108" s="41" t="s">
        <v>16</v>
      </c>
      <c r="E108" s="40"/>
      <c r="F108" s="40"/>
      <c r="G108" s="40"/>
      <c r="H108" s="40"/>
      <c r="I108" s="40"/>
      <c r="J108" s="40"/>
      <c r="K108" s="40"/>
      <c r="L108" s="40"/>
      <c r="M108" s="40"/>
      <c r="N108" s="40"/>
      <c r="O108" s="40"/>
      <c r="P108" s="40"/>
      <c r="Q108" s="40"/>
      <c r="R108" s="40"/>
      <c r="S108" s="40"/>
      <c r="T108" s="40"/>
      <c r="U108" s="40"/>
    </row>
    <row r="109" spans="1:21" x14ac:dyDescent="0.55000000000000004">
      <c r="A109" s="41" t="str">
        <f>'Population Definitions'!$A$11</f>
        <v>PLHIV HCW</v>
      </c>
      <c r="B109" s="41" t="s">
        <v>10</v>
      </c>
      <c r="C109" s="40">
        <f t="shared" si="7"/>
        <v>0.03</v>
      </c>
      <c r="D109" s="41" t="s">
        <v>16</v>
      </c>
      <c r="E109" s="40"/>
      <c r="F109" s="40"/>
      <c r="G109" s="40"/>
      <c r="H109" s="40"/>
      <c r="I109" s="40"/>
      <c r="J109" s="40"/>
      <c r="K109" s="40"/>
      <c r="L109" s="40"/>
      <c r="M109" s="40"/>
      <c r="N109" s="40"/>
      <c r="O109" s="40"/>
      <c r="P109" s="40"/>
      <c r="Q109" s="40"/>
      <c r="R109" s="40"/>
      <c r="S109" s="40"/>
      <c r="T109" s="40"/>
      <c r="U109" s="40"/>
    </row>
    <row r="110" spans="1:21" x14ac:dyDescent="0.55000000000000004">
      <c r="A110" s="41" t="str">
        <f>'Population Definitions'!$A$12</f>
        <v>Miners</v>
      </c>
      <c r="B110" s="41" t="s">
        <v>10</v>
      </c>
      <c r="C110" s="40">
        <f t="shared" si="7"/>
        <v>0.03</v>
      </c>
      <c r="D110" s="41" t="s">
        <v>16</v>
      </c>
      <c r="E110" s="40"/>
      <c r="F110" s="40"/>
      <c r="G110" s="40"/>
      <c r="H110" s="40"/>
      <c r="I110" s="40"/>
      <c r="J110" s="40"/>
      <c r="K110" s="40"/>
      <c r="L110" s="40"/>
      <c r="M110" s="40"/>
      <c r="N110" s="40"/>
      <c r="O110" s="40"/>
      <c r="P110" s="40"/>
      <c r="Q110" s="40"/>
      <c r="R110" s="40"/>
      <c r="S110" s="40"/>
      <c r="T110" s="40"/>
      <c r="U110" s="40"/>
    </row>
    <row r="111" spans="1:21" x14ac:dyDescent="0.55000000000000004">
      <c r="A111" s="41" t="str">
        <f>'Population Definitions'!$A$13</f>
        <v>PLHIV Miners</v>
      </c>
      <c r="B111" s="41" t="s">
        <v>10</v>
      </c>
      <c r="C111" s="40">
        <f t="shared" si="7"/>
        <v>0.03</v>
      </c>
      <c r="D111" s="41" t="s">
        <v>16</v>
      </c>
      <c r="E111" s="40"/>
      <c r="F111" s="40"/>
      <c r="G111" s="40"/>
      <c r="H111" s="40"/>
      <c r="I111" s="40"/>
      <c r="J111" s="40"/>
      <c r="K111" s="40"/>
      <c r="L111" s="40"/>
      <c r="M111" s="40"/>
      <c r="N111" s="40"/>
      <c r="O111" s="40"/>
      <c r="P111" s="40"/>
      <c r="Q111" s="40"/>
      <c r="R111" s="40"/>
      <c r="S111" s="40"/>
      <c r="T111" s="40"/>
      <c r="U111" s="40"/>
    </row>
    <row r="113" spans="1:21" x14ac:dyDescent="0.55000000000000004">
      <c r="A113" s="21" t="s">
        <v>152</v>
      </c>
      <c r="B113" s="41" t="s">
        <v>8</v>
      </c>
      <c r="C113" s="41" t="s">
        <v>9</v>
      </c>
      <c r="D113" s="41"/>
      <c r="E113" s="41">
        <v>2000</v>
      </c>
      <c r="F113" s="41">
        <v>2001</v>
      </c>
      <c r="G113" s="41">
        <v>2002</v>
      </c>
      <c r="H113" s="41">
        <v>2003</v>
      </c>
      <c r="I113" s="41">
        <v>2004</v>
      </c>
      <c r="J113" s="41">
        <v>2005</v>
      </c>
      <c r="K113" s="41">
        <v>2006</v>
      </c>
      <c r="L113" s="41">
        <v>2007</v>
      </c>
      <c r="M113" s="41">
        <v>2008</v>
      </c>
      <c r="N113" s="41">
        <v>2009</v>
      </c>
      <c r="O113" s="41">
        <v>2010</v>
      </c>
      <c r="P113" s="41">
        <v>2011</v>
      </c>
      <c r="Q113" s="41">
        <v>2012</v>
      </c>
      <c r="R113" s="41">
        <v>2013</v>
      </c>
      <c r="S113" s="41">
        <v>2014</v>
      </c>
      <c r="T113" s="41">
        <v>2015</v>
      </c>
      <c r="U113" s="41">
        <v>2016</v>
      </c>
    </row>
    <row r="114" spans="1:21" x14ac:dyDescent="0.55000000000000004">
      <c r="A114" s="41" t="str">
        <f>'Population Definitions'!$A$2</f>
        <v>Gen 0-4</v>
      </c>
      <c r="B114" s="41" t="s">
        <v>10</v>
      </c>
      <c r="C114" s="40" t="str">
        <f t="shared" ref="C114:C125" si="8">IF(SUMPRODUCT(--(E114:U114&lt;&gt;""))=0,0.17,"N.A.")</f>
        <v>N.A.</v>
      </c>
      <c r="D114" s="41" t="s">
        <v>16</v>
      </c>
      <c r="E114" s="40"/>
      <c r="F114" s="40"/>
      <c r="G114" s="40"/>
      <c r="H114" s="40"/>
      <c r="I114" s="40"/>
      <c r="J114" s="40"/>
      <c r="K114" s="40"/>
      <c r="L114" s="40"/>
      <c r="M114" s="40"/>
      <c r="N114" s="40"/>
      <c r="O114" s="40">
        <v>0.14285714285714285</v>
      </c>
      <c r="P114" s="40"/>
      <c r="Q114" s="40"/>
      <c r="R114" s="40"/>
      <c r="S114" s="40"/>
      <c r="T114" s="40"/>
      <c r="U114" s="40"/>
    </row>
    <row r="115" spans="1:21" x14ac:dyDescent="0.55000000000000004">
      <c r="A115" s="41" t="str">
        <f>'Population Definitions'!$A$3</f>
        <v>Gen 5-14</v>
      </c>
      <c r="B115" s="41" t="s">
        <v>10</v>
      </c>
      <c r="C115" s="40" t="str">
        <f t="shared" si="8"/>
        <v>N.A.</v>
      </c>
      <c r="D115" s="41" t="s">
        <v>16</v>
      </c>
      <c r="E115" s="40"/>
      <c r="F115" s="40"/>
      <c r="G115" s="40"/>
      <c r="H115" s="40"/>
      <c r="I115" s="40"/>
      <c r="J115" s="40"/>
      <c r="K115" s="40"/>
      <c r="L115" s="40"/>
      <c r="M115" s="40"/>
      <c r="N115" s="40"/>
      <c r="O115" s="40">
        <v>0.25</v>
      </c>
      <c r="P115" s="40"/>
      <c r="Q115" s="40">
        <v>0.21428571428571427</v>
      </c>
      <c r="R115" s="40"/>
      <c r="S115" s="40">
        <v>0.2</v>
      </c>
      <c r="T115" s="40"/>
      <c r="U115" s="40"/>
    </row>
    <row r="116" spans="1:21" x14ac:dyDescent="0.55000000000000004">
      <c r="A116" s="41" t="str">
        <f>'Population Definitions'!$A$4</f>
        <v>Gen 15-64</v>
      </c>
      <c r="B116" s="41" t="s">
        <v>10</v>
      </c>
      <c r="C116" s="40" t="str">
        <f t="shared" si="8"/>
        <v>N.A.</v>
      </c>
      <c r="D116" s="41" t="s">
        <v>16</v>
      </c>
      <c r="E116" s="40"/>
      <c r="F116" s="40"/>
      <c r="G116" s="40"/>
      <c r="H116" s="40"/>
      <c r="I116" s="40"/>
      <c r="J116" s="40"/>
      <c r="K116" s="40"/>
      <c r="L116" s="40"/>
      <c r="M116" s="40"/>
      <c r="N116" s="40">
        <v>0.23305084745762711</v>
      </c>
      <c r="O116" s="40">
        <v>0.18584983498349836</v>
      </c>
      <c r="P116" s="40">
        <v>0.13733401804709855</v>
      </c>
      <c r="Q116" s="40">
        <v>0.10407413080104151</v>
      </c>
      <c r="R116" s="40">
        <v>0.10439663470553674</v>
      </c>
      <c r="S116" s="40">
        <v>9.8266447649331151E-2</v>
      </c>
      <c r="T116" s="40"/>
      <c r="U116" s="40"/>
    </row>
    <row r="117" spans="1:21" x14ac:dyDescent="0.55000000000000004">
      <c r="A117" s="41" t="str">
        <f>'Population Definitions'!$A$5</f>
        <v>Gen 65+</v>
      </c>
      <c r="B117" s="41" t="s">
        <v>10</v>
      </c>
      <c r="C117" s="40" t="str">
        <f t="shared" si="8"/>
        <v>N.A.</v>
      </c>
      <c r="D117" s="41" t="s">
        <v>16</v>
      </c>
      <c r="E117" s="40"/>
      <c r="F117" s="40"/>
      <c r="G117" s="40"/>
      <c r="H117" s="40"/>
      <c r="I117" s="40"/>
      <c r="J117" s="40"/>
      <c r="K117" s="40"/>
      <c r="L117" s="40"/>
      <c r="M117" s="40"/>
      <c r="N117" s="40"/>
      <c r="O117" s="40">
        <v>0.40389610389610386</v>
      </c>
      <c r="P117" s="40"/>
      <c r="Q117" s="40"/>
      <c r="R117" s="40"/>
      <c r="S117" s="40">
        <v>0.23333333333333331</v>
      </c>
      <c r="T117" s="40"/>
      <c r="U117" s="40"/>
    </row>
    <row r="118" spans="1:21" x14ac:dyDescent="0.55000000000000004">
      <c r="A118" s="41" t="str">
        <f>'Population Definitions'!$A$6</f>
        <v>PLHIV 15-64</v>
      </c>
      <c r="B118" s="41" t="s">
        <v>10</v>
      </c>
      <c r="C118" s="40" t="str">
        <f t="shared" si="8"/>
        <v>N.A.</v>
      </c>
      <c r="D118" s="41" t="s">
        <v>16</v>
      </c>
      <c r="E118" s="40"/>
      <c r="F118" s="40"/>
      <c r="G118" s="40"/>
      <c r="H118" s="40"/>
      <c r="I118" s="40"/>
      <c r="J118" s="40"/>
      <c r="K118" s="40"/>
      <c r="L118" s="40"/>
      <c r="M118" s="40"/>
      <c r="N118" s="40">
        <v>0.24202898550724639</v>
      </c>
      <c r="O118" s="40">
        <v>0.22193883064951903</v>
      </c>
      <c r="P118" s="40">
        <v>0.21117817052312896</v>
      </c>
      <c r="Q118" s="40">
        <v>0.1941584094294411</v>
      </c>
      <c r="R118" s="40">
        <v>0.24728171052083919</v>
      </c>
      <c r="S118" s="40">
        <v>0.19567066279869047</v>
      </c>
      <c r="T118" s="40"/>
      <c r="U118" s="40"/>
    </row>
    <row r="119" spans="1:21" x14ac:dyDescent="0.55000000000000004">
      <c r="A119" s="41" t="str">
        <f>'Population Definitions'!$A$7</f>
        <v>PLHIV 65+</v>
      </c>
      <c r="B119" s="41" t="s">
        <v>10</v>
      </c>
      <c r="C119" s="40" t="str">
        <f t="shared" si="8"/>
        <v>N.A.</v>
      </c>
      <c r="D119" s="41" t="s">
        <v>16</v>
      </c>
      <c r="E119" s="40"/>
      <c r="F119" s="40"/>
      <c r="G119" s="40"/>
      <c r="H119" s="40"/>
      <c r="I119" s="40"/>
      <c r="J119" s="40"/>
      <c r="K119" s="40"/>
      <c r="L119" s="40"/>
      <c r="M119" s="40"/>
      <c r="N119" s="40"/>
      <c r="O119" s="40">
        <v>0.74794069192751234</v>
      </c>
      <c r="P119" s="40">
        <v>0.5</v>
      </c>
      <c r="Q119" s="40"/>
      <c r="R119" s="40"/>
      <c r="S119" s="40">
        <v>0.33333333333333331</v>
      </c>
      <c r="T119" s="40"/>
      <c r="U119" s="40"/>
    </row>
    <row r="120" spans="1:21" x14ac:dyDescent="0.55000000000000004">
      <c r="A120" s="41" t="str">
        <f>'Population Definitions'!$A$8</f>
        <v>Prisoners</v>
      </c>
      <c r="B120" s="41" t="s">
        <v>10</v>
      </c>
      <c r="C120" s="40">
        <f t="shared" si="8"/>
        <v>0.17</v>
      </c>
      <c r="D120" s="41" t="s">
        <v>16</v>
      </c>
      <c r="E120" s="40"/>
      <c r="F120" s="40"/>
      <c r="G120" s="40"/>
      <c r="H120" s="40"/>
      <c r="I120" s="40"/>
      <c r="J120" s="40"/>
      <c r="K120" s="40"/>
      <c r="L120" s="40"/>
      <c r="M120" s="40"/>
      <c r="N120" s="40"/>
      <c r="O120" s="40"/>
      <c r="P120" s="40"/>
      <c r="Q120" s="40"/>
      <c r="R120" s="40"/>
      <c r="S120" s="40"/>
      <c r="T120" s="40"/>
      <c r="U120" s="40"/>
    </row>
    <row r="121" spans="1:21" x14ac:dyDescent="0.55000000000000004">
      <c r="A121" s="41" t="str">
        <f>'Population Definitions'!$A$9</f>
        <v>PLHIV Prisoners</v>
      </c>
      <c r="B121" s="41" t="s">
        <v>10</v>
      </c>
      <c r="C121" s="40">
        <f t="shared" si="8"/>
        <v>0.17</v>
      </c>
      <c r="D121" s="41" t="s">
        <v>16</v>
      </c>
      <c r="E121" s="40"/>
      <c r="F121" s="40"/>
      <c r="G121" s="40"/>
      <c r="H121" s="40"/>
      <c r="I121" s="40"/>
      <c r="J121" s="40"/>
      <c r="K121" s="40"/>
      <c r="L121" s="40"/>
      <c r="M121" s="40"/>
      <c r="N121" s="40"/>
      <c r="O121" s="40"/>
      <c r="P121" s="40"/>
      <c r="Q121" s="40"/>
      <c r="R121" s="40"/>
      <c r="S121" s="40"/>
      <c r="T121" s="40"/>
      <c r="U121" s="40"/>
    </row>
    <row r="122" spans="1:21" x14ac:dyDescent="0.55000000000000004">
      <c r="A122" s="41" t="str">
        <f>'Population Definitions'!$A$10</f>
        <v>HCW</v>
      </c>
      <c r="B122" s="41" t="s">
        <v>10</v>
      </c>
      <c r="C122" s="40">
        <f t="shared" si="8"/>
        <v>0.17</v>
      </c>
      <c r="D122" s="41" t="s">
        <v>16</v>
      </c>
      <c r="E122" s="40"/>
      <c r="F122" s="40"/>
      <c r="G122" s="40"/>
      <c r="H122" s="40"/>
      <c r="I122" s="40"/>
      <c r="J122" s="40"/>
      <c r="K122" s="40"/>
      <c r="L122" s="40"/>
      <c r="M122" s="40"/>
      <c r="N122" s="40"/>
      <c r="O122" s="40"/>
      <c r="P122" s="40"/>
      <c r="Q122" s="40"/>
      <c r="R122" s="40"/>
      <c r="S122" s="40"/>
      <c r="T122" s="40"/>
      <c r="U122" s="40"/>
    </row>
    <row r="123" spans="1:21" x14ac:dyDescent="0.55000000000000004">
      <c r="A123" s="41" t="str">
        <f>'Population Definitions'!$A$11</f>
        <v>PLHIV HCW</v>
      </c>
      <c r="B123" s="41" t="s">
        <v>10</v>
      </c>
      <c r="C123" s="40">
        <f t="shared" si="8"/>
        <v>0.17</v>
      </c>
      <c r="D123" s="41" t="s">
        <v>16</v>
      </c>
      <c r="E123" s="40"/>
      <c r="F123" s="40"/>
      <c r="G123" s="40"/>
      <c r="H123" s="40"/>
      <c r="I123" s="40"/>
      <c r="J123" s="40"/>
      <c r="K123" s="40"/>
      <c r="L123" s="40"/>
      <c r="M123" s="40"/>
      <c r="N123" s="40"/>
      <c r="O123" s="40"/>
      <c r="P123" s="40"/>
      <c r="Q123" s="40"/>
      <c r="R123" s="40"/>
      <c r="S123" s="40"/>
      <c r="T123" s="40"/>
      <c r="U123" s="40"/>
    </row>
    <row r="124" spans="1:21" x14ac:dyDescent="0.55000000000000004">
      <c r="A124" s="41" t="str">
        <f>'Population Definitions'!$A$12</f>
        <v>Miners</v>
      </c>
      <c r="B124" s="41" t="s">
        <v>10</v>
      </c>
      <c r="C124" s="40">
        <f t="shared" si="8"/>
        <v>0.17</v>
      </c>
      <c r="D124" s="41" t="s">
        <v>16</v>
      </c>
      <c r="E124" s="40"/>
      <c r="F124" s="40"/>
      <c r="G124" s="40"/>
      <c r="H124" s="40"/>
      <c r="I124" s="40"/>
      <c r="J124" s="40"/>
      <c r="K124" s="40"/>
      <c r="L124" s="40"/>
      <c r="M124" s="40"/>
      <c r="N124" s="40"/>
      <c r="O124" s="40"/>
      <c r="P124" s="40"/>
      <c r="Q124" s="40"/>
      <c r="R124" s="40"/>
      <c r="S124" s="40"/>
      <c r="T124" s="40"/>
      <c r="U124" s="40"/>
    </row>
    <row r="125" spans="1:21" x14ac:dyDescent="0.55000000000000004">
      <c r="A125" s="41" t="str">
        <f>'Population Definitions'!$A$13</f>
        <v>PLHIV Miners</v>
      </c>
      <c r="B125" s="41" t="s">
        <v>10</v>
      </c>
      <c r="C125" s="40">
        <f t="shared" si="8"/>
        <v>0.17</v>
      </c>
      <c r="D125" s="41" t="s">
        <v>16</v>
      </c>
      <c r="E125" s="40"/>
      <c r="F125" s="40"/>
      <c r="G125" s="40"/>
      <c r="H125" s="40"/>
      <c r="I125" s="40"/>
      <c r="J125" s="40"/>
      <c r="K125" s="40"/>
      <c r="L125" s="40"/>
      <c r="M125" s="40"/>
      <c r="N125" s="40"/>
      <c r="O125" s="40"/>
      <c r="P125" s="40"/>
      <c r="Q125" s="40"/>
      <c r="R125" s="40"/>
      <c r="S125" s="40"/>
      <c r="T125" s="40"/>
      <c r="U125" s="40"/>
    </row>
    <row r="127" spans="1:21" x14ac:dyDescent="0.55000000000000004">
      <c r="A127" s="21" t="s">
        <v>153</v>
      </c>
      <c r="B127" s="41" t="s">
        <v>8</v>
      </c>
      <c r="C127" s="41" t="s">
        <v>9</v>
      </c>
      <c r="D127" s="41"/>
      <c r="E127" s="41">
        <v>2000</v>
      </c>
      <c r="F127" s="41">
        <v>2001</v>
      </c>
      <c r="G127" s="41">
        <v>2002</v>
      </c>
      <c r="H127" s="41">
        <v>2003</v>
      </c>
      <c r="I127" s="41">
        <v>2004</v>
      </c>
      <c r="J127" s="41">
        <v>2005</v>
      </c>
      <c r="K127" s="41">
        <v>2006</v>
      </c>
      <c r="L127" s="41">
        <v>2007</v>
      </c>
      <c r="M127" s="41">
        <v>2008</v>
      </c>
      <c r="N127" s="41">
        <v>2009</v>
      </c>
      <c r="O127" s="41">
        <v>2010</v>
      </c>
      <c r="P127" s="41">
        <v>2011</v>
      </c>
      <c r="Q127" s="41">
        <v>2012</v>
      </c>
      <c r="R127" s="41">
        <v>2013</v>
      </c>
      <c r="S127" s="41">
        <v>2014</v>
      </c>
      <c r="T127" s="41">
        <v>2015</v>
      </c>
      <c r="U127" s="41">
        <v>2016</v>
      </c>
    </row>
    <row r="128" spans="1:21" x14ac:dyDescent="0.55000000000000004">
      <c r="A128" s="41" t="str">
        <f>'Population Definitions'!$A$2</f>
        <v>Gen 0-4</v>
      </c>
      <c r="B128" s="41" t="s">
        <v>10</v>
      </c>
      <c r="C128" s="40" t="str">
        <f t="shared" ref="C128:C139" si="9">IF(SUMPRODUCT(--(E128:U128&lt;&gt;""))=0,0.17,"N.A.")</f>
        <v>N.A.</v>
      </c>
      <c r="D128" s="41" t="s">
        <v>16</v>
      </c>
      <c r="E128" s="40"/>
      <c r="F128" s="40"/>
      <c r="G128" s="40"/>
      <c r="H128" s="40"/>
      <c r="I128" s="40"/>
      <c r="J128" s="40"/>
      <c r="K128" s="40"/>
      <c r="L128" s="40"/>
      <c r="M128" s="40"/>
      <c r="N128" s="40"/>
      <c r="O128" s="40">
        <v>0.14285714285714285</v>
      </c>
      <c r="P128" s="40"/>
      <c r="Q128" s="40"/>
      <c r="R128" s="40"/>
      <c r="S128" s="40"/>
      <c r="T128" s="40"/>
      <c r="U128" s="40"/>
    </row>
    <row r="129" spans="1:21" x14ac:dyDescent="0.55000000000000004">
      <c r="A129" s="41" t="str">
        <f>'Population Definitions'!$A$3</f>
        <v>Gen 5-14</v>
      </c>
      <c r="B129" s="41" t="s">
        <v>10</v>
      </c>
      <c r="C129" s="40" t="str">
        <f t="shared" si="9"/>
        <v>N.A.</v>
      </c>
      <c r="D129" s="41" t="s">
        <v>16</v>
      </c>
      <c r="E129" s="40"/>
      <c r="F129" s="40"/>
      <c r="G129" s="40"/>
      <c r="H129" s="40"/>
      <c r="I129" s="40"/>
      <c r="J129" s="40"/>
      <c r="K129" s="40"/>
      <c r="L129" s="40"/>
      <c r="M129" s="40"/>
      <c r="N129" s="40"/>
      <c r="O129" s="40">
        <v>0.25</v>
      </c>
      <c r="P129" s="40"/>
      <c r="Q129" s="40">
        <v>0.21428571428571427</v>
      </c>
      <c r="R129" s="40"/>
      <c r="S129" s="40">
        <v>0.2</v>
      </c>
      <c r="T129" s="40"/>
      <c r="U129" s="40"/>
    </row>
    <row r="130" spans="1:21" x14ac:dyDescent="0.55000000000000004">
      <c r="A130" s="41" t="str">
        <f>'Population Definitions'!$A$4</f>
        <v>Gen 15-64</v>
      </c>
      <c r="B130" s="41" t="s">
        <v>10</v>
      </c>
      <c r="C130" s="40" t="str">
        <f t="shared" si="9"/>
        <v>N.A.</v>
      </c>
      <c r="D130" s="41" t="s">
        <v>16</v>
      </c>
      <c r="E130" s="40"/>
      <c r="F130" s="40"/>
      <c r="G130" s="40"/>
      <c r="H130" s="40"/>
      <c r="I130" s="40"/>
      <c r="J130" s="40"/>
      <c r="K130" s="40"/>
      <c r="L130" s="40"/>
      <c r="M130" s="40"/>
      <c r="N130" s="40">
        <v>0.23305084745762711</v>
      </c>
      <c r="O130" s="40">
        <v>0.18584983498349836</v>
      </c>
      <c r="P130" s="40">
        <v>0.13733401804709855</v>
      </c>
      <c r="Q130" s="40">
        <v>0.10407413080104151</v>
      </c>
      <c r="R130" s="40">
        <v>0.10439663470553674</v>
      </c>
      <c r="S130" s="40">
        <v>9.8266447649331151E-2</v>
      </c>
      <c r="T130" s="40"/>
      <c r="U130" s="40"/>
    </row>
    <row r="131" spans="1:21" x14ac:dyDescent="0.55000000000000004">
      <c r="A131" s="41" t="str">
        <f>'Population Definitions'!$A$5</f>
        <v>Gen 65+</v>
      </c>
      <c r="B131" s="41" t="s">
        <v>10</v>
      </c>
      <c r="C131" s="40" t="str">
        <f t="shared" si="9"/>
        <v>N.A.</v>
      </c>
      <c r="D131" s="41" t="s">
        <v>16</v>
      </c>
      <c r="E131" s="40"/>
      <c r="F131" s="40"/>
      <c r="G131" s="40"/>
      <c r="H131" s="40"/>
      <c r="I131" s="40"/>
      <c r="J131" s="40"/>
      <c r="K131" s="40"/>
      <c r="L131" s="40"/>
      <c r="M131" s="40"/>
      <c r="N131" s="40"/>
      <c r="O131" s="40">
        <v>0.40389610389610386</v>
      </c>
      <c r="P131" s="40"/>
      <c r="Q131" s="40"/>
      <c r="R131" s="40"/>
      <c r="S131" s="40">
        <v>0.23333333333333331</v>
      </c>
      <c r="T131" s="40"/>
      <c r="U131" s="40"/>
    </row>
    <row r="132" spans="1:21" x14ac:dyDescent="0.55000000000000004">
      <c r="A132" s="41" t="str">
        <f>'Population Definitions'!$A$6</f>
        <v>PLHIV 15-64</v>
      </c>
      <c r="B132" s="41" t="s">
        <v>10</v>
      </c>
      <c r="C132" s="40" t="str">
        <f t="shared" si="9"/>
        <v>N.A.</v>
      </c>
      <c r="D132" s="41" t="s">
        <v>16</v>
      </c>
      <c r="E132" s="40"/>
      <c r="F132" s="40"/>
      <c r="G132" s="40"/>
      <c r="H132" s="40"/>
      <c r="I132" s="40"/>
      <c r="J132" s="40"/>
      <c r="K132" s="40"/>
      <c r="L132" s="40"/>
      <c r="M132" s="40"/>
      <c r="N132" s="40">
        <v>0.24202898550724639</v>
      </c>
      <c r="O132" s="40">
        <v>0.22193883064951903</v>
      </c>
      <c r="P132" s="40">
        <v>0.21117817052312896</v>
      </c>
      <c r="Q132" s="40">
        <v>0.1941584094294411</v>
      </c>
      <c r="R132" s="40">
        <v>0.24728171052083919</v>
      </c>
      <c r="S132" s="40">
        <v>0.19567066279869047</v>
      </c>
      <c r="T132" s="40"/>
      <c r="U132" s="40"/>
    </row>
    <row r="133" spans="1:21" x14ac:dyDescent="0.55000000000000004">
      <c r="A133" s="41" t="str">
        <f>'Population Definitions'!$A$7</f>
        <v>PLHIV 65+</v>
      </c>
      <c r="B133" s="41" t="s">
        <v>10</v>
      </c>
      <c r="C133" s="40" t="str">
        <f t="shared" si="9"/>
        <v>N.A.</v>
      </c>
      <c r="D133" s="41" t="s">
        <v>16</v>
      </c>
      <c r="E133" s="40"/>
      <c r="F133" s="40"/>
      <c r="G133" s="40"/>
      <c r="H133" s="40"/>
      <c r="I133" s="40"/>
      <c r="J133" s="40"/>
      <c r="K133" s="40"/>
      <c r="L133" s="40"/>
      <c r="M133" s="40"/>
      <c r="N133" s="40"/>
      <c r="O133" s="40">
        <v>0.74794069192751234</v>
      </c>
      <c r="P133" s="40">
        <v>0.5</v>
      </c>
      <c r="Q133" s="40"/>
      <c r="R133" s="40"/>
      <c r="S133" s="40">
        <v>0.33333333333333331</v>
      </c>
      <c r="T133" s="40"/>
      <c r="U133" s="40"/>
    </row>
    <row r="134" spans="1:21" x14ac:dyDescent="0.55000000000000004">
      <c r="A134" s="41" t="str">
        <f>'Population Definitions'!$A$8</f>
        <v>Prisoners</v>
      </c>
      <c r="B134" s="41" t="s">
        <v>10</v>
      </c>
      <c r="C134" s="40">
        <f t="shared" si="9"/>
        <v>0.17</v>
      </c>
      <c r="D134" s="41" t="s">
        <v>16</v>
      </c>
      <c r="E134" s="40"/>
      <c r="F134" s="40"/>
      <c r="G134" s="40"/>
      <c r="H134" s="40"/>
      <c r="I134" s="40"/>
      <c r="J134" s="40"/>
      <c r="K134" s="40"/>
      <c r="L134" s="40"/>
      <c r="M134" s="40"/>
      <c r="N134" s="40"/>
      <c r="O134" s="40"/>
      <c r="P134" s="40"/>
      <c r="Q134" s="40"/>
      <c r="R134" s="40"/>
      <c r="S134" s="40"/>
      <c r="T134" s="40"/>
      <c r="U134" s="40"/>
    </row>
    <row r="135" spans="1:21" x14ac:dyDescent="0.55000000000000004">
      <c r="A135" s="41" t="str">
        <f>'Population Definitions'!$A$9</f>
        <v>PLHIV Prisoners</v>
      </c>
      <c r="B135" s="41" t="s">
        <v>10</v>
      </c>
      <c r="C135" s="40">
        <f t="shared" si="9"/>
        <v>0.17</v>
      </c>
      <c r="D135" s="41" t="s">
        <v>16</v>
      </c>
      <c r="E135" s="40"/>
      <c r="F135" s="40"/>
      <c r="G135" s="40"/>
      <c r="H135" s="40"/>
      <c r="I135" s="40"/>
      <c r="J135" s="40"/>
      <c r="K135" s="40"/>
      <c r="L135" s="40"/>
      <c r="M135" s="40"/>
      <c r="N135" s="40"/>
      <c r="O135" s="40"/>
      <c r="P135" s="40"/>
      <c r="Q135" s="40"/>
      <c r="R135" s="40"/>
      <c r="S135" s="40"/>
      <c r="T135" s="40"/>
      <c r="U135" s="40"/>
    </row>
    <row r="136" spans="1:21" x14ac:dyDescent="0.55000000000000004">
      <c r="A136" s="41" t="str">
        <f>'Population Definitions'!$A$10</f>
        <v>HCW</v>
      </c>
      <c r="B136" s="41" t="s">
        <v>10</v>
      </c>
      <c r="C136" s="40">
        <f t="shared" si="9"/>
        <v>0.17</v>
      </c>
      <c r="D136" s="41" t="s">
        <v>16</v>
      </c>
      <c r="E136" s="40"/>
      <c r="F136" s="40"/>
      <c r="G136" s="40"/>
      <c r="H136" s="40"/>
      <c r="I136" s="40"/>
      <c r="J136" s="40"/>
      <c r="K136" s="40"/>
      <c r="L136" s="40"/>
      <c r="M136" s="40"/>
      <c r="N136" s="40"/>
      <c r="O136" s="40"/>
      <c r="P136" s="40"/>
      <c r="Q136" s="40"/>
      <c r="R136" s="40"/>
      <c r="S136" s="40"/>
      <c r="T136" s="40"/>
      <c r="U136" s="40"/>
    </row>
    <row r="137" spans="1:21" x14ac:dyDescent="0.55000000000000004">
      <c r="A137" s="41" t="str">
        <f>'Population Definitions'!$A$11</f>
        <v>PLHIV HCW</v>
      </c>
      <c r="B137" s="41" t="s">
        <v>10</v>
      </c>
      <c r="C137" s="40">
        <f t="shared" si="9"/>
        <v>0.17</v>
      </c>
      <c r="D137" s="41" t="s">
        <v>16</v>
      </c>
      <c r="E137" s="40"/>
      <c r="F137" s="40"/>
      <c r="G137" s="40"/>
      <c r="H137" s="40"/>
      <c r="I137" s="40"/>
      <c r="J137" s="40"/>
      <c r="K137" s="40"/>
      <c r="L137" s="40"/>
      <c r="M137" s="40"/>
      <c r="N137" s="40"/>
      <c r="O137" s="40"/>
      <c r="P137" s="40"/>
      <c r="Q137" s="40"/>
      <c r="R137" s="40"/>
      <c r="S137" s="40"/>
      <c r="T137" s="40"/>
      <c r="U137" s="40"/>
    </row>
    <row r="138" spans="1:21" x14ac:dyDescent="0.55000000000000004">
      <c r="A138" s="41" t="str">
        <f>'Population Definitions'!$A$12</f>
        <v>Miners</v>
      </c>
      <c r="B138" s="41" t="s">
        <v>10</v>
      </c>
      <c r="C138" s="40">
        <f t="shared" si="9"/>
        <v>0.17</v>
      </c>
      <c r="D138" s="41" t="s">
        <v>16</v>
      </c>
      <c r="E138" s="40"/>
      <c r="F138" s="40"/>
      <c r="G138" s="40"/>
      <c r="H138" s="40"/>
      <c r="I138" s="40"/>
      <c r="J138" s="40"/>
      <c r="K138" s="40"/>
      <c r="L138" s="40"/>
      <c r="M138" s="40"/>
      <c r="N138" s="40"/>
      <c r="O138" s="40"/>
      <c r="P138" s="40"/>
      <c r="Q138" s="40"/>
      <c r="R138" s="40"/>
      <c r="S138" s="40"/>
      <c r="T138" s="40"/>
      <c r="U138" s="40"/>
    </row>
    <row r="139" spans="1:21" x14ac:dyDescent="0.55000000000000004">
      <c r="A139" s="41" t="str">
        <f>'Population Definitions'!$A$13</f>
        <v>PLHIV Miners</v>
      </c>
      <c r="B139" s="41" t="s">
        <v>10</v>
      </c>
      <c r="C139" s="40">
        <f t="shared" si="9"/>
        <v>0.17</v>
      </c>
      <c r="D139" s="41" t="s">
        <v>16</v>
      </c>
      <c r="E139" s="40"/>
      <c r="F139" s="40"/>
      <c r="G139" s="40"/>
      <c r="H139" s="40"/>
      <c r="I139" s="40"/>
      <c r="J139" s="40"/>
      <c r="K139" s="40"/>
      <c r="L139" s="40"/>
      <c r="M139" s="40"/>
      <c r="N139" s="40"/>
      <c r="O139" s="40"/>
      <c r="P139" s="40"/>
      <c r="Q139" s="40"/>
      <c r="R139" s="40"/>
      <c r="S139" s="40"/>
      <c r="T139" s="40"/>
      <c r="U139" s="40"/>
    </row>
    <row r="141" spans="1:21" x14ac:dyDescent="0.55000000000000004">
      <c r="A141" s="21" t="s">
        <v>154</v>
      </c>
      <c r="B141" s="41" t="s">
        <v>8</v>
      </c>
      <c r="C141" s="41" t="s">
        <v>9</v>
      </c>
      <c r="D141" s="41"/>
      <c r="E141" s="41">
        <v>2000</v>
      </c>
      <c r="F141" s="41">
        <v>2001</v>
      </c>
      <c r="G141" s="41">
        <v>2002</v>
      </c>
      <c r="H141" s="41">
        <v>2003</v>
      </c>
      <c r="I141" s="41">
        <v>2004</v>
      </c>
      <c r="J141" s="41">
        <v>2005</v>
      </c>
      <c r="K141" s="41">
        <v>2006</v>
      </c>
      <c r="L141" s="41">
        <v>2007</v>
      </c>
      <c r="M141" s="41">
        <v>2008</v>
      </c>
      <c r="N141" s="41">
        <v>2009</v>
      </c>
      <c r="O141" s="41">
        <v>2010</v>
      </c>
      <c r="P141" s="41">
        <v>2011</v>
      </c>
      <c r="Q141" s="41">
        <v>2012</v>
      </c>
      <c r="R141" s="41">
        <v>2013</v>
      </c>
      <c r="S141" s="41">
        <v>2014</v>
      </c>
      <c r="T141" s="41">
        <v>2015</v>
      </c>
      <c r="U141" s="41">
        <v>2016</v>
      </c>
    </row>
    <row r="142" spans="1:21" x14ac:dyDescent="0.55000000000000004">
      <c r="A142" s="41" t="str">
        <f>'Population Definitions'!$A$2</f>
        <v>Gen 0-4</v>
      </c>
      <c r="B142" s="41" t="s">
        <v>10</v>
      </c>
      <c r="C142" s="40">
        <f t="shared" ref="C142:C153" si="10">IF(SUMPRODUCT(--(E142:U142&lt;&gt;""))=0,0.27,"N.A.")</f>
        <v>0.27</v>
      </c>
      <c r="D142" s="41" t="s">
        <v>16</v>
      </c>
      <c r="E142" s="40"/>
      <c r="F142" s="40"/>
      <c r="G142" s="40"/>
      <c r="H142" s="40"/>
      <c r="I142" s="40"/>
      <c r="J142" s="40"/>
      <c r="K142" s="40"/>
      <c r="L142" s="40"/>
      <c r="M142" s="40"/>
      <c r="N142" s="40"/>
      <c r="O142" s="40"/>
      <c r="P142" s="40"/>
      <c r="Q142" s="40"/>
      <c r="R142" s="40"/>
      <c r="S142" s="40"/>
      <c r="T142" s="40"/>
      <c r="U142" s="40"/>
    </row>
    <row r="143" spans="1:21" x14ac:dyDescent="0.55000000000000004">
      <c r="A143" s="41" t="str">
        <f>'Population Definitions'!$A$3</f>
        <v>Gen 5-14</v>
      </c>
      <c r="B143" s="41" t="s">
        <v>10</v>
      </c>
      <c r="C143" s="40">
        <f t="shared" si="10"/>
        <v>0.27</v>
      </c>
      <c r="D143" s="41" t="s">
        <v>16</v>
      </c>
      <c r="E143" s="40"/>
      <c r="F143" s="40"/>
      <c r="G143" s="40"/>
      <c r="H143" s="40"/>
      <c r="I143" s="40"/>
      <c r="J143" s="40"/>
      <c r="K143" s="40"/>
      <c r="L143" s="40"/>
      <c r="M143" s="40"/>
      <c r="N143" s="40"/>
      <c r="O143" s="40"/>
      <c r="P143" s="40"/>
      <c r="Q143" s="40"/>
      <c r="R143" s="40"/>
      <c r="S143" s="40"/>
      <c r="T143" s="40"/>
      <c r="U143" s="40"/>
    </row>
    <row r="144" spans="1:21" x14ac:dyDescent="0.55000000000000004">
      <c r="A144" s="41" t="str">
        <f>'Population Definitions'!$A$4</f>
        <v>Gen 15-64</v>
      </c>
      <c r="B144" s="41" t="s">
        <v>10</v>
      </c>
      <c r="C144" s="40" t="str">
        <f t="shared" si="10"/>
        <v>N.A.</v>
      </c>
      <c r="D144" s="41" t="s">
        <v>16</v>
      </c>
      <c r="E144" s="40"/>
      <c r="F144" s="40"/>
      <c r="G144" s="40"/>
      <c r="H144" s="40"/>
      <c r="I144" s="40"/>
      <c r="J144" s="40"/>
      <c r="K144" s="40"/>
      <c r="L144" s="40"/>
      <c r="M144" s="40"/>
      <c r="N144" s="40">
        <v>0.41176470588235292</v>
      </c>
      <c r="O144" s="40">
        <v>0.31975867269984914</v>
      </c>
      <c r="P144" s="40"/>
      <c r="Q144" s="40"/>
      <c r="R144" s="40"/>
      <c r="S144" s="40">
        <v>0.20909090909090908</v>
      </c>
      <c r="T144" s="40"/>
      <c r="U144" s="40"/>
    </row>
    <row r="145" spans="1:21" x14ac:dyDescent="0.55000000000000004">
      <c r="A145" s="41" t="str">
        <f>'Population Definitions'!$A$5</f>
        <v>Gen 65+</v>
      </c>
      <c r="B145" s="41" t="s">
        <v>10</v>
      </c>
      <c r="C145" s="40">
        <f t="shared" si="10"/>
        <v>0.27</v>
      </c>
      <c r="D145" s="41" t="s">
        <v>16</v>
      </c>
      <c r="E145" s="40"/>
      <c r="F145" s="40"/>
      <c r="G145" s="40"/>
      <c r="H145" s="40"/>
      <c r="I145" s="40"/>
      <c r="J145" s="40"/>
      <c r="K145" s="40"/>
      <c r="L145" s="40"/>
      <c r="M145" s="40"/>
      <c r="N145" s="40"/>
      <c r="O145" s="40"/>
      <c r="P145" s="40"/>
      <c r="Q145" s="40"/>
      <c r="R145" s="40"/>
      <c r="S145" s="40"/>
      <c r="T145" s="40"/>
      <c r="U145" s="40"/>
    </row>
    <row r="146" spans="1:21" x14ac:dyDescent="0.55000000000000004">
      <c r="A146" s="41" t="str">
        <f>'Population Definitions'!$A$6</f>
        <v>PLHIV 15-64</v>
      </c>
      <c r="B146" s="41" t="s">
        <v>10</v>
      </c>
      <c r="C146" s="40" t="str">
        <f t="shared" si="10"/>
        <v>N.A.</v>
      </c>
      <c r="D146" s="41" t="s">
        <v>16</v>
      </c>
      <c r="E146" s="40"/>
      <c r="F146" s="40"/>
      <c r="G146" s="40"/>
      <c r="H146" s="40"/>
      <c r="I146" s="40"/>
      <c r="J146" s="40"/>
      <c r="K146" s="40"/>
      <c r="L146" s="40"/>
      <c r="M146" s="40"/>
      <c r="N146" s="40">
        <v>0.39233038348082594</v>
      </c>
      <c r="O146" s="40">
        <v>0.34262125902992774</v>
      </c>
      <c r="P146" s="40"/>
      <c r="Q146" s="40">
        <v>0.33333333333333331</v>
      </c>
      <c r="R146" s="40"/>
      <c r="S146" s="40">
        <v>0.25000000000000006</v>
      </c>
      <c r="T146" s="40"/>
      <c r="U146" s="40"/>
    </row>
    <row r="147" spans="1:21" x14ac:dyDescent="0.55000000000000004">
      <c r="A147" s="41" t="str">
        <f>'Population Definitions'!$A$7</f>
        <v>PLHIV 65+</v>
      </c>
      <c r="B147" s="41" t="s">
        <v>10</v>
      </c>
      <c r="C147" s="40">
        <f t="shared" si="10"/>
        <v>0.27</v>
      </c>
      <c r="D147" s="41" t="s">
        <v>16</v>
      </c>
      <c r="E147" s="40"/>
      <c r="F147" s="40"/>
      <c r="G147" s="40"/>
      <c r="H147" s="40"/>
      <c r="I147" s="40"/>
      <c r="J147" s="40"/>
      <c r="K147" s="40"/>
      <c r="L147" s="40"/>
      <c r="M147" s="40"/>
      <c r="N147" s="40"/>
      <c r="O147" s="40"/>
      <c r="P147" s="40"/>
      <c r="Q147" s="40"/>
      <c r="R147" s="40"/>
      <c r="S147" s="40"/>
      <c r="T147" s="40"/>
      <c r="U147" s="40"/>
    </row>
    <row r="148" spans="1:21" x14ac:dyDescent="0.55000000000000004">
      <c r="A148" s="41" t="str">
        <f>'Population Definitions'!$A$8</f>
        <v>Prisoners</v>
      </c>
      <c r="B148" s="41" t="s">
        <v>10</v>
      </c>
      <c r="C148" s="40">
        <f t="shared" si="10"/>
        <v>0.27</v>
      </c>
      <c r="D148" s="41" t="s">
        <v>16</v>
      </c>
      <c r="E148" s="40"/>
      <c r="F148" s="40"/>
      <c r="G148" s="40"/>
      <c r="H148" s="40"/>
      <c r="I148" s="40"/>
      <c r="J148" s="40"/>
      <c r="K148" s="40"/>
      <c r="L148" s="40"/>
      <c r="M148" s="40"/>
      <c r="N148" s="40"/>
      <c r="O148" s="40"/>
      <c r="P148" s="40"/>
      <c r="Q148" s="40"/>
      <c r="R148" s="40"/>
      <c r="S148" s="40"/>
      <c r="T148" s="40"/>
      <c r="U148" s="40"/>
    </row>
    <row r="149" spans="1:21" x14ac:dyDescent="0.55000000000000004">
      <c r="A149" s="41" t="str">
        <f>'Population Definitions'!$A$9</f>
        <v>PLHIV Prisoners</v>
      </c>
      <c r="B149" s="41" t="s">
        <v>10</v>
      </c>
      <c r="C149" s="40">
        <f t="shared" si="10"/>
        <v>0.27</v>
      </c>
      <c r="D149" s="41" t="s">
        <v>16</v>
      </c>
      <c r="E149" s="40"/>
      <c r="F149" s="40"/>
      <c r="G149" s="40"/>
      <c r="H149" s="40"/>
      <c r="I149" s="40"/>
      <c r="J149" s="40"/>
      <c r="K149" s="40"/>
      <c r="L149" s="40"/>
      <c r="M149" s="40"/>
      <c r="N149" s="40"/>
      <c r="O149" s="40"/>
      <c r="P149" s="40"/>
      <c r="Q149" s="40"/>
      <c r="R149" s="40"/>
      <c r="S149" s="40"/>
      <c r="T149" s="40"/>
      <c r="U149" s="40"/>
    </row>
    <row r="150" spans="1:21" x14ac:dyDescent="0.55000000000000004">
      <c r="A150" s="41" t="str">
        <f>'Population Definitions'!$A$10</f>
        <v>HCW</v>
      </c>
      <c r="B150" s="41" t="s">
        <v>10</v>
      </c>
      <c r="C150" s="40">
        <f t="shared" si="10"/>
        <v>0.27</v>
      </c>
      <c r="D150" s="41" t="s">
        <v>16</v>
      </c>
      <c r="E150" s="40"/>
      <c r="F150" s="40"/>
      <c r="G150" s="40"/>
      <c r="H150" s="40"/>
      <c r="I150" s="40"/>
      <c r="J150" s="40"/>
      <c r="K150" s="40"/>
      <c r="L150" s="40"/>
      <c r="M150" s="40"/>
      <c r="N150" s="40"/>
      <c r="O150" s="40"/>
      <c r="P150" s="40"/>
      <c r="Q150" s="40"/>
      <c r="R150" s="40"/>
      <c r="S150" s="40"/>
      <c r="T150" s="40"/>
      <c r="U150" s="40"/>
    </row>
    <row r="151" spans="1:21" x14ac:dyDescent="0.55000000000000004">
      <c r="A151" s="41" t="str">
        <f>'Population Definitions'!$A$11</f>
        <v>PLHIV HCW</v>
      </c>
      <c r="B151" s="41" t="s">
        <v>10</v>
      </c>
      <c r="C151" s="40">
        <f t="shared" si="10"/>
        <v>0.27</v>
      </c>
      <c r="D151" s="41" t="s">
        <v>16</v>
      </c>
      <c r="E151" s="40"/>
      <c r="F151" s="40"/>
      <c r="G151" s="40"/>
      <c r="H151" s="40"/>
      <c r="I151" s="40"/>
      <c r="J151" s="40"/>
      <c r="K151" s="40"/>
      <c r="L151" s="40"/>
      <c r="M151" s="40"/>
      <c r="N151" s="40"/>
      <c r="O151" s="40"/>
      <c r="P151" s="40"/>
      <c r="Q151" s="40"/>
      <c r="R151" s="40"/>
      <c r="S151" s="40"/>
      <c r="T151" s="40"/>
      <c r="U151" s="40"/>
    </row>
    <row r="152" spans="1:21" x14ac:dyDescent="0.55000000000000004">
      <c r="A152" s="41" t="str">
        <f>'Population Definitions'!$A$12</f>
        <v>Miners</v>
      </c>
      <c r="B152" s="41" t="s">
        <v>10</v>
      </c>
      <c r="C152" s="40">
        <f t="shared" si="10"/>
        <v>0.27</v>
      </c>
      <c r="D152" s="41" t="s">
        <v>16</v>
      </c>
      <c r="E152" s="40"/>
      <c r="F152" s="40"/>
      <c r="G152" s="40"/>
      <c r="H152" s="40"/>
      <c r="I152" s="40"/>
      <c r="J152" s="40"/>
      <c r="K152" s="40"/>
      <c r="L152" s="40"/>
      <c r="M152" s="40"/>
      <c r="N152" s="40"/>
      <c r="O152" s="40"/>
      <c r="P152" s="40"/>
      <c r="Q152" s="40"/>
      <c r="R152" s="40"/>
      <c r="S152" s="40"/>
      <c r="T152" s="40"/>
      <c r="U152" s="40"/>
    </row>
    <row r="153" spans="1:21" x14ac:dyDescent="0.55000000000000004">
      <c r="A153" s="41" t="str">
        <f>'Population Definitions'!$A$13</f>
        <v>PLHIV Miners</v>
      </c>
      <c r="B153" s="41" t="s">
        <v>10</v>
      </c>
      <c r="C153" s="40">
        <f t="shared" si="10"/>
        <v>0.27</v>
      </c>
      <c r="D153" s="41" t="s">
        <v>16</v>
      </c>
      <c r="E153" s="40"/>
      <c r="F153" s="40"/>
      <c r="G153" s="40"/>
      <c r="H153" s="40"/>
      <c r="I153" s="40"/>
      <c r="J153" s="40"/>
      <c r="K153" s="40"/>
      <c r="L153" s="40"/>
      <c r="M153" s="40"/>
      <c r="N153" s="40"/>
      <c r="O153" s="40"/>
      <c r="P153" s="40"/>
      <c r="Q153" s="40"/>
      <c r="R153" s="40"/>
      <c r="S153" s="40"/>
      <c r="T153" s="40"/>
      <c r="U153" s="40"/>
    </row>
    <row r="155" spans="1:21" x14ac:dyDescent="0.55000000000000004">
      <c r="A155" s="21" t="s">
        <v>155</v>
      </c>
      <c r="B155" s="41" t="s">
        <v>8</v>
      </c>
      <c r="C155" s="41" t="s">
        <v>9</v>
      </c>
      <c r="D155" s="41"/>
      <c r="E155" s="41">
        <v>2000</v>
      </c>
      <c r="F155" s="41">
        <v>2001</v>
      </c>
      <c r="G155" s="41">
        <v>2002</v>
      </c>
      <c r="H155" s="41">
        <v>2003</v>
      </c>
      <c r="I155" s="41">
        <v>2004</v>
      </c>
      <c r="J155" s="41">
        <v>2005</v>
      </c>
      <c r="K155" s="41">
        <v>2006</v>
      </c>
      <c r="L155" s="41">
        <v>2007</v>
      </c>
      <c r="M155" s="41">
        <v>2008</v>
      </c>
      <c r="N155" s="41">
        <v>2009</v>
      </c>
      <c r="O155" s="41">
        <v>2010</v>
      </c>
      <c r="P155" s="41">
        <v>2011</v>
      </c>
      <c r="Q155" s="41">
        <v>2012</v>
      </c>
      <c r="R155" s="41">
        <v>2013</v>
      </c>
      <c r="S155" s="41">
        <v>2014</v>
      </c>
      <c r="T155" s="41">
        <v>2015</v>
      </c>
      <c r="U155" s="41">
        <v>2016</v>
      </c>
    </row>
    <row r="156" spans="1:21" x14ac:dyDescent="0.55000000000000004">
      <c r="A156" s="41" t="str">
        <f>'Population Definitions'!$A$2</f>
        <v>Gen 0-4</v>
      </c>
      <c r="B156" s="41" t="s">
        <v>10</v>
      </c>
      <c r="C156" s="40">
        <f t="shared" ref="C156:C167" si="11">IF(SUMPRODUCT(--(E156:U156&lt;&gt;""))=0,0.27,"N.A.")</f>
        <v>0.27</v>
      </c>
      <c r="D156" s="41" t="s">
        <v>16</v>
      </c>
      <c r="E156" s="40"/>
      <c r="F156" s="40"/>
      <c r="G156" s="40"/>
      <c r="H156" s="40"/>
      <c r="I156" s="40"/>
      <c r="J156" s="40"/>
      <c r="K156" s="40"/>
      <c r="L156" s="40"/>
      <c r="M156" s="40"/>
      <c r="N156" s="40"/>
      <c r="O156" s="40"/>
      <c r="P156" s="40"/>
      <c r="Q156" s="40"/>
      <c r="R156" s="40"/>
      <c r="S156" s="40"/>
      <c r="T156" s="40"/>
      <c r="U156" s="40"/>
    </row>
    <row r="157" spans="1:21" x14ac:dyDescent="0.55000000000000004">
      <c r="A157" s="41" t="str">
        <f>'Population Definitions'!$A$3</f>
        <v>Gen 5-14</v>
      </c>
      <c r="B157" s="41" t="s">
        <v>10</v>
      </c>
      <c r="C157" s="40">
        <f t="shared" si="11"/>
        <v>0.27</v>
      </c>
      <c r="D157" s="41" t="s">
        <v>16</v>
      </c>
      <c r="E157" s="40"/>
      <c r="F157" s="40"/>
      <c r="G157" s="40"/>
      <c r="H157" s="40"/>
      <c r="I157" s="40"/>
      <c r="J157" s="40"/>
      <c r="K157" s="40"/>
      <c r="L157" s="40"/>
      <c r="M157" s="40"/>
      <c r="N157" s="40"/>
      <c r="O157" s="40"/>
      <c r="P157" s="40"/>
      <c r="Q157" s="40"/>
      <c r="R157" s="40"/>
      <c r="S157" s="40"/>
      <c r="T157" s="40"/>
      <c r="U157" s="40"/>
    </row>
    <row r="158" spans="1:21" x14ac:dyDescent="0.55000000000000004">
      <c r="A158" s="41" t="str">
        <f>'Population Definitions'!$A$4</f>
        <v>Gen 15-64</v>
      </c>
      <c r="B158" s="41" t="s">
        <v>10</v>
      </c>
      <c r="C158" s="40" t="str">
        <f t="shared" si="11"/>
        <v>N.A.</v>
      </c>
      <c r="D158" s="41" t="s">
        <v>16</v>
      </c>
      <c r="E158" s="40"/>
      <c r="F158" s="40"/>
      <c r="G158" s="40"/>
      <c r="H158" s="40"/>
      <c r="I158" s="40"/>
      <c r="J158" s="40"/>
      <c r="K158" s="40"/>
      <c r="L158" s="40"/>
      <c r="M158" s="40"/>
      <c r="N158" s="40">
        <v>0.41176470588235292</v>
      </c>
      <c r="O158" s="40">
        <v>0.31975867269984914</v>
      </c>
      <c r="P158" s="40"/>
      <c r="Q158" s="40"/>
      <c r="R158" s="40"/>
      <c r="S158" s="40">
        <v>0.20909090909090908</v>
      </c>
      <c r="T158" s="40"/>
      <c r="U158" s="40"/>
    </row>
    <row r="159" spans="1:21" x14ac:dyDescent="0.55000000000000004">
      <c r="A159" s="41" t="str">
        <f>'Population Definitions'!$A$5</f>
        <v>Gen 65+</v>
      </c>
      <c r="B159" s="41" t="s">
        <v>10</v>
      </c>
      <c r="C159" s="40">
        <f t="shared" si="11"/>
        <v>0.27</v>
      </c>
      <c r="D159" s="41" t="s">
        <v>16</v>
      </c>
      <c r="E159" s="40"/>
      <c r="F159" s="40"/>
      <c r="G159" s="40"/>
      <c r="H159" s="40"/>
      <c r="I159" s="40"/>
      <c r="J159" s="40"/>
      <c r="K159" s="40"/>
      <c r="L159" s="40"/>
      <c r="M159" s="40"/>
      <c r="N159" s="40"/>
      <c r="O159" s="40"/>
      <c r="P159" s="40"/>
      <c r="Q159" s="40"/>
      <c r="R159" s="40"/>
      <c r="S159" s="40"/>
      <c r="T159" s="40"/>
      <c r="U159" s="40"/>
    </row>
    <row r="160" spans="1:21" x14ac:dyDescent="0.55000000000000004">
      <c r="A160" s="41" t="str">
        <f>'Population Definitions'!$A$6</f>
        <v>PLHIV 15-64</v>
      </c>
      <c r="B160" s="41" t="s">
        <v>10</v>
      </c>
      <c r="C160" s="40" t="str">
        <f t="shared" si="11"/>
        <v>N.A.</v>
      </c>
      <c r="D160" s="41" t="s">
        <v>16</v>
      </c>
      <c r="E160" s="40"/>
      <c r="F160" s="40"/>
      <c r="G160" s="40"/>
      <c r="H160" s="40"/>
      <c r="I160" s="40"/>
      <c r="J160" s="40"/>
      <c r="K160" s="40"/>
      <c r="L160" s="40"/>
      <c r="M160" s="40"/>
      <c r="N160" s="40">
        <v>0.39233038348082594</v>
      </c>
      <c r="O160" s="40">
        <v>0.34262125902992774</v>
      </c>
      <c r="P160" s="40"/>
      <c r="Q160" s="40">
        <v>0.33333333333333331</v>
      </c>
      <c r="R160" s="40"/>
      <c r="S160" s="40">
        <v>0.25000000000000006</v>
      </c>
      <c r="T160" s="40"/>
      <c r="U160" s="40"/>
    </row>
    <row r="161" spans="1:21" x14ac:dyDescent="0.55000000000000004">
      <c r="A161" s="41" t="str">
        <f>'Population Definitions'!$A$7</f>
        <v>PLHIV 65+</v>
      </c>
      <c r="B161" s="41" t="s">
        <v>10</v>
      </c>
      <c r="C161" s="40">
        <f t="shared" si="11"/>
        <v>0.27</v>
      </c>
      <c r="D161" s="41" t="s">
        <v>16</v>
      </c>
      <c r="E161" s="40"/>
      <c r="F161" s="40"/>
      <c r="G161" s="40"/>
      <c r="H161" s="40"/>
      <c r="I161" s="40"/>
      <c r="J161" s="40"/>
      <c r="K161" s="40"/>
      <c r="L161" s="40"/>
      <c r="M161" s="40"/>
      <c r="N161" s="40"/>
      <c r="O161" s="40"/>
      <c r="P161" s="40"/>
      <c r="Q161" s="40"/>
      <c r="R161" s="40"/>
      <c r="S161" s="40"/>
      <c r="T161" s="40"/>
      <c r="U161" s="40"/>
    </row>
    <row r="162" spans="1:21" x14ac:dyDescent="0.55000000000000004">
      <c r="A162" s="41" t="str">
        <f>'Population Definitions'!$A$8</f>
        <v>Prisoners</v>
      </c>
      <c r="B162" s="41" t="s">
        <v>10</v>
      </c>
      <c r="C162" s="40">
        <f t="shared" si="11"/>
        <v>0.27</v>
      </c>
      <c r="D162" s="41" t="s">
        <v>16</v>
      </c>
      <c r="E162" s="40"/>
      <c r="F162" s="40"/>
      <c r="G162" s="40"/>
      <c r="H162" s="40"/>
      <c r="I162" s="40"/>
      <c r="J162" s="40"/>
      <c r="K162" s="40"/>
      <c r="L162" s="40"/>
      <c r="M162" s="40"/>
      <c r="N162" s="40"/>
      <c r="O162" s="40"/>
      <c r="P162" s="40"/>
      <c r="Q162" s="40"/>
      <c r="R162" s="40"/>
      <c r="S162" s="40"/>
      <c r="T162" s="40"/>
      <c r="U162" s="40"/>
    </row>
    <row r="163" spans="1:21" x14ac:dyDescent="0.55000000000000004">
      <c r="A163" s="41" t="str">
        <f>'Population Definitions'!$A$9</f>
        <v>PLHIV Prisoners</v>
      </c>
      <c r="B163" s="41" t="s">
        <v>10</v>
      </c>
      <c r="C163" s="40">
        <f t="shared" si="11"/>
        <v>0.27</v>
      </c>
      <c r="D163" s="41" t="s">
        <v>16</v>
      </c>
      <c r="E163" s="40"/>
      <c r="F163" s="40"/>
      <c r="G163" s="40"/>
      <c r="H163" s="40"/>
      <c r="I163" s="40"/>
      <c r="J163" s="40"/>
      <c r="K163" s="40"/>
      <c r="L163" s="40"/>
      <c r="M163" s="40"/>
      <c r="N163" s="40"/>
      <c r="O163" s="40"/>
      <c r="P163" s="40"/>
      <c r="Q163" s="40"/>
      <c r="R163" s="40"/>
      <c r="S163" s="40"/>
      <c r="T163" s="40"/>
      <c r="U163" s="40"/>
    </row>
    <row r="164" spans="1:21" x14ac:dyDescent="0.55000000000000004">
      <c r="A164" s="41" t="str">
        <f>'Population Definitions'!$A$10</f>
        <v>HCW</v>
      </c>
      <c r="B164" s="41" t="s">
        <v>10</v>
      </c>
      <c r="C164" s="40">
        <f t="shared" si="11"/>
        <v>0.27</v>
      </c>
      <c r="D164" s="41" t="s">
        <v>16</v>
      </c>
      <c r="E164" s="40"/>
      <c r="F164" s="40"/>
      <c r="G164" s="40"/>
      <c r="H164" s="40"/>
      <c r="I164" s="40"/>
      <c r="J164" s="40"/>
      <c r="K164" s="40"/>
      <c r="L164" s="40"/>
      <c r="M164" s="40"/>
      <c r="N164" s="40"/>
      <c r="O164" s="40"/>
      <c r="P164" s="40"/>
      <c r="Q164" s="40"/>
      <c r="R164" s="40"/>
      <c r="S164" s="40"/>
      <c r="T164" s="40"/>
      <c r="U164" s="40"/>
    </row>
    <row r="165" spans="1:21" x14ac:dyDescent="0.55000000000000004">
      <c r="A165" s="41" t="str">
        <f>'Population Definitions'!$A$11</f>
        <v>PLHIV HCW</v>
      </c>
      <c r="B165" s="41" t="s">
        <v>10</v>
      </c>
      <c r="C165" s="40">
        <f t="shared" si="11"/>
        <v>0.27</v>
      </c>
      <c r="D165" s="41" t="s">
        <v>16</v>
      </c>
      <c r="E165" s="40"/>
      <c r="F165" s="40"/>
      <c r="G165" s="40"/>
      <c r="H165" s="40"/>
      <c r="I165" s="40"/>
      <c r="J165" s="40"/>
      <c r="K165" s="40"/>
      <c r="L165" s="40"/>
      <c r="M165" s="40"/>
      <c r="N165" s="40"/>
      <c r="O165" s="40"/>
      <c r="P165" s="40"/>
      <c r="Q165" s="40"/>
      <c r="R165" s="40"/>
      <c r="S165" s="40"/>
      <c r="T165" s="40"/>
      <c r="U165" s="40"/>
    </row>
    <row r="166" spans="1:21" x14ac:dyDescent="0.55000000000000004">
      <c r="A166" s="41" t="str">
        <f>'Population Definitions'!$A$12</f>
        <v>Miners</v>
      </c>
      <c r="B166" s="41" t="s">
        <v>10</v>
      </c>
      <c r="C166" s="40">
        <f t="shared" si="11"/>
        <v>0.27</v>
      </c>
      <c r="D166" s="41" t="s">
        <v>16</v>
      </c>
      <c r="E166" s="40"/>
      <c r="F166" s="40"/>
      <c r="G166" s="40"/>
      <c r="H166" s="40"/>
      <c r="I166" s="40"/>
      <c r="J166" s="40"/>
      <c r="K166" s="40"/>
      <c r="L166" s="40"/>
      <c r="M166" s="40"/>
      <c r="N166" s="40"/>
      <c r="O166" s="40"/>
      <c r="P166" s="40"/>
      <c r="Q166" s="40"/>
      <c r="R166" s="40"/>
      <c r="S166" s="40"/>
      <c r="T166" s="40"/>
      <c r="U166" s="40"/>
    </row>
    <row r="167" spans="1:21" x14ac:dyDescent="0.55000000000000004">
      <c r="A167" s="41" t="str">
        <f>'Population Definitions'!$A$13</f>
        <v>PLHIV Miners</v>
      </c>
      <c r="B167" s="41" t="s">
        <v>10</v>
      </c>
      <c r="C167" s="40">
        <f t="shared" si="11"/>
        <v>0.27</v>
      </c>
      <c r="D167" s="41" t="s">
        <v>16</v>
      </c>
      <c r="E167" s="40"/>
      <c r="F167" s="40"/>
      <c r="G167" s="40"/>
      <c r="H167" s="40"/>
      <c r="I167" s="40"/>
      <c r="J167" s="40"/>
      <c r="K167" s="40"/>
      <c r="L167" s="40"/>
      <c r="M167" s="40"/>
      <c r="N167" s="40"/>
      <c r="O167" s="40"/>
      <c r="P167" s="40"/>
      <c r="Q167" s="40"/>
      <c r="R167" s="40"/>
      <c r="S167" s="40"/>
      <c r="T167" s="40"/>
      <c r="U167" s="40"/>
    </row>
    <row r="169" spans="1:21" x14ac:dyDescent="0.55000000000000004">
      <c r="A169" s="21" t="s">
        <v>156</v>
      </c>
      <c r="B169" s="41" t="s">
        <v>8</v>
      </c>
      <c r="C169" s="41" t="s">
        <v>9</v>
      </c>
      <c r="D169" s="41"/>
      <c r="E169" s="41">
        <v>2000</v>
      </c>
      <c r="F169" s="41">
        <v>2001</v>
      </c>
      <c r="G169" s="41">
        <v>2002</v>
      </c>
      <c r="H169" s="41">
        <v>2003</v>
      </c>
      <c r="I169" s="41">
        <v>2004</v>
      </c>
      <c r="J169" s="41">
        <v>2005</v>
      </c>
      <c r="K169" s="41">
        <v>2006</v>
      </c>
      <c r="L169" s="41">
        <v>2007</v>
      </c>
      <c r="M169" s="41">
        <v>2008</v>
      </c>
      <c r="N169" s="41">
        <v>2009</v>
      </c>
      <c r="O169" s="41">
        <v>2010</v>
      </c>
      <c r="P169" s="41">
        <v>2011</v>
      </c>
      <c r="Q169" s="41">
        <v>2012</v>
      </c>
      <c r="R169" s="41">
        <v>2013</v>
      </c>
      <c r="S169" s="41">
        <v>2014</v>
      </c>
      <c r="T169" s="41">
        <v>2015</v>
      </c>
      <c r="U169" s="41">
        <v>2016</v>
      </c>
    </row>
    <row r="170" spans="1:21" x14ac:dyDescent="0.55000000000000004">
      <c r="A170" s="41" t="str">
        <f>'Population Definitions'!$A$2</f>
        <v>Gen 0-4</v>
      </c>
      <c r="B170" s="41" t="s">
        <v>10</v>
      </c>
      <c r="C170" s="40" t="str">
        <f t="shared" ref="C170:C181" si="12">IF(SUMPRODUCT(--(E170:U170&lt;&gt;""))=0,0.02,"N.A.")</f>
        <v>N.A.</v>
      </c>
      <c r="D170" s="41" t="s">
        <v>16</v>
      </c>
      <c r="E170" s="40">
        <f>0.00725373961218837+(0.02)</f>
        <v>2.7253739612188368E-2</v>
      </c>
      <c r="F170" s="40">
        <f>0.00754172015404365+(0.02)</f>
        <v>2.7541720154043652E-2</v>
      </c>
      <c r="G170" s="40">
        <f>0.00859907578558225+(0.02)</f>
        <v>2.859907578558225E-2</v>
      </c>
      <c r="H170" s="40">
        <f>0.00977512231840422+(0.02)</f>
        <v>2.9775122318404221E-2</v>
      </c>
      <c r="I170" s="40">
        <f>0.0109975129137172+(0.02)</f>
        <v>3.09975129137172E-2</v>
      </c>
      <c r="J170" s="40">
        <f>0.0119463255098115+(0.02)</f>
        <v>3.1946325509811496E-2</v>
      </c>
      <c r="K170" s="40">
        <f>0.0124815962805114+(0.02)</f>
        <v>3.24815962805114E-2</v>
      </c>
      <c r="L170" s="40">
        <f>0.011825405921681+(0.02)</f>
        <v>3.1825405921680996E-2</v>
      </c>
      <c r="M170" s="40">
        <f>0.011405505952381+(0.02)</f>
        <v>3.1405505952381001E-2</v>
      </c>
      <c r="N170" s="40">
        <f>0.00944434356273833+(0.02)</f>
        <v>2.9444343562738333E-2</v>
      </c>
      <c r="O170" s="40">
        <f>0.00861112107623318+(0.02)</f>
        <v>2.8611121076233183E-2</v>
      </c>
      <c r="P170" s="40">
        <f>0.00679263157894737+(0.02)</f>
        <v>2.679263157894737E-2</v>
      </c>
      <c r="Q170" s="40">
        <f>0.00661699507389163+(0.02)</f>
        <v>2.661699507389163E-2</v>
      </c>
      <c r="R170" s="40">
        <f>0.00629827709978464+(0.02)</f>
        <v>2.6298277099784641E-2</v>
      </c>
      <c r="S170" s="40"/>
      <c r="T170" s="40"/>
      <c r="U170" s="40"/>
    </row>
    <row r="171" spans="1:21" x14ac:dyDescent="0.55000000000000004">
      <c r="A171" s="41" t="str">
        <f>'Population Definitions'!$A$3</f>
        <v>Gen 5-14</v>
      </c>
      <c r="B171" s="41" t="s">
        <v>10</v>
      </c>
      <c r="C171" s="40" t="str">
        <f t="shared" si="12"/>
        <v>N.A.</v>
      </c>
      <c r="D171" s="41" t="s">
        <v>16</v>
      </c>
      <c r="E171" s="40">
        <f>0.000656411758960836+(0.02)</f>
        <v>2.0656411758960838E-2</v>
      </c>
      <c r="F171" s="40">
        <f>0.000688524590163934+(0.02)</f>
        <v>2.0688524590163935E-2</v>
      </c>
      <c r="G171" s="40">
        <f>0.000747687861271676+(0.02)</f>
        <v>2.0747687861271676E-2</v>
      </c>
      <c r="H171" s="40">
        <f>0.000829968424074251+(0.02)</f>
        <v>2.0829968424074252E-2</v>
      </c>
      <c r="I171" s="40">
        <f>0.000945745288406625+(0.02)</f>
        <v>2.0945745288406627E-2</v>
      </c>
      <c r="J171" s="40">
        <f>0.000969420702754036+(0.02)</f>
        <v>2.0969420702754038E-2</v>
      </c>
      <c r="K171" s="40">
        <f>0.000939376716870323+(0.02)</f>
        <v>2.0939376716870323E-2</v>
      </c>
      <c r="L171" s="40">
        <f>0.000905073494547179+(0.02)</f>
        <v>2.0905073494547181E-2</v>
      </c>
      <c r="M171" s="40">
        <f>0.000873928775471339+(0.02)</f>
        <v>2.087392877547134E-2</v>
      </c>
      <c r="N171" s="40">
        <f>0.000847994639609457+(0.02)</f>
        <v>2.0847994639609457E-2</v>
      </c>
      <c r="O171" s="40">
        <f>0.000888033859176606+(0.02)</f>
        <v>2.0888033859176605E-2</v>
      </c>
      <c r="P171" s="40">
        <f>0.000801447876447876+(0.02)</f>
        <v>2.0801447876447877E-2</v>
      </c>
      <c r="Q171" s="40">
        <f>0.000869464544138929+(0.02)</f>
        <v>2.0869464544138929E-2</v>
      </c>
      <c r="R171" s="40">
        <f>0.000637952559300874+(0.02)</f>
        <v>2.0637952559300874E-2</v>
      </c>
      <c r="S171" s="40"/>
      <c r="T171" s="40"/>
      <c r="U171" s="40"/>
    </row>
    <row r="172" spans="1:21" x14ac:dyDescent="0.55000000000000004">
      <c r="A172" s="41" t="str">
        <f>'Population Definitions'!$A$4</f>
        <v>Gen 15-64</v>
      </c>
      <c r="B172" s="41" t="s">
        <v>10</v>
      </c>
      <c r="C172" s="40" t="str">
        <f t="shared" si="12"/>
        <v>N.A.</v>
      </c>
      <c r="D172" s="41" t="s">
        <v>16</v>
      </c>
      <c r="E172" s="40">
        <f>0.00915683846293936+(0.02)</f>
        <v>2.9156838462939358E-2</v>
      </c>
      <c r="F172" s="40">
        <f>0.0100593014100637+(0.02)</f>
        <v>3.0059301410063702E-2</v>
      </c>
      <c r="G172" s="40">
        <f>0.0111691973208963+(0.02)</f>
        <v>3.1169197320896298E-2</v>
      </c>
      <c r="H172" s="40">
        <f>0.0122864004391382+(0.02)</f>
        <v>3.2286400439138198E-2</v>
      </c>
      <c r="I172" s="40">
        <f>0.0126735043308937+(0.02)</f>
        <v>3.26735043308937E-2</v>
      </c>
      <c r="J172" s="40">
        <f>0.0127732043562662+(0.02)</f>
        <v>3.2773204356266197E-2</v>
      </c>
      <c r="K172" s="40">
        <f>0.0127023240800516+(0.02)</f>
        <v>3.2702324080051602E-2</v>
      </c>
      <c r="L172" s="40">
        <f>0.012266814791303+(0.02)</f>
        <v>3.2266814791303E-2</v>
      </c>
      <c r="M172" s="40">
        <f>0.0118325987058051+(0.02)</f>
        <v>3.1832598705805099E-2</v>
      </c>
      <c r="N172" s="40">
        <f>0.0112209946451653+(0.02)</f>
        <v>3.1220994645165298E-2</v>
      </c>
      <c r="O172" s="40">
        <f>0.0103361982870805+(0.02)</f>
        <v>3.03361982870805E-2</v>
      </c>
      <c r="P172" s="40">
        <f>0.00930902912331952+(0.02)</f>
        <v>2.9309029123319522E-2</v>
      </c>
      <c r="Q172" s="40">
        <f>0.00853499545894003+(0.02)</f>
        <v>2.8534995458940032E-2</v>
      </c>
      <c r="R172" s="40">
        <f>0.00774277656267987+(0.02)</f>
        <v>2.7742776562679872E-2</v>
      </c>
      <c r="S172" s="40"/>
      <c r="T172" s="40"/>
      <c r="U172" s="40"/>
    </row>
    <row r="173" spans="1:21" x14ac:dyDescent="0.55000000000000004">
      <c r="A173" s="41" t="str">
        <f>'Population Definitions'!$A$5</f>
        <v>Gen 65+</v>
      </c>
      <c r="B173" s="41" t="s">
        <v>10</v>
      </c>
      <c r="C173" s="40" t="str">
        <f t="shared" si="12"/>
        <v>N.A.</v>
      </c>
      <c r="D173" s="41" t="s">
        <v>16</v>
      </c>
      <c r="E173" s="40">
        <f>0.0667880313199105+(0.02)</f>
        <v>8.6788031319910502E-2</v>
      </c>
      <c r="F173" s="40">
        <f>0.0673539445628998+(0.02)</f>
        <v>8.7353944562899799E-2</v>
      </c>
      <c r="G173" s="40">
        <f>0.0661256358087487+(0.02)</f>
        <v>8.6125635808748699E-2</v>
      </c>
      <c r="H173" s="40">
        <f>0.0675651117589893+(0.02)</f>
        <v>8.7565111758989303E-2</v>
      </c>
      <c r="I173" s="40">
        <f>0.0618761638733706+(0.02)</f>
        <v>8.18761638733706E-2</v>
      </c>
      <c r="J173" s="40">
        <f>0.0619413345275414+(0.02)</f>
        <v>8.1941334527541404E-2</v>
      </c>
      <c r="K173" s="40">
        <f>0.0626938950988822+(0.02)</f>
        <v>8.2693895098882197E-2</v>
      </c>
      <c r="L173" s="40">
        <f>0.0612165975103734+(0.02)</f>
        <v>8.1216597510373398E-2</v>
      </c>
      <c r="M173" s="40">
        <f>0.0597051230334812+(0.02)</f>
        <v>7.9705123033481207E-2</v>
      </c>
      <c r="N173" s="40">
        <f>0.0615330188679245+(0.02)</f>
        <v>8.1533018867924495E-2</v>
      </c>
      <c r="O173" s="40">
        <f>0.0579773686229382+(0.02)</f>
        <v>7.7977368622938206E-2</v>
      </c>
      <c r="P173" s="40">
        <f>0.0590019011406844+(0.02)</f>
        <v>7.9001901140684394E-2</v>
      </c>
      <c r="Q173" s="40">
        <f>0.0576626506024096+(0.02)</f>
        <v>7.7662650602409594E-2</v>
      </c>
      <c r="R173" s="40">
        <f>0.0551974664679583+(0.02)</f>
        <v>7.5197466467958302E-2</v>
      </c>
      <c r="S173" s="40"/>
      <c r="T173" s="40"/>
      <c r="U173" s="40"/>
    </row>
    <row r="174" spans="1:21" x14ac:dyDescent="0.55000000000000004">
      <c r="A174" s="41" t="str">
        <f>'Population Definitions'!$A$6</f>
        <v>PLHIV 15-64</v>
      </c>
      <c r="B174" s="41" t="s">
        <v>10</v>
      </c>
      <c r="C174" s="40" t="str">
        <f t="shared" si="12"/>
        <v>N.A.</v>
      </c>
      <c r="D174" s="41" t="s">
        <v>16</v>
      </c>
      <c r="E174" s="40">
        <f>0.22+(0.02)</f>
        <v>0.24</v>
      </c>
      <c r="F174" s="40"/>
      <c r="G174" s="40"/>
      <c r="H174" s="40"/>
      <c r="I174" s="40">
        <f>0.22+(0.02)</f>
        <v>0.24</v>
      </c>
      <c r="J174" s="40">
        <f>0.1+(0.02)</f>
        <v>0.12000000000000001</v>
      </c>
      <c r="K174" s="40"/>
      <c r="L174" s="40"/>
      <c r="M174" s="40"/>
      <c r="N174" s="40">
        <f>0.095+(0.02)</f>
        <v>0.115</v>
      </c>
      <c r="O174" s="40"/>
      <c r="P174" s="40"/>
      <c r="Q174" s="40"/>
      <c r="R174" s="40"/>
      <c r="S174" s="40"/>
      <c r="T174" s="40"/>
      <c r="U174" s="40">
        <f>0.0517+(0.02)</f>
        <v>7.17E-2</v>
      </c>
    </row>
    <row r="175" spans="1:21" x14ac:dyDescent="0.55000000000000004">
      <c r="A175" s="41" t="str">
        <f>'Population Definitions'!$A$7</f>
        <v>PLHIV 65+</v>
      </c>
      <c r="B175" s="41" t="s">
        <v>10</v>
      </c>
      <c r="C175" s="40" t="str">
        <f t="shared" si="12"/>
        <v>N.A.</v>
      </c>
      <c r="D175" s="41" t="s">
        <v>16</v>
      </c>
      <c r="E175" s="40">
        <f>0.130788031319911+(0.02)</f>
        <v>0.150788031319911</v>
      </c>
      <c r="F175" s="40">
        <f>0.131302596000888+(0.02)</f>
        <v>0.151302596000888</v>
      </c>
      <c r="G175" s="40">
        <f>0.130024453435642+(0.02)</f>
        <v>0.150024453435642</v>
      </c>
      <c r="H175" s="40">
        <f>0.131410138213842+(0.02)</f>
        <v>0.151410138213842</v>
      </c>
      <c r="I175" s="40">
        <f>0.125580043951237+(0.02)</f>
        <v>0.145580043951237</v>
      </c>
      <c r="J175" s="40">
        <f>0.125296306523879+(0.02)</f>
        <v>0.14529630652387898</v>
      </c>
      <c r="K175" s="40">
        <f>0.125556781547203+(0.02)</f>
        <v>0.145556781547203</v>
      </c>
      <c r="L175" s="40">
        <f>0.123378641752142+(0.02)</f>
        <v>0.14337864175214199</v>
      </c>
      <c r="M175" s="40">
        <f>0.121075936957955+(0.02)</f>
        <v>0.14107593695795501</v>
      </c>
      <c r="N175" s="40">
        <f>0.121968827232853+(0.02)</f>
        <v>0.14196882723285301</v>
      </c>
      <c r="O175" s="40">
        <f>0.117169094894402+(0.02)</f>
        <v>0.13716909489440199</v>
      </c>
      <c r="P175" s="40">
        <f>0.116501750335665+(0.02)</f>
        <v>0.136501750335665</v>
      </c>
      <c r="Q175" s="40">
        <f>0.113597812069496+(0.02)</f>
        <v>0.133597812069496</v>
      </c>
      <c r="R175" s="40">
        <f>0.109683597639683+(0.02)</f>
        <v>0.12968359763968298</v>
      </c>
      <c r="S175" s="40"/>
      <c r="T175" s="40"/>
      <c r="U175" s="40">
        <f>(5.17*2%)+(0.02)</f>
        <v>0.12340000000000001</v>
      </c>
    </row>
    <row r="176" spans="1:21" x14ac:dyDescent="0.55000000000000004">
      <c r="A176" s="41" t="str">
        <f>'Population Definitions'!$A$8</f>
        <v>Prisoners</v>
      </c>
      <c r="B176" s="41" t="s">
        <v>10</v>
      </c>
      <c r="C176" s="40" t="str">
        <f t="shared" si="12"/>
        <v>N.A.</v>
      </c>
      <c r="D176" s="41" t="s">
        <v>16</v>
      </c>
      <c r="E176" s="40">
        <f>0.00915683846293936+(0.02)</f>
        <v>2.9156838462939358E-2</v>
      </c>
      <c r="F176" s="40">
        <f>0.0100593014100637+(0.02)</f>
        <v>3.0059301410063702E-2</v>
      </c>
      <c r="G176" s="40">
        <f>0.0111691973208963+(0.02)</f>
        <v>3.1169197320896298E-2</v>
      </c>
      <c r="H176" s="40">
        <f>0.0122864004391382+(0.02)</f>
        <v>3.2286400439138198E-2</v>
      </c>
      <c r="I176" s="40">
        <f>0.0126735043308937+(0.02)</f>
        <v>3.26735043308937E-2</v>
      </c>
      <c r="J176" s="40">
        <f>0.0127732043562662+(0.02)</f>
        <v>3.2773204356266197E-2</v>
      </c>
      <c r="K176" s="40">
        <f>0.0127023240800516+(0.02)</f>
        <v>3.2702324080051602E-2</v>
      </c>
      <c r="L176" s="40">
        <f>0.012266814791303+(0.02)</f>
        <v>3.2266814791303E-2</v>
      </c>
      <c r="M176" s="40">
        <f>0.0118325987058051+(0.02)</f>
        <v>3.1832598705805099E-2</v>
      </c>
      <c r="N176" s="40">
        <f>0.0112209946451653+(0.02)</f>
        <v>3.1220994645165298E-2</v>
      </c>
      <c r="O176" s="40">
        <f>0.0103361982870805+(0.02)</f>
        <v>3.03361982870805E-2</v>
      </c>
      <c r="P176" s="40">
        <f>0.00930902912331952+(0.02)</f>
        <v>2.9309029123319522E-2</v>
      </c>
      <c r="Q176" s="40">
        <f>0.00853499545894003+(0.02)</f>
        <v>2.8534995458940032E-2</v>
      </c>
      <c r="R176" s="40">
        <f>0.00774277656267987+(0.02)</f>
        <v>2.7742776562679872E-2</v>
      </c>
      <c r="S176" s="40"/>
      <c r="T176" s="40"/>
      <c r="U176" s="40"/>
    </row>
    <row r="177" spans="1:21" x14ac:dyDescent="0.55000000000000004">
      <c r="A177" s="41" t="str">
        <f>'Population Definitions'!$A$9</f>
        <v>PLHIV Prisoners</v>
      </c>
      <c r="B177" s="41" t="s">
        <v>10</v>
      </c>
      <c r="C177" s="40" t="str">
        <f t="shared" si="12"/>
        <v>N.A.</v>
      </c>
      <c r="D177" s="41" t="s">
        <v>16</v>
      </c>
      <c r="E177" s="40">
        <f>0.064+(0.02)</f>
        <v>8.4000000000000005E-2</v>
      </c>
      <c r="F177" s="40">
        <f>0.063948651437988+(0.02)</f>
        <v>8.3948651437988006E-2</v>
      </c>
      <c r="G177" s="40">
        <f>0.0638988176268937+(0.02)</f>
        <v>8.3898817626893704E-2</v>
      </c>
      <c r="H177" s="40">
        <f>0.0638450264548522+(0.02)</f>
        <v>8.3845026454852201E-2</v>
      </c>
      <c r="I177" s="40">
        <f>0.0637038800778667+(0.02)</f>
        <v>8.3703880077866707E-2</v>
      </c>
      <c r="J177" s="40">
        <f>0.063354971996338+(0.02)</f>
        <v>8.3354971996337998E-2</v>
      </c>
      <c r="K177" s="40">
        <f>0.0628628864483211+(0.02)</f>
        <v>8.2862886448321099E-2</v>
      </c>
      <c r="L177" s="40">
        <f>0.0621620442417684+(0.02)</f>
        <v>8.21620442417684E-2</v>
      </c>
      <c r="M177" s="40">
        <f>0.0613708139244735+(0.02)</f>
        <v>8.1370813924473498E-2</v>
      </c>
      <c r="N177" s="40">
        <f>0.0604358083649289+(0.02)</f>
        <v>8.0435808364928904E-2</v>
      </c>
      <c r="O177" s="40">
        <f>0.0591917262714635+(0.02)</f>
        <v>7.9191726271463495E-2</v>
      </c>
      <c r="P177" s="40">
        <f>0.0574998491949804+(0.02)</f>
        <v>7.7499849194980402E-2</v>
      </c>
      <c r="Q177" s="40">
        <f>0.0559351614670864+(0.02)</f>
        <v>7.5935161467086398E-2</v>
      </c>
      <c r="R177" s="40">
        <f>0.0544861311717248+(0.02)</f>
        <v>7.4486131171724798E-2</v>
      </c>
      <c r="S177" s="40">
        <f>0.0535351493099285+(0.02)</f>
        <v>7.3535149309928494E-2</v>
      </c>
      <c r="T177" s="40">
        <f>0.0529028826750741+(0.02)</f>
        <v>7.2902882675074096E-2</v>
      </c>
      <c r="U177" s="40">
        <f>0.0516887916470763+(0.02)</f>
        <v>7.1688791647076297E-2</v>
      </c>
    </row>
    <row r="178" spans="1:21" x14ac:dyDescent="0.55000000000000004">
      <c r="A178" s="41" t="str">
        <f>'Population Definitions'!$A$10</f>
        <v>HCW</v>
      </c>
      <c r="B178" s="41" t="s">
        <v>10</v>
      </c>
      <c r="C178" s="40" t="str">
        <f t="shared" si="12"/>
        <v>N.A.</v>
      </c>
      <c r="D178" s="41" t="s">
        <v>16</v>
      </c>
      <c r="E178" s="40">
        <f>0.00915683846293936+(0.02)</f>
        <v>2.9156838462939358E-2</v>
      </c>
      <c r="F178" s="40">
        <f>0.0100593014100637+(0.02)</f>
        <v>3.0059301410063702E-2</v>
      </c>
      <c r="G178" s="40">
        <f>0.0111691973208963+(0.02)</f>
        <v>3.1169197320896298E-2</v>
      </c>
      <c r="H178" s="40">
        <f>0.0122864004391382+(0.02)</f>
        <v>3.2286400439138198E-2</v>
      </c>
      <c r="I178" s="40">
        <f>0.0126735043308937+(0.02)</f>
        <v>3.26735043308937E-2</v>
      </c>
      <c r="J178" s="40">
        <f>0.0127732043562662+(0.02)</f>
        <v>3.2773204356266197E-2</v>
      </c>
      <c r="K178" s="40">
        <f>0.0127023240800516+(0.02)</f>
        <v>3.2702324080051602E-2</v>
      </c>
      <c r="L178" s="40">
        <f>0.012266814791303+(0.02)</f>
        <v>3.2266814791303E-2</v>
      </c>
      <c r="M178" s="40">
        <f>0.0118325987058051+(0.02)</f>
        <v>3.1832598705805099E-2</v>
      </c>
      <c r="N178" s="40">
        <f>0.0112209946451653+(0.02)</f>
        <v>3.1220994645165298E-2</v>
      </c>
      <c r="O178" s="40">
        <f>0.0103361982870805+(0.02)</f>
        <v>3.03361982870805E-2</v>
      </c>
      <c r="P178" s="40">
        <f>0.00930902912331952+(0.02)</f>
        <v>2.9309029123319522E-2</v>
      </c>
      <c r="Q178" s="40">
        <f>0.00853499545894003+(0.02)</f>
        <v>2.8534995458940032E-2</v>
      </c>
      <c r="R178" s="40">
        <f>0.00774277656267987+(0.02)</f>
        <v>2.7742776562679872E-2</v>
      </c>
      <c r="S178" s="40"/>
      <c r="T178" s="40"/>
      <c r="U178" s="40"/>
    </row>
    <row r="179" spans="1:21" x14ac:dyDescent="0.55000000000000004">
      <c r="A179" s="41" t="str">
        <f>'Population Definitions'!$A$11</f>
        <v>PLHIV HCW</v>
      </c>
      <c r="B179" s="41" t="s">
        <v>10</v>
      </c>
      <c r="C179" s="40" t="str">
        <f t="shared" si="12"/>
        <v>N.A.</v>
      </c>
      <c r="D179" s="41" t="s">
        <v>16</v>
      </c>
      <c r="E179" s="40">
        <f>0.064+(0.02)</f>
        <v>8.4000000000000005E-2</v>
      </c>
      <c r="F179" s="40">
        <f>0.063948651437988+(0.02)</f>
        <v>8.3948651437988006E-2</v>
      </c>
      <c r="G179" s="40">
        <f>0.0638988176268937+(0.02)</f>
        <v>8.3898817626893704E-2</v>
      </c>
      <c r="H179" s="40">
        <f>0.0638450264548522+(0.02)</f>
        <v>8.3845026454852201E-2</v>
      </c>
      <c r="I179" s="40">
        <f>0.0637038800778667+(0.02)</f>
        <v>8.3703880077866707E-2</v>
      </c>
      <c r="J179" s="40">
        <f>0.063354971996338+(0.02)</f>
        <v>8.3354971996337998E-2</v>
      </c>
      <c r="K179" s="40">
        <f>0.0628628864483211+(0.02)</f>
        <v>8.2862886448321099E-2</v>
      </c>
      <c r="L179" s="40">
        <f>0.0621620442417684+(0.02)</f>
        <v>8.21620442417684E-2</v>
      </c>
      <c r="M179" s="40">
        <f>0.0613708139244735+(0.02)</f>
        <v>8.1370813924473498E-2</v>
      </c>
      <c r="N179" s="40">
        <f>0.0604358083649289+(0.02)</f>
        <v>8.0435808364928904E-2</v>
      </c>
      <c r="O179" s="40">
        <f>0.0591917262714635+(0.02)</f>
        <v>7.9191726271463495E-2</v>
      </c>
      <c r="P179" s="40">
        <f>0.0574998491949804+(0.02)</f>
        <v>7.7499849194980402E-2</v>
      </c>
      <c r="Q179" s="40">
        <f>0.0559351614670864+(0.02)</f>
        <v>7.5935161467086398E-2</v>
      </c>
      <c r="R179" s="40">
        <f>0.0544861311717248+(0.02)</f>
        <v>7.4486131171724798E-2</v>
      </c>
      <c r="S179" s="40">
        <f>0.0535351493099285+(0.02)</f>
        <v>7.3535149309928494E-2</v>
      </c>
      <c r="T179" s="40">
        <f>0.0529028826750741+(0.02)</f>
        <v>7.2902882675074096E-2</v>
      </c>
      <c r="U179" s="40">
        <f>0.0516887916470763+(0.02)</f>
        <v>7.1688791647076297E-2</v>
      </c>
    </row>
    <row r="180" spans="1:21" x14ac:dyDescent="0.55000000000000004">
      <c r="A180" s="41" t="str">
        <f>'Population Definitions'!$A$12</f>
        <v>Miners</v>
      </c>
      <c r="B180" s="41" t="s">
        <v>10</v>
      </c>
      <c r="C180" s="40" t="str">
        <f t="shared" si="12"/>
        <v>N.A.</v>
      </c>
      <c r="D180" s="41" t="s">
        <v>16</v>
      </c>
      <c r="E180" s="40">
        <f>0.00915683846293936+(0.02)</f>
        <v>2.9156838462939358E-2</v>
      </c>
      <c r="F180" s="40">
        <f>0.0100593014100637+(0.02)</f>
        <v>3.0059301410063702E-2</v>
      </c>
      <c r="G180" s="40">
        <f>0.0111691973208963+(0.02)</f>
        <v>3.1169197320896298E-2</v>
      </c>
      <c r="H180" s="40">
        <f>0.0122864004391382+(0.02)</f>
        <v>3.2286400439138198E-2</v>
      </c>
      <c r="I180" s="40">
        <f>0.0126735043308937+(0.02)</f>
        <v>3.26735043308937E-2</v>
      </c>
      <c r="J180" s="40">
        <f>0.0127732043562662+(0.02)</f>
        <v>3.2773204356266197E-2</v>
      </c>
      <c r="K180" s="40">
        <f>0.0127023240800516+(0.02)</f>
        <v>3.2702324080051602E-2</v>
      </c>
      <c r="L180" s="40">
        <f>0.012266814791303+(0.02)</f>
        <v>3.2266814791303E-2</v>
      </c>
      <c r="M180" s="40">
        <f>0.0118325987058051+(0.02)</f>
        <v>3.1832598705805099E-2</v>
      </c>
      <c r="N180" s="40">
        <f>0.0112209946451653+(0.02)</f>
        <v>3.1220994645165298E-2</v>
      </c>
      <c r="O180" s="40">
        <f>0.0103361982870805+(0.02)</f>
        <v>3.03361982870805E-2</v>
      </c>
      <c r="P180" s="40">
        <f>0.00930902912331952+(0.02)</f>
        <v>2.9309029123319522E-2</v>
      </c>
      <c r="Q180" s="40">
        <f>0.00853499545894003+(0.02)</f>
        <v>2.8534995458940032E-2</v>
      </c>
      <c r="R180" s="40">
        <f>0.00774277656267987+(0.02)</f>
        <v>2.7742776562679872E-2</v>
      </c>
      <c r="S180" s="40"/>
      <c r="T180" s="40"/>
      <c r="U180" s="40"/>
    </row>
    <row r="181" spans="1:21" x14ac:dyDescent="0.55000000000000004">
      <c r="A181" s="41" t="str">
        <f>'Population Definitions'!$A$13</f>
        <v>PLHIV Miners</v>
      </c>
      <c r="B181" s="41" t="s">
        <v>10</v>
      </c>
      <c r="C181" s="40" t="str">
        <f t="shared" si="12"/>
        <v>N.A.</v>
      </c>
      <c r="D181" s="41" t="s">
        <v>16</v>
      </c>
      <c r="E181" s="40">
        <f>0.064+(0.02)</f>
        <v>8.4000000000000005E-2</v>
      </c>
      <c r="F181" s="40">
        <f>0.063948651437988+(0.02)</f>
        <v>8.3948651437988006E-2</v>
      </c>
      <c r="G181" s="40">
        <f>0.0638988176268937+(0.02)</f>
        <v>8.3898817626893704E-2</v>
      </c>
      <c r="H181" s="40">
        <f>0.0638450264548522+(0.02)</f>
        <v>8.3845026454852201E-2</v>
      </c>
      <c r="I181" s="40">
        <f>0.0637038800778667+(0.02)</f>
        <v>8.3703880077866707E-2</v>
      </c>
      <c r="J181" s="40">
        <f>0.063354971996338+(0.02)</f>
        <v>8.3354971996337998E-2</v>
      </c>
      <c r="K181" s="40">
        <f>0.0628628864483211+(0.02)</f>
        <v>8.2862886448321099E-2</v>
      </c>
      <c r="L181" s="40">
        <f>0.0621620442417684+(0.02)</f>
        <v>8.21620442417684E-2</v>
      </c>
      <c r="M181" s="40">
        <f>0.0613708139244735+(0.02)</f>
        <v>8.1370813924473498E-2</v>
      </c>
      <c r="N181" s="40">
        <f>0.0604358083649289+(0.02)</f>
        <v>8.0435808364928904E-2</v>
      </c>
      <c r="O181" s="40">
        <f>0.0591917262714635+(0.02)</f>
        <v>7.9191726271463495E-2</v>
      </c>
      <c r="P181" s="40">
        <f>0.0574998491949804+(0.02)</f>
        <v>7.7499849194980402E-2</v>
      </c>
      <c r="Q181" s="40">
        <f>0.0559351614670864+(0.02)</f>
        <v>7.5935161467086398E-2</v>
      </c>
      <c r="R181" s="40">
        <f>0.0544861311717248+(0.02)</f>
        <v>7.4486131171724798E-2</v>
      </c>
      <c r="S181" s="40">
        <f>0.0535351493099285+(0.02)</f>
        <v>7.3535149309928494E-2</v>
      </c>
      <c r="T181" s="40">
        <f>0.0529028826750741+(0.02)</f>
        <v>7.2902882675074096E-2</v>
      </c>
      <c r="U181" s="40">
        <f>0.0516887916470763+(0.02)</f>
        <v>7.1688791647076297E-2</v>
      </c>
    </row>
    <row r="183" spans="1:21" x14ac:dyDescent="0.55000000000000004">
      <c r="A183" s="21" t="s">
        <v>157</v>
      </c>
      <c r="B183" s="41" t="s">
        <v>8</v>
      </c>
      <c r="C183" s="41" t="s">
        <v>9</v>
      </c>
      <c r="D183" s="41"/>
      <c r="E183" s="41">
        <v>2000</v>
      </c>
      <c r="F183" s="41">
        <v>2001</v>
      </c>
      <c r="G183" s="41">
        <v>2002</v>
      </c>
      <c r="H183" s="41">
        <v>2003</v>
      </c>
      <c r="I183" s="41">
        <v>2004</v>
      </c>
      <c r="J183" s="41">
        <v>2005</v>
      </c>
      <c r="K183" s="41">
        <v>2006</v>
      </c>
      <c r="L183" s="41">
        <v>2007</v>
      </c>
      <c r="M183" s="41">
        <v>2008</v>
      </c>
      <c r="N183" s="41">
        <v>2009</v>
      </c>
      <c r="O183" s="41">
        <v>2010</v>
      </c>
      <c r="P183" s="41">
        <v>2011</v>
      </c>
      <c r="Q183" s="41">
        <v>2012</v>
      </c>
      <c r="R183" s="41">
        <v>2013</v>
      </c>
      <c r="S183" s="41">
        <v>2014</v>
      </c>
      <c r="T183" s="41">
        <v>2015</v>
      </c>
      <c r="U183" s="41">
        <v>2016</v>
      </c>
    </row>
    <row r="184" spans="1:21" x14ac:dyDescent="0.55000000000000004">
      <c r="A184" s="41" t="str">
        <f>'Population Definitions'!$A$2</f>
        <v>Gen 0-4</v>
      </c>
      <c r="B184" s="41" t="s">
        <v>10</v>
      </c>
      <c r="C184" s="40" t="str">
        <f t="shared" ref="C184:C195" si="13">IF(SUMPRODUCT(--(E184:U184&lt;&gt;""))=0,0.02,"N.A.")</f>
        <v>N.A.</v>
      </c>
      <c r="D184" s="41" t="s">
        <v>16</v>
      </c>
      <c r="E184" s="40">
        <f>0.00725373961218837+(0.02)</f>
        <v>2.7253739612188368E-2</v>
      </c>
      <c r="F184" s="40">
        <f>0.00754172015404365+(0.02)</f>
        <v>2.7541720154043652E-2</v>
      </c>
      <c r="G184" s="40">
        <f>0.00859907578558225+(0.02)</f>
        <v>2.859907578558225E-2</v>
      </c>
      <c r="H184" s="40">
        <f>0.00977512231840422+(0.02)</f>
        <v>2.9775122318404221E-2</v>
      </c>
      <c r="I184" s="40">
        <f>0.0109975129137172+(0.02)</f>
        <v>3.09975129137172E-2</v>
      </c>
      <c r="J184" s="40">
        <f>0.0119463255098115+(0.02)</f>
        <v>3.1946325509811496E-2</v>
      </c>
      <c r="K184" s="40">
        <f>0.0124815962805114+(0.02)</f>
        <v>3.24815962805114E-2</v>
      </c>
      <c r="L184" s="40">
        <f>0.011825405921681+(0.02)</f>
        <v>3.1825405921680996E-2</v>
      </c>
      <c r="M184" s="40">
        <f>0.011405505952381+(0.02)</f>
        <v>3.1405505952381001E-2</v>
      </c>
      <c r="N184" s="40">
        <f>0.00944434356273833+(0.02)</f>
        <v>2.9444343562738333E-2</v>
      </c>
      <c r="O184" s="40">
        <f>0.00861112107623318+(0.02)</f>
        <v>2.8611121076233183E-2</v>
      </c>
      <c r="P184" s="40">
        <f>0.00679263157894737+(0.02)</f>
        <v>2.679263157894737E-2</v>
      </c>
      <c r="Q184" s="40">
        <f>0.00661699507389163+(0.02)</f>
        <v>2.661699507389163E-2</v>
      </c>
      <c r="R184" s="40">
        <f>0.00629827709978464+(0.02)</f>
        <v>2.6298277099784641E-2</v>
      </c>
      <c r="S184" s="40"/>
      <c r="T184" s="40"/>
      <c r="U184" s="40"/>
    </row>
    <row r="185" spans="1:21" x14ac:dyDescent="0.55000000000000004">
      <c r="A185" s="41" t="str">
        <f>'Population Definitions'!$A$3</f>
        <v>Gen 5-14</v>
      </c>
      <c r="B185" s="41" t="s">
        <v>10</v>
      </c>
      <c r="C185" s="40" t="str">
        <f t="shared" si="13"/>
        <v>N.A.</v>
      </c>
      <c r="D185" s="41" t="s">
        <v>16</v>
      </c>
      <c r="E185" s="40">
        <f>0.000656411758960836+(0.02)</f>
        <v>2.0656411758960838E-2</v>
      </c>
      <c r="F185" s="40">
        <f>0.000688524590163934+(0.02)</f>
        <v>2.0688524590163935E-2</v>
      </c>
      <c r="G185" s="40">
        <f>0.000747687861271676+(0.02)</f>
        <v>2.0747687861271676E-2</v>
      </c>
      <c r="H185" s="40">
        <f>0.000829968424074251+(0.02)</f>
        <v>2.0829968424074252E-2</v>
      </c>
      <c r="I185" s="40">
        <f>0.000945745288406625+(0.02)</f>
        <v>2.0945745288406627E-2</v>
      </c>
      <c r="J185" s="40">
        <f>0.000969420702754036+(0.02)</f>
        <v>2.0969420702754038E-2</v>
      </c>
      <c r="K185" s="40">
        <f>0.000939376716870323+(0.02)</f>
        <v>2.0939376716870323E-2</v>
      </c>
      <c r="L185" s="40">
        <f>0.000905073494547179+(0.02)</f>
        <v>2.0905073494547181E-2</v>
      </c>
      <c r="M185" s="40">
        <f>0.000873928775471339+(0.02)</f>
        <v>2.087392877547134E-2</v>
      </c>
      <c r="N185" s="40">
        <f>0.000847994639609457+(0.02)</f>
        <v>2.0847994639609457E-2</v>
      </c>
      <c r="O185" s="40">
        <f>0.000888033859176606+(0.02)</f>
        <v>2.0888033859176605E-2</v>
      </c>
      <c r="P185" s="40">
        <f>0.000801447876447876+(0.02)</f>
        <v>2.0801447876447877E-2</v>
      </c>
      <c r="Q185" s="40">
        <f>0.000869464544138929+(0.02)</f>
        <v>2.0869464544138929E-2</v>
      </c>
      <c r="R185" s="40">
        <f>0.000637952559300874+(0.02)</f>
        <v>2.0637952559300874E-2</v>
      </c>
      <c r="S185" s="40"/>
      <c r="T185" s="40"/>
      <c r="U185" s="40"/>
    </row>
    <row r="186" spans="1:21" x14ac:dyDescent="0.55000000000000004">
      <c r="A186" s="41" t="str">
        <f>'Population Definitions'!$A$4</f>
        <v>Gen 15-64</v>
      </c>
      <c r="B186" s="41" t="s">
        <v>10</v>
      </c>
      <c r="C186" s="40" t="str">
        <f t="shared" si="13"/>
        <v>N.A.</v>
      </c>
      <c r="D186" s="41" t="s">
        <v>16</v>
      </c>
      <c r="E186" s="40">
        <f>0.00915683846293936+(0.02)</f>
        <v>2.9156838462939358E-2</v>
      </c>
      <c r="F186" s="40">
        <f>0.0100593014100637+(0.02)</f>
        <v>3.0059301410063702E-2</v>
      </c>
      <c r="G186" s="40">
        <f>0.0111691973208963+(0.02)</f>
        <v>3.1169197320896298E-2</v>
      </c>
      <c r="H186" s="40">
        <f>0.0122864004391382+(0.02)</f>
        <v>3.2286400439138198E-2</v>
      </c>
      <c r="I186" s="40">
        <f>0.0126735043308937+(0.02)</f>
        <v>3.26735043308937E-2</v>
      </c>
      <c r="J186" s="40">
        <f>0.0127732043562662+(0.02)</f>
        <v>3.2773204356266197E-2</v>
      </c>
      <c r="K186" s="40">
        <f>0.0127023240800516+(0.02)</f>
        <v>3.2702324080051602E-2</v>
      </c>
      <c r="L186" s="40">
        <f>0.012266814791303+(0.02)</f>
        <v>3.2266814791303E-2</v>
      </c>
      <c r="M186" s="40">
        <f>0.0118325987058051+(0.02)</f>
        <v>3.1832598705805099E-2</v>
      </c>
      <c r="N186" s="40">
        <f>0.0112209946451653+(0.02)</f>
        <v>3.1220994645165298E-2</v>
      </c>
      <c r="O186" s="40">
        <f>0.0103361982870805+(0.02)</f>
        <v>3.03361982870805E-2</v>
      </c>
      <c r="P186" s="40">
        <f>0.00930902912331952+(0.02)</f>
        <v>2.9309029123319522E-2</v>
      </c>
      <c r="Q186" s="40">
        <f>0.00853499545894003+(0.02)</f>
        <v>2.8534995458940032E-2</v>
      </c>
      <c r="R186" s="40">
        <f>0.00774277656267987+(0.02)</f>
        <v>2.7742776562679872E-2</v>
      </c>
      <c r="S186" s="40"/>
      <c r="T186" s="40"/>
      <c r="U186" s="40"/>
    </row>
    <row r="187" spans="1:21" x14ac:dyDescent="0.55000000000000004">
      <c r="A187" s="41" t="str">
        <f>'Population Definitions'!$A$5</f>
        <v>Gen 65+</v>
      </c>
      <c r="B187" s="41" t="s">
        <v>10</v>
      </c>
      <c r="C187" s="40" t="str">
        <f t="shared" si="13"/>
        <v>N.A.</v>
      </c>
      <c r="D187" s="41" t="s">
        <v>16</v>
      </c>
      <c r="E187" s="40">
        <f>0.0667880313199105+(0.02)</f>
        <v>8.6788031319910502E-2</v>
      </c>
      <c r="F187" s="40">
        <f>0.0673539445628998+(0.02)</f>
        <v>8.7353944562899799E-2</v>
      </c>
      <c r="G187" s="40">
        <f>0.0661256358087487+(0.02)</f>
        <v>8.6125635808748699E-2</v>
      </c>
      <c r="H187" s="40">
        <f>0.0675651117589893+(0.02)</f>
        <v>8.7565111758989303E-2</v>
      </c>
      <c r="I187" s="40">
        <f>0.0618761638733706+(0.02)</f>
        <v>8.18761638733706E-2</v>
      </c>
      <c r="J187" s="40">
        <f>0.0619413345275414+(0.02)</f>
        <v>8.1941334527541404E-2</v>
      </c>
      <c r="K187" s="40">
        <f>0.0626938950988822+(0.02)</f>
        <v>8.2693895098882197E-2</v>
      </c>
      <c r="L187" s="40">
        <f>0.0612165975103734+(0.02)</f>
        <v>8.1216597510373398E-2</v>
      </c>
      <c r="M187" s="40">
        <f>0.0597051230334812+(0.02)</f>
        <v>7.9705123033481207E-2</v>
      </c>
      <c r="N187" s="40">
        <f>0.0615330188679245+(0.02)</f>
        <v>8.1533018867924495E-2</v>
      </c>
      <c r="O187" s="40">
        <f>0.0579773686229382+(0.02)</f>
        <v>7.7977368622938206E-2</v>
      </c>
      <c r="P187" s="40">
        <f>0.0590019011406844+(0.02)</f>
        <v>7.9001901140684394E-2</v>
      </c>
      <c r="Q187" s="40">
        <f>0.0576626506024096+(0.02)</f>
        <v>7.7662650602409594E-2</v>
      </c>
      <c r="R187" s="40">
        <f>0.0551974664679583+(0.02)</f>
        <v>7.5197466467958302E-2</v>
      </c>
      <c r="S187" s="40"/>
      <c r="T187" s="40"/>
      <c r="U187" s="40"/>
    </row>
    <row r="188" spans="1:21" x14ac:dyDescent="0.55000000000000004">
      <c r="A188" s="41" t="str">
        <f>'Population Definitions'!$A$6</f>
        <v>PLHIV 15-64</v>
      </c>
      <c r="B188" s="41" t="s">
        <v>10</v>
      </c>
      <c r="C188" s="40" t="str">
        <f t="shared" si="13"/>
        <v>N.A.</v>
      </c>
      <c r="D188" s="41" t="s">
        <v>16</v>
      </c>
      <c r="E188" s="40">
        <f>0.22+(0.02)</f>
        <v>0.24</v>
      </c>
      <c r="F188" s="40"/>
      <c r="G188" s="40"/>
      <c r="H188" s="40"/>
      <c r="I188" s="40">
        <f>0.22+(0.02)</f>
        <v>0.24</v>
      </c>
      <c r="J188" s="40">
        <f>0.1+(0.02)</f>
        <v>0.12000000000000001</v>
      </c>
      <c r="K188" s="40"/>
      <c r="L188" s="40"/>
      <c r="M188" s="40"/>
      <c r="N188" s="40">
        <f>0.095+(0.02)</f>
        <v>0.115</v>
      </c>
      <c r="O188" s="40"/>
      <c r="P188" s="40"/>
      <c r="Q188" s="40"/>
      <c r="R188" s="40"/>
      <c r="S188" s="40"/>
      <c r="T188" s="40"/>
      <c r="U188" s="40">
        <f>0.0517+(0.02)</f>
        <v>7.17E-2</v>
      </c>
    </row>
    <row r="189" spans="1:21" x14ac:dyDescent="0.55000000000000004">
      <c r="A189" s="41" t="str">
        <f>'Population Definitions'!$A$7</f>
        <v>PLHIV 65+</v>
      </c>
      <c r="B189" s="41" t="s">
        <v>10</v>
      </c>
      <c r="C189" s="40" t="str">
        <f t="shared" si="13"/>
        <v>N.A.</v>
      </c>
      <c r="D189" s="41" t="s">
        <v>16</v>
      </c>
      <c r="E189" s="40">
        <f>0.130788031319911+(0.02)</f>
        <v>0.150788031319911</v>
      </c>
      <c r="F189" s="40">
        <f>0.131302596000888+(0.02)</f>
        <v>0.151302596000888</v>
      </c>
      <c r="G189" s="40">
        <f>0.130024453435642+(0.02)</f>
        <v>0.150024453435642</v>
      </c>
      <c r="H189" s="40">
        <f>0.131410138213842+(0.02)</f>
        <v>0.151410138213842</v>
      </c>
      <c r="I189" s="40">
        <f>0.125580043951237+(0.02)</f>
        <v>0.145580043951237</v>
      </c>
      <c r="J189" s="40">
        <f>0.125296306523879+(0.02)</f>
        <v>0.14529630652387898</v>
      </c>
      <c r="K189" s="40">
        <f>0.125556781547203+(0.02)</f>
        <v>0.145556781547203</v>
      </c>
      <c r="L189" s="40">
        <f>0.123378641752142+(0.02)</f>
        <v>0.14337864175214199</v>
      </c>
      <c r="M189" s="40">
        <f>0.121075936957955+(0.02)</f>
        <v>0.14107593695795501</v>
      </c>
      <c r="N189" s="40">
        <f>0.121968827232853+(0.02)</f>
        <v>0.14196882723285301</v>
      </c>
      <c r="O189" s="40">
        <f>0.117169094894402+(0.02)</f>
        <v>0.13716909489440199</v>
      </c>
      <c r="P189" s="40">
        <f>0.116501750335665+(0.02)</f>
        <v>0.136501750335665</v>
      </c>
      <c r="Q189" s="40">
        <f>0.113597812069496+(0.02)</f>
        <v>0.133597812069496</v>
      </c>
      <c r="R189" s="40">
        <f>0.109683597639683+(0.02)</f>
        <v>0.12968359763968298</v>
      </c>
      <c r="S189" s="40"/>
      <c r="T189" s="40"/>
      <c r="U189" s="40">
        <f>(5.17*2%)+(0.02)</f>
        <v>0.12340000000000001</v>
      </c>
    </row>
    <row r="190" spans="1:21" x14ac:dyDescent="0.55000000000000004">
      <c r="A190" s="41" t="str">
        <f>'Population Definitions'!$A$8</f>
        <v>Prisoners</v>
      </c>
      <c r="B190" s="41" t="s">
        <v>10</v>
      </c>
      <c r="C190" s="40" t="str">
        <f t="shared" si="13"/>
        <v>N.A.</v>
      </c>
      <c r="D190" s="41" t="s">
        <v>16</v>
      </c>
      <c r="E190" s="40">
        <f>0.00915683846293936+(0.02)</f>
        <v>2.9156838462939358E-2</v>
      </c>
      <c r="F190" s="40">
        <f>0.0100593014100637+(0.02)</f>
        <v>3.0059301410063702E-2</v>
      </c>
      <c r="G190" s="40">
        <f>0.0111691973208963+(0.02)</f>
        <v>3.1169197320896298E-2</v>
      </c>
      <c r="H190" s="40">
        <f>0.0122864004391382+(0.02)</f>
        <v>3.2286400439138198E-2</v>
      </c>
      <c r="I190" s="40">
        <f>0.0126735043308937+(0.02)</f>
        <v>3.26735043308937E-2</v>
      </c>
      <c r="J190" s="40">
        <f>0.0127732043562662+(0.02)</f>
        <v>3.2773204356266197E-2</v>
      </c>
      <c r="K190" s="40">
        <f>0.0127023240800516+(0.02)</f>
        <v>3.2702324080051602E-2</v>
      </c>
      <c r="L190" s="40">
        <f>0.012266814791303+(0.02)</f>
        <v>3.2266814791303E-2</v>
      </c>
      <c r="M190" s="40">
        <f>0.0118325987058051+(0.02)</f>
        <v>3.1832598705805099E-2</v>
      </c>
      <c r="N190" s="40">
        <f>0.0112209946451653+(0.02)</f>
        <v>3.1220994645165298E-2</v>
      </c>
      <c r="O190" s="40">
        <f>0.0103361982870805+(0.02)</f>
        <v>3.03361982870805E-2</v>
      </c>
      <c r="P190" s="40">
        <f>0.00930902912331952+(0.02)</f>
        <v>2.9309029123319522E-2</v>
      </c>
      <c r="Q190" s="40">
        <f>0.00853499545894003+(0.02)</f>
        <v>2.8534995458940032E-2</v>
      </c>
      <c r="R190" s="40">
        <f>0.00774277656267987+(0.02)</f>
        <v>2.7742776562679872E-2</v>
      </c>
      <c r="S190" s="40"/>
      <c r="T190" s="40"/>
      <c r="U190" s="40"/>
    </row>
    <row r="191" spans="1:21" x14ac:dyDescent="0.55000000000000004">
      <c r="A191" s="41" t="str">
        <f>'Population Definitions'!$A$9</f>
        <v>PLHIV Prisoners</v>
      </c>
      <c r="B191" s="41" t="s">
        <v>10</v>
      </c>
      <c r="C191" s="40" t="str">
        <f t="shared" si="13"/>
        <v>N.A.</v>
      </c>
      <c r="D191" s="41" t="s">
        <v>16</v>
      </c>
      <c r="E191" s="40">
        <f>0.064+(0.02)</f>
        <v>8.4000000000000005E-2</v>
      </c>
      <c r="F191" s="40">
        <f>0.063948651437988+(0.02)</f>
        <v>8.3948651437988006E-2</v>
      </c>
      <c r="G191" s="40">
        <f>0.0638988176268937+(0.02)</f>
        <v>8.3898817626893704E-2</v>
      </c>
      <c r="H191" s="40">
        <f>0.0638450264548522+(0.02)</f>
        <v>8.3845026454852201E-2</v>
      </c>
      <c r="I191" s="40">
        <f>0.0637038800778667+(0.02)</f>
        <v>8.3703880077866707E-2</v>
      </c>
      <c r="J191" s="40">
        <f>0.063354971996338+(0.02)</f>
        <v>8.3354971996337998E-2</v>
      </c>
      <c r="K191" s="40">
        <f>0.0628628864483211+(0.02)</f>
        <v>8.2862886448321099E-2</v>
      </c>
      <c r="L191" s="40">
        <f>0.0621620442417684+(0.02)</f>
        <v>8.21620442417684E-2</v>
      </c>
      <c r="M191" s="40">
        <f>0.0613708139244735+(0.02)</f>
        <v>8.1370813924473498E-2</v>
      </c>
      <c r="N191" s="40">
        <f>0.0604358083649289+(0.02)</f>
        <v>8.0435808364928904E-2</v>
      </c>
      <c r="O191" s="40">
        <f>0.0591917262714635+(0.02)</f>
        <v>7.9191726271463495E-2</v>
      </c>
      <c r="P191" s="40">
        <f>0.0574998491949804+(0.02)</f>
        <v>7.7499849194980402E-2</v>
      </c>
      <c r="Q191" s="40">
        <f>0.0559351614670864+(0.02)</f>
        <v>7.5935161467086398E-2</v>
      </c>
      <c r="R191" s="40">
        <f>0.0544861311717248+(0.02)</f>
        <v>7.4486131171724798E-2</v>
      </c>
      <c r="S191" s="40">
        <f>0.0535351493099285+(0.02)</f>
        <v>7.3535149309928494E-2</v>
      </c>
      <c r="T191" s="40">
        <f>0.0529028826750741+(0.02)</f>
        <v>7.2902882675074096E-2</v>
      </c>
      <c r="U191" s="40">
        <f>0.0516887916470763+(0.02)</f>
        <v>7.1688791647076297E-2</v>
      </c>
    </row>
    <row r="192" spans="1:21" x14ac:dyDescent="0.55000000000000004">
      <c r="A192" s="41" t="str">
        <f>'Population Definitions'!$A$10</f>
        <v>HCW</v>
      </c>
      <c r="B192" s="41" t="s">
        <v>10</v>
      </c>
      <c r="C192" s="40" t="str">
        <f t="shared" si="13"/>
        <v>N.A.</v>
      </c>
      <c r="D192" s="41" t="s">
        <v>16</v>
      </c>
      <c r="E192" s="40">
        <f>0.00915683846293936+(0.02)</f>
        <v>2.9156838462939358E-2</v>
      </c>
      <c r="F192" s="40">
        <f>0.0100593014100637+(0.02)</f>
        <v>3.0059301410063702E-2</v>
      </c>
      <c r="G192" s="40">
        <f>0.0111691973208963+(0.02)</f>
        <v>3.1169197320896298E-2</v>
      </c>
      <c r="H192" s="40">
        <f>0.0122864004391382+(0.02)</f>
        <v>3.2286400439138198E-2</v>
      </c>
      <c r="I192" s="40">
        <f>0.0126735043308937+(0.02)</f>
        <v>3.26735043308937E-2</v>
      </c>
      <c r="J192" s="40">
        <f>0.0127732043562662+(0.02)</f>
        <v>3.2773204356266197E-2</v>
      </c>
      <c r="K192" s="40">
        <f>0.0127023240800516+(0.02)</f>
        <v>3.2702324080051602E-2</v>
      </c>
      <c r="L192" s="40">
        <f>0.012266814791303+(0.02)</f>
        <v>3.2266814791303E-2</v>
      </c>
      <c r="M192" s="40">
        <f>0.0118325987058051+(0.02)</f>
        <v>3.1832598705805099E-2</v>
      </c>
      <c r="N192" s="40">
        <f>0.0112209946451653+(0.02)</f>
        <v>3.1220994645165298E-2</v>
      </c>
      <c r="O192" s="40">
        <f>0.0103361982870805+(0.02)</f>
        <v>3.03361982870805E-2</v>
      </c>
      <c r="P192" s="40">
        <f>0.00930902912331952+(0.02)</f>
        <v>2.9309029123319522E-2</v>
      </c>
      <c r="Q192" s="40">
        <f>0.00853499545894003+(0.02)</f>
        <v>2.8534995458940032E-2</v>
      </c>
      <c r="R192" s="40">
        <f>0.00774277656267987+(0.02)</f>
        <v>2.7742776562679872E-2</v>
      </c>
      <c r="S192" s="40"/>
      <c r="T192" s="40"/>
      <c r="U192" s="40"/>
    </row>
    <row r="193" spans="1:21" x14ac:dyDescent="0.55000000000000004">
      <c r="A193" s="41" t="str">
        <f>'Population Definitions'!$A$11</f>
        <v>PLHIV HCW</v>
      </c>
      <c r="B193" s="41" t="s">
        <v>10</v>
      </c>
      <c r="C193" s="40" t="str">
        <f t="shared" si="13"/>
        <v>N.A.</v>
      </c>
      <c r="D193" s="41" t="s">
        <v>16</v>
      </c>
      <c r="E193" s="40">
        <f>0.064+(0.02)</f>
        <v>8.4000000000000005E-2</v>
      </c>
      <c r="F193" s="40">
        <f>0.063948651437988+(0.02)</f>
        <v>8.3948651437988006E-2</v>
      </c>
      <c r="G193" s="40">
        <f>0.0638988176268937+(0.02)</f>
        <v>8.3898817626893704E-2</v>
      </c>
      <c r="H193" s="40">
        <f>0.0638450264548522+(0.02)</f>
        <v>8.3845026454852201E-2</v>
      </c>
      <c r="I193" s="40">
        <f>0.0637038800778667+(0.02)</f>
        <v>8.3703880077866707E-2</v>
      </c>
      <c r="J193" s="40">
        <f>0.063354971996338+(0.02)</f>
        <v>8.3354971996337998E-2</v>
      </c>
      <c r="K193" s="40">
        <f>0.0628628864483211+(0.02)</f>
        <v>8.2862886448321099E-2</v>
      </c>
      <c r="L193" s="40">
        <f>0.0621620442417684+(0.02)</f>
        <v>8.21620442417684E-2</v>
      </c>
      <c r="M193" s="40">
        <f>0.0613708139244735+(0.02)</f>
        <v>8.1370813924473498E-2</v>
      </c>
      <c r="N193" s="40">
        <f>0.0604358083649289+(0.02)</f>
        <v>8.0435808364928904E-2</v>
      </c>
      <c r="O193" s="40">
        <f>0.0591917262714635+(0.02)</f>
        <v>7.9191726271463495E-2</v>
      </c>
      <c r="P193" s="40">
        <f>0.0574998491949804+(0.02)</f>
        <v>7.7499849194980402E-2</v>
      </c>
      <c r="Q193" s="40">
        <f>0.0559351614670864+(0.02)</f>
        <v>7.5935161467086398E-2</v>
      </c>
      <c r="R193" s="40">
        <f>0.0544861311717248+(0.02)</f>
        <v>7.4486131171724798E-2</v>
      </c>
      <c r="S193" s="40">
        <f>0.0535351493099285+(0.02)</f>
        <v>7.3535149309928494E-2</v>
      </c>
      <c r="T193" s="40">
        <f>0.0529028826750741+(0.02)</f>
        <v>7.2902882675074096E-2</v>
      </c>
      <c r="U193" s="40">
        <f>0.0516887916470763+(0.02)</f>
        <v>7.1688791647076297E-2</v>
      </c>
    </row>
    <row r="194" spans="1:21" x14ac:dyDescent="0.55000000000000004">
      <c r="A194" s="41" t="str">
        <f>'Population Definitions'!$A$12</f>
        <v>Miners</v>
      </c>
      <c r="B194" s="41" t="s">
        <v>10</v>
      </c>
      <c r="C194" s="40" t="str">
        <f t="shared" si="13"/>
        <v>N.A.</v>
      </c>
      <c r="D194" s="41" t="s">
        <v>16</v>
      </c>
      <c r="E194" s="40">
        <f>0.00915683846293936+(0.02)</f>
        <v>2.9156838462939358E-2</v>
      </c>
      <c r="F194" s="40">
        <f>0.0100593014100637+(0.02)</f>
        <v>3.0059301410063702E-2</v>
      </c>
      <c r="G194" s="40">
        <f>0.0111691973208963+(0.02)</f>
        <v>3.1169197320896298E-2</v>
      </c>
      <c r="H194" s="40">
        <f>0.0122864004391382+(0.02)</f>
        <v>3.2286400439138198E-2</v>
      </c>
      <c r="I194" s="40">
        <f>0.0126735043308937+(0.02)</f>
        <v>3.26735043308937E-2</v>
      </c>
      <c r="J194" s="40">
        <f>0.0127732043562662+(0.02)</f>
        <v>3.2773204356266197E-2</v>
      </c>
      <c r="K194" s="40">
        <f>0.0127023240800516+(0.02)</f>
        <v>3.2702324080051602E-2</v>
      </c>
      <c r="L194" s="40">
        <f>0.012266814791303+(0.02)</f>
        <v>3.2266814791303E-2</v>
      </c>
      <c r="M194" s="40">
        <f>0.0118325987058051+(0.02)</f>
        <v>3.1832598705805099E-2</v>
      </c>
      <c r="N194" s="40">
        <f>0.0112209946451653+(0.02)</f>
        <v>3.1220994645165298E-2</v>
      </c>
      <c r="O194" s="40">
        <f>0.0103361982870805+(0.02)</f>
        <v>3.03361982870805E-2</v>
      </c>
      <c r="P194" s="40">
        <f>0.00930902912331952+(0.02)</f>
        <v>2.9309029123319522E-2</v>
      </c>
      <c r="Q194" s="40">
        <f>0.00853499545894003+(0.02)</f>
        <v>2.8534995458940032E-2</v>
      </c>
      <c r="R194" s="40">
        <f>0.00774277656267987+(0.02)</f>
        <v>2.7742776562679872E-2</v>
      </c>
      <c r="S194" s="40"/>
      <c r="T194" s="40"/>
      <c r="U194" s="40"/>
    </row>
    <row r="195" spans="1:21" x14ac:dyDescent="0.55000000000000004">
      <c r="A195" s="41" t="str">
        <f>'Population Definitions'!$A$13</f>
        <v>PLHIV Miners</v>
      </c>
      <c r="B195" s="41" t="s">
        <v>10</v>
      </c>
      <c r="C195" s="40" t="str">
        <f t="shared" si="13"/>
        <v>N.A.</v>
      </c>
      <c r="D195" s="41" t="s">
        <v>16</v>
      </c>
      <c r="E195" s="40">
        <f>0.064+(0.02)</f>
        <v>8.4000000000000005E-2</v>
      </c>
      <c r="F195" s="40">
        <f>0.063948651437988+(0.02)</f>
        <v>8.3948651437988006E-2</v>
      </c>
      <c r="G195" s="40">
        <f>0.0638988176268937+(0.02)</f>
        <v>8.3898817626893704E-2</v>
      </c>
      <c r="H195" s="40">
        <f>0.0638450264548522+(0.02)</f>
        <v>8.3845026454852201E-2</v>
      </c>
      <c r="I195" s="40">
        <f>0.0637038800778667+(0.02)</f>
        <v>8.3703880077866707E-2</v>
      </c>
      <c r="J195" s="40">
        <f>0.063354971996338+(0.02)</f>
        <v>8.3354971996337998E-2</v>
      </c>
      <c r="K195" s="40">
        <f>0.0628628864483211+(0.02)</f>
        <v>8.2862886448321099E-2</v>
      </c>
      <c r="L195" s="40">
        <f>0.0621620442417684+(0.02)</f>
        <v>8.21620442417684E-2</v>
      </c>
      <c r="M195" s="40">
        <f>0.0613708139244735+(0.02)</f>
        <v>8.1370813924473498E-2</v>
      </c>
      <c r="N195" s="40">
        <f>0.0604358083649289+(0.02)</f>
        <v>8.0435808364928904E-2</v>
      </c>
      <c r="O195" s="40">
        <f>0.0591917262714635+(0.02)</f>
        <v>7.9191726271463495E-2</v>
      </c>
      <c r="P195" s="40">
        <f>0.0574998491949804+(0.02)</f>
        <v>7.7499849194980402E-2</v>
      </c>
      <c r="Q195" s="40">
        <f>0.0559351614670864+(0.02)</f>
        <v>7.5935161467086398E-2</v>
      </c>
      <c r="R195" s="40">
        <f>0.0544861311717248+(0.02)</f>
        <v>7.4486131171724798E-2</v>
      </c>
      <c r="S195" s="40">
        <f>0.0535351493099285+(0.02)</f>
        <v>7.3535149309928494E-2</v>
      </c>
      <c r="T195" s="40">
        <f>0.0529028826750741+(0.02)</f>
        <v>7.2902882675074096E-2</v>
      </c>
      <c r="U195" s="40">
        <f>0.0516887916470763+(0.02)</f>
        <v>7.1688791647076297E-2</v>
      </c>
    </row>
    <row r="197" spans="1:21" x14ac:dyDescent="0.55000000000000004">
      <c r="A197" s="21" t="s">
        <v>158</v>
      </c>
      <c r="B197" s="41" t="s">
        <v>8</v>
      </c>
      <c r="C197" s="41" t="s">
        <v>9</v>
      </c>
      <c r="D197" s="41"/>
      <c r="E197" s="41">
        <v>2000</v>
      </c>
      <c r="F197" s="41">
        <v>2001</v>
      </c>
      <c r="G197" s="41">
        <v>2002</v>
      </c>
      <c r="H197" s="41">
        <v>2003</v>
      </c>
      <c r="I197" s="41">
        <v>2004</v>
      </c>
      <c r="J197" s="41">
        <v>2005</v>
      </c>
      <c r="K197" s="41">
        <v>2006</v>
      </c>
      <c r="L197" s="41">
        <v>2007</v>
      </c>
      <c r="M197" s="41">
        <v>2008</v>
      </c>
      <c r="N197" s="41">
        <v>2009</v>
      </c>
      <c r="O197" s="41">
        <v>2010</v>
      </c>
      <c r="P197" s="41">
        <v>2011</v>
      </c>
      <c r="Q197" s="41">
        <v>2012</v>
      </c>
      <c r="R197" s="41">
        <v>2013</v>
      </c>
      <c r="S197" s="41">
        <v>2014</v>
      </c>
      <c r="T197" s="41">
        <v>2015</v>
      </c>
      <c r="U197" s="41">
        <v>2016</v>
      </c>
    </row>
    <row r="198" spans="1:21" x14ac:dyDescent="0.55000000000000004">
      <c r="A198" s="41" t="str">
        <f>'Population Definitions'!$A$2</f>
        <v>Gen 0-4</v>
      </c>
      <c r="B198" s="41" t="s">
        <v>10</v>
      </c>
      <c r="C198" s="40" t="str">
        <f t="shared" ref="C198:C209" si="14">IF(SUMPRODUCT(--(E198:U198&lt;&gt;""))=0,0.02,"N.A.")</f>
        <v>N.A.</v>
      </c>
      <c r="D198" s="41" t="s">
        <v>16</v>
      </c>
      <c r="E198" s="40">
        <f>0.00725373961218837+(0.02)</f>
        <v>2.7253739612188368E-2</v>
      </c>
      <c r="F198" s="40">
        <f>0.00754172015404365+(0.02)</f>
        <v>2.7541720154043652E-2</v>
      </c>
      <c r="G198" s="40">
        <f>0.00859907578558225+(0.02)</f>
        <v>2.859907578558225E-2</v>
      </c>
      <c r="H198" s="40">
        <f>0.00977512231840422+(0.02)</f>
        <v>2.9775122318404221E-2</v>
      </c>
      <c r="I198" s="40">
        <f>0.0109975129137172+(0.02)</f>
        <v>3.09975129137172E-2</v>
      </c>
      <c r="J198" s="40">
        <f>0.0119463255098115+(0.02)</f>
        <v>3.1946325509811496E-2</v>
      </c>
      <c r="K198" s="40">
        <f>0.0124815962805114+(0.02)</f>
        <v>3.24815962805114E-2</v>
      </c>
      <c r="L198" s="40">
        <f>0.011825405921681+(0.02)</f>
        <v>3.1825405921680996E-2</v>
      </c>
      <c r="M198" s="40">
        <f>0.011405505952381+(0.02)</f>
        <v>3.1405505952381001E-2</v>
      </c>
      <c r="N198" s="40">
        <f>0.00944434356273833+(0.02)</f>
        <v>2.9444343562738333E-2</v>
      </c>
      <c r="O198" s="40">
        <f>0.00861112107623318+(0.02)</f>
        <v>2.8611121076233183E-2</v>
      </c>
      <c r="P198" s="40">
        <f>0.00679263157894737+(0.02)</f>
        <v>2.679263157894737E-2</v>
      </c>
      <c r="Q198" s="40">
        <f>0.00661699507389163+(0.02)</f>
        <v>2.661699507389163E-2</v>
      </c>
      <c r="R198" s="40">
        <f>0.00629827709978464+(0.02)</f>
        <v>2.6298277099784641E-2</v>
      </c>
      <c r="S198" s="40"/>
      <c r="T198" s="40"/>
      <c r="U198" s="40"/>
    </row>
    <row r="199" spans="1:21" x14ac:dyDescent="0.55000000000000004">
      <c r="A199" s="41" t="str">
        <f>'Population Definitions'!$A$3</f>
        <v>Gen 5-14</v>
      </c>
      <c r="B199" s="41" t="s">
        <v>10</v>
      </c>
      <c r="C199" s="40" t="str">
        <f t="shared" si="14"/>
        <v>N.A.</v>
      </c>
      <c r="D199" s="41" t="s">
        <v>16</v>
      </c>
      <c r="E199" s="40">
        <f>0.000656411758960836+(0.02)</f>
        <v>2.0656411758960838E-2</v>
      </c>
      <c r="F199" s="40">
        <f>0.000688524590163934+(0.02)</f>
        <v>2.0688524590163935E-2</v>
      </c>
      <c r="G199" s="40">
        <f>0.000747687861271676+(0.02)</f>
        <v>2.0747687861271676E-2</v>
      </c>
      <c r="H199" s="40">
        <f>0.000829968424074251+(0.02)</f>
        <v>2.0829968424074252E-2</v>
      </c>
      <c r="I199" s="40">
        <f>0.000945745288406625+(0.02)</f>
        <v>2.0945745288406627E-2</v>
      </c>
      <c r="J199" s="40">
        <f>0.000969420702754036+(0.02)</f>
        <v>2.0969420702754038E-2</v>
      </c>
      <c r="K199" s="40">
        <f>0.000939376716870323+(0.02)</f>
        <v>2.0939376716870323E-2</v>
      </c>
      <c r="L199" s="40">
        <f>0.000905073494547179+(0.02)</f>
        <v>2.0905073494547181E-2</v>
      </c>
      <c r="M199" s="40">
        <f>0.000873928775471339+(0.02)</f>
        <v>2.087392877547134E-2</v>
      </c>
      <c r="N199" s="40">
        <f>0.000847994639609457+(0.02)</f>
        <v>2.0847994639609457E-2</v>
      </c>
      <c r="O199" s="40">
        <f>0.000888033859176606+(0.02)</f>
        <v>2.0888033859176605E-2</v>
      </c>
      <c r="P199" s="40">
        <f>0.000801447876447876+(0.02)</f>
        <v>2.0801447876447877E-2</v>
      </c>
      <c r="Q199" s="40">
        <f>0.000869464544138929+(0.02)</f>
        <v>2.0869464544138929E-2</v>
      </c>
      <c r="R199" s="40">
        <f>0.000637952559300874+(0.02)</f>
        <v>2.0637952559300874E-2</v>
      </c>
      <c r="S199" s="40"/>
      <c r="T199" s="40"/>
      <c r="U199" s="40"/>
    </row>
    <row r="200" spans="1:21" x14ac:dyDescent="0.55000000000000004">
      <c r="A200" s="41" t="str">
        <f>'Population Definitions'!$A$4</f>
        <v>Gen 15-64</v>
      </c>
      <c r="B200" s="41" t="s">
        <v>10</v>
      </c>
      <c r="C200" s="40" t="str">
        <f t="shared" si="14"/>
        <v>N.A.</v>
      </c>
      <c r="D200" s="41" t="s">
        <v>16</v>
      </c>
      <c r="E200" s="40">
        <f>0.00915683846293936+(0.02)</f>
        <v>2.9156838462939358E-2</v>
      </c>
      <c r="F200" s="40">
        <f>0.0100593014100637+(0.02)</f>
        <v>3.0059301410063702E-2</v>
      </c>
      <c r="G200" s="40">
        <f>0.0111691973208963+(0.02)</f>
        <v>3.1169197320896298E-2</v>
      </c>
      <c r="H200" s="40">
        <f>0.0122864004391382+(0.02)</f>
        <v>3.2286400439138198E-2</v>
      </c>
      <c r="I200" s="40">
        <f>0.0126735043308937+(0.02)</f>
        <v>3.26735043308937E-2</v>
      </c>
      <c r="J200" s="40">
        <f>0.0127732043562662+(0.02)</f>
        <v>3.2773204356266197E-2</v>
      </c>
      <c r="K200" s="40">
        <f>0.0127023240800516+(0.02)</f>
        <v>3.2702324080051602E-2</v>
      </c>
      <c r="L200" s="40">
        <f>0.012266814791303+(0.02)</f>
        <v>3.2266814791303E-2</v>
      </c>
      <c r="M200" s="40">
        <f>0.0118325987058051+(0.02)</f>
        <v>3.1832598705805099E-2</v>
      </c>
      <c r="N200" s="40">
        <f>0.0112209946451653+(0.02)</f>
        <v>3.1220994645165298E-2</v>
      </c>
      <c r="O200" s="40">
        <f>0.0103361982870805+(0.02)</f>
        <v>3.03361982870805E-2</v>
      </c>
      <c r="P200" s="40">
        <f>0.00930902912331952+(0.02)</f>
        <v>2.9309029123319522E-2</v>
      </c>
      <c r="Q200" s="40">
        <f>0.00853499545894003+(0.02)</f>
        <v>2.8534995458940032E-2</v>
      </c>
      <c r="R200" s="40">
        <f>0.00774277656267987+(0.02)</f>
        <v>2.7742776562679872E-2</v>
      </c>
      <c r="S200" s="40"/>
      <c r="T200" s="40"/>
      <c r="U200" s="40"/>
    </row>
    <row r="201" spans="1:21" x14ac:dyDescent="0.55000000000000004">
      <c r="A201" s="41" t="str">
        <f>'Population Definitions'!$A$5</f>
        <v>Gen 65+</v>
      </c>
      <c r="B201" s="41" t="s">
        <v>10</v>
      </c>
      <c r="C201" s="40" t="str">
        <f t="shared" si="14"/>
        <v>N.A.</v>
      </c>
      <c r="D201" s="41" t="s">
        <v>16</v>
      </c>
      <c r="E201" s="40">
        <f>0.0667880313199105+(0.02)</f>
        <v>8.6788031319910502E-2</v>
      </c>
      <c r="F201" s="40">
        <f>0.0673539445628998+(0.02)</f>
        <v>8.7353944562899799E-2</v>
      </c>
      <c r="G201" s="40">
        <f>0.0661256358087487+(0.02)</f>
        <v>8.6125635808748699E-2</v>
      </c>
      <c r="H201" s="40">
        <f>0.0675651117589893+(0.02)</f>
        <v>8.7565111758989303E-2</v>
      </c>
      <c r="I201" s="40">
        <f>0.0618761638733706+(0.02)</f>
        <v>8.18761638733706E-2</v>
      </c>
      <c r="J201" s="40">
        <f>0.0619413345275414+(0.02)</f>
        <v>8.1941334527541404E-2</v>
      </c>
      <c r="K201" s="40">
        <f>0.0626938950988822+(0.02)</f>
        <v>8.2693895098882197E-2</v>
      </c>
      <c r="L201" s="40">
        <f>0.0612165975103734+(0.02)</f>
        <v>8.1216597510373398E-2</v>
      </c>
      <c r="M201" s="40">
        <f>0.0597051230334812+(0.02)</f>
        <v>7.9705123033481207E-2</v>
      </c>
      <c r="N201" s="40">
        <f>0.0615330188679245+(0.02)</f>
        <v>8.1533018867924495E-2</v>
      </c>
      <c r="O201" s="40">
        <f>0.0579773686229382+(0.02)</f>
        <v>7.7977368622938206E-2</v>
      </c>
      <c r="P201" s="40">
        <f>0.0590019011406844+(0.02)</f>
        <v>7.9001901140684394E-2</v>
      </c>
      <c r="Q201" s="40">
        <f>0.0576626506024096+(0.02)</f>
        <v>7.7662650602409594E-2</v>
      </c>
      <c r="R201" s="40">
        <f>0.0551974664679583+(0.02)</f>
        <v>7.5197466467958302E-2</v>
      </c>
      <c r="S201" s="40"/>
      <c r="T201" s="40"/>
      <c r="U201" s="40"/>
    </row>
    <row r="202" spans="1:21" x14ac:dyDescent="0.55000000000000004">
      <c r="A202" s="41" t="str">
        <f>'Population Definitions'!$A$6</f>
        <v>PLHIV 15-64</v>
      </c>
      <c r="B202" s="41" t="s">
        <v>10</v>
      </c>
      <c r="C202" s="40" t="str">
        <f t="shared" si="14"/>
        <v>N.A.</v>
      </c>
      <c r="D202" s="41" t="s">
        <v>16</v>
      </c>
      <c r="E202" s="40">
        <f>0.22+(0.02)</f>
        <v>0.24</v>
      </c>
      <c r="F202" s="40"/>
      <c r="G202" s="40"/>
      <c r="H202" s="40"/>
      <c r="I202" s="40">
        <f>0.22+(0.02)</f>
        <v>0.24</v>
      </c>
      <c r="J202" s="40">
        <f>0.1+(0.02)</f>
        <v>0.12000000000000001</v>
      </c>
      <c r="K202" s="40"/>
      <c r="L202" s="40"/>
      <c r="M202" s="40"/>
      <c r="N202" s="40">
        <f>0.095+(0.02)</f>
        <v>0.115</v>
      </c>
      <c r="O202" s="40"/>
      <c r="P202" s="40"/>
      <c r="Q202" s="40"/>
      <c r="R202" s="40"/>
      <c r="S202" s="40"/>
      <c r="T202" s="40"/>
      <c r="U202" s="40">
        <f>0.0517+(0.02)</f>
        <v>7.17E-2</v>
      </c>
    </row>
    <row r="203" spans="1:21" x14ac:dyDescent="0.55000000000000004">
      <c r="A203" s="41" t="str">
        <f>'Population Definitions'!$A$7</f>
        <v>PLHIV 65+</v>
      </c>
      <c r="B203" s="41" t="s">
        <v>10</v>
      </c>
      <c r="C203" s="40" t="str">
        <f t="shared" si="14"/>
        <v>N.A.</v>
      </c>
      <c r="D203" s="41" t="s">
        <v>16</v>
      </c>
      <c r="E203" s="40">
        <f>0.130788031319911+(0.02)</f>
        <v>0.150788031319911</v>
      </c>
      <c r="F203" s="40">
        <f>0.131302596000888+(0.02)</f>
        <v>0.151302596000888</v>
      </c>
      <c r="G203" s="40">
        <f>0.130024453435642+(0.02)</f>
        <v>0.150024453435642</v>
      </c>
      <c r="H203" s="40">
        <f>0.131410138213842+(0.02)</f>
        <v>0.151410138213842</v>
      </c>
      <c r="I203" s="40">
        <f>0.125580043951237+(0.02)</f>
        <v>0.145580043951237</v>
      </c>
      <c r="J203" s="40">
        <f>0.125296306523879+(0.02)</f>
        <v>0.14529630652387898</v>
      </c>
      <c r="K203" s="40">
        <f>0.125556781547203+(0.02)</f>
        <v>0.145556781547203</v>
      </c>
      <c r="L203" s="40">
        <f>0.123378641752142+(0.02)</f>
        <v>0.14337864175214199</v>
      </c>
      <c r="M203" s="40">
        <f>0.121075936957955+(0.02)</f>
        <v>0.14107593695795501</v>
      </c>
      <c r="N203" s="40">
        <f>0.121968827232853+(0.02)</f>
        <v>0.14196882723285301</v>
      </c>
      <c r="O203" s="40">
        <f>0.117169094894402+(0.02)</f>
        <v>0.13716909489440199</v>
      </c>
      <c r="P203" s="40">
        <f>0.116501750335665+(0.02)</f>
        <v>0.136501750335665</v>
      </c>
      <c r="Q203" s="40">
        <f>0.113597812069496+(0.02)</f>
        <v>0.133597812069496</v>
      </c>
      <c r="R203" s="40">
        <f>0.109683597639683+(0.02)</f>
        <v>0.12968359763968298</v>
      </c>
      <c r="S203" s="40"/>
      <c r="T203" s="40"/>
      <c r="U203" s="40">
        <f>(5.17*2%)+(0.02)</f>
        <v>0.12340000000000001</v>
      </c>
    </row>
    <row r="204" spans="1:21" x14ac:dyDescent="0.55000000000000004">
      <c r="A204" s="41" t="str">
        <f>'Population Definitions'!$A$8</f>
        <v>Prisoners</v>
      </c>
      <c r="B204" s="41" t="s">
        <v>10</v>
      </c>
      <c r="C204" s="40" t="str">
        <f t="shared" si="14"/>
        <v>N.A.</v>
      </c>
      <c r="D204" s="41" t="s">
        <v>16</v>
      </c>
      <c r="E204" s="40">
        <f>0.00915683846293936+(0.02)</f>
        <v>2.9156838462939358E-2</v>
      </c>
      <c r="F204" s="40">
        <f>0.0100593014100637+(0.02)</f>
        <v>3.0059301410063702E-2</v>
      </c>
      <c r="G204" s="40">
        <f>0.0111691973208963+(0.02)</f>
        <v>3.1169197320896298E-2</v>
      </c>
      <c r="H204" s="40">
        <f>0.0122864004391382+(0.02)</f>
        <v>3.2286400439138198E-2</v>
      </c>
      <c r="I204" s="40">
        <f>0.0126735043308937+(0.02)</f>
        <v>3.26735043308937E-2</v>
      </c>
      <c r="J204" s="40">
        <f>0.0127732043562662+(0.02)</f>
        <v>3.2773204356266197E-2</v>
      </c>
      <c r="K204" s="40">
        <f>0.0127023240800516+(0.02)</f>
        <v>3.2702324080051602E-2</v>
      </c>
      <c r="L204" s="40">
        <f>0.012266814791303+(0.02)</f>
        <v>3.2266814791303E-2</v>
      </c>
      <c r="M204" s="40">
        <f>0.0118325987058051+(0.02)</f>
        <v>3.1832598705805099E-2</v>
      </c>
      <c r="N204" s="40">
        <f>0.0112209946451653+(0.02)</f>
        <v>3.1220994645165298E-2</v>
      </c>
      <c r="O204" s="40">
        <f>0.0103361982870805+(0.02)</f>
        <v>3.03361982870805E-2</v>
      </c>
      <c r="P204" s="40">
        <f>0.00930902912331952+(0.02)</f>
        <v>2.9309029123319522E-2</v>
      </c>
      <c r="Q204" s="40">
        <f>0.00853499545894003+(0.02)</f>
        <v>2.8534995458940032E-2</v>
      </c>
      <c r="R204" s="40">
        <f>0.00774277656267987+(0.02)</f>
        <v>2.7742776562679872E-2</v>
      </c>
      <c r="S204" s="40"/>
      <c r="T204" s="40"/>
      <c r="U204" s="40"/>
    </row>
    <row r="205" spans="1:21" x14ac:dyDescent="0.55000000000000004">
      <c r="A205" s="41" t="str">
        <f>'Population Definitions'!$A$9</f>
        <v>PLHIV Prisoners</v>
      </c>
      <c r="B205" s="41" t="s">
        <v>10</v>
      </c>
      <c r="C205" s="40" t="str">
        <f t="shared" si="14"/>
        <v>N.A.</v>
      </c>
      <c r="D205" s="41" t="s">
        <v>16</v>
      </c>
      <c r="E205" s="40">
        <f>0.064+(0.02)</f>
        <v>8.4000000000000005E-2</v>
      </c>
      <c r="F205" s="40">
        <f>0.063948651437988+(0.02)</f>
        <v>8.3948651437988006E-2</v>
      </c>
      <c r="G205" s="40">
        <f>0.0638988176268937+(0.02)</f>
        <v>8.3898817626893704E-2</v>
      </c>
      <c r="H205" s="40">
        <f>0.0638450264548522+(0.02)</f>
        <v>8.3845026454852201E-2</v>
      </c>
      <c r="I205" s="40">
        <f>0.0637038800778667+(0.02)</f>
        <v>8.3703880077866707E-2</v>
      </c>
      <c r="J205" s="40">
        <f>0.063354971996338+(0.02)</f>
        <v>8.3354971996337998E-2</v>
      </c>
      <c r="K205" s="40">
        <f>0.0628628864483211+(0.02)</f>
        <v>8.2862886448321099E-2</v>
      </c>
      <c r="L205" s="40">
        <f>0.0621620442417684+(0.02)</f>
        <v>8.21620442417684E-2</v>
      </c>
      <c r="M205" s="40">
        <f>0.0613708139244735+(0.02)</f>
        <v>8.1370813924473498E-2</v>
      </c>
      <c r="N205" s="40">
        <f>0.0604358083649289+(0.02)</f>
        <v>8.0435808364928904E-2</v>
      </c>
      <c r="O205" s="40">
        <f>0.0591917262714635+(0.02)</f>
        <v>7.9191726271463495E-2</v>
      </c>
      <c r="P205" s="40">
        <f>0.0574998491949804+(0.02)</f>
        <v>7.7499849194980402E-2</v>
      </c>
      <c r="Q205" s="40">
        <f>0.0559351614670864+(0.02)</f>
        <v>7.5935161467086398E-2</v>
      </c>
      <c r="R205" s="40">
        <f>0.0544861311717248+(0.02)</f>
        <v>7.4486131171724798E-2</v>
      </c>
      <c r="S205" s="40">
        <f>0.0535351493099285+(0.02)</f>
        <v>7.3535149309928494E-2</v>
      </c>
      <c r="T205" s="40">
        <f>0.0529028826750741+(0.02)</f>
        <v>7.2902882675074096E-2</v>
      </c>
      <c r="U205" s="40">
        <f>0.0516887916470763+(0.02)</f>
        <v>7.1688791647076297E-2</v>
      </c>
    </row>
    <row r="206" spans="1:21" x14ac:dyDescent="0.55000000000000004">
      <c r="A206" s="41" t="str">
        <f>'Population Definitions'!$A$10</f>
        <v>HCW</v>
      </c>
      <c r="B206" s="41" t="s">
        <v>10</v>
      </c>
      <c r="C206" s="40" t="str">
        <f t="shared" si="14"/>
        <v>N.A.</v>
      </c>
      <c r="D206" s="41" t="s">
        <v>16</v>
      </c>
      <c r="E206" s="40">
        <f>0.00915683846293936+(0.02)</f>
        <v>2.9156838462939358E-2</v>
      </c>
      <c r="F206" s="40">
        <f>0.0100593014100637+(0.02)</f>
        <v>3.0059301410063702E-2</v>
      </c>
      <c r="G206" s="40">
        <f>0.0111691973208963+(0.02)</f>
        <v>3.1169197320896298E-2</v>
      </c>
      <c r="H206" s="40">
        <f>0.0122864004391382+(0.02)</f>
        <v>3.2286400439138198E-2</v>
      </c>
      <c r="I206" s="40">
        <f>0.0126735043308937+(0.02)</f>
        <v>3.26735043308937E-2</v>
      </c>
      <c r="J206" s="40">
        <f>0.0127732043562662+(0.02)</f>
        <v>3.2773204356266197E-2</v>
      </c>
      <c r="K206" s="40">
        <f>0.0127023240800516+(0.02)</f>
        <v>3.2702324080051602E-2</v>
      </c>
      <c r="L206" s="40">
        <f>0.012266814791303+(0.02)</f>
        <v>3.2266814791303E-2</v>
      </c>
      <c r="M206" s="40">
        <f>0.0118325987058051+(0.02)</f>
        <v>3.1832598705805099E-2</v>
      </c>
      <c r="N206" s="40">
        <f>0.0112209946451653+(0.02)</f>
        <v>3.1220994645165298E-2</v>
      </c>
      <c r="O206" s="40">
        <f>0.0103361982870805+(0.02)</f>
        <v>3.03361982870805E-2</v>
      </c>
      <c r="P206" s="40">
        <f>0.00930902912331952+(0.02)</f>
        <v>2.9309029123319522E-2</v>
      </c>
      <c r="Q206" s="40">
        <f>0.00853499545894003+(0.02)</f>
        <v>2.8534995458940032E-2</v>
      </c>
      <c r="R206" s="40">
        <f>0.00774277656267987+(0.02)</f>
        <v>2.7742776562679872E-2</v>
      </c>
      <c r="S206" s="40"/>
      <c r="T206" s="40"/>
      <c r="U206" s="40"/>
    </row>
    <row r="207" spans="1:21" x14ac:dyDescent="0.55000000000000004">
      <c r="A207" s="41" t="str">
        <f>'Population Definitions'!$A$11</f>
        <v>PLHIV HCW</v>
      </c>
      <c r="B207" s="41" t="s">
        <v>10</v>
      </c>
      <c r="C207" s="40" t="str">
        <f t="shared" si="14"/>
        <v>N.A.</v>
      </c>
      <c r="D207" s="41" t="s">
        <v>16</v>
      </c>
      <c r="E207" s="40">
        <f>0.064+(0.02)</f>
        <v>8.4000000000000005E-2</v>
      </c>
      <c r="F207" s="40">
        <f>0.063948651437988+(0.02)</f>
        <v>8.3948651437988006E-2</v>
      </c>
      <c r="G207" s="40">
        <f>0.0638988176268937+(0.02)</f>
        <v>8.3898817626893704E-2</v>
      </c>
      <c r="H207" s="40">
        <f>0.0638450264548522+(0.02)</f>
        <v>8.3845026454852201E-2</v>
      </c>
      <c r="I207" s="40">
        <f>0.0637038800778667+(0.02)</f>
        <v>8.3703880077866707E-2</v>
      </c>
      <c r="J207" s="40">
        <f>0.063354971996338+(0.02)</f>
        <v>8.3354971996337998E-2</v>
      </c>
      <c r="K207" s="40">
        <f>0.0628628864483211+(0.02)</f>
        <v>8.2862886448321099E-2</v>
      </c>
      <c r="L207" s="40">
        <f>0.0621620442417684+(0.02)</f>
        <v>8.21620442417684E-2</v>
      </c>
      <c r="M207" s="40">
        <f>0.0613708139244735+(0.02)</f>
        <v>8.1370813924473498E-2</v>
      </c>
      <c r="N207" s="40">
        <f>0.0604358083649289+(0.02)</f>
        <v>8.0435808364928904E-2</v>
      </c>
      <c r="O207" s="40">
        <f>0.0591917262714635+(0.02)</f>
        <v>7.9191726271463495E-2</v>
      </c>
      <c r="P207" s="40">
        <f>0.0574998491949804+(0.02)</f>
        <v>7.7499849194980402E-2</v>
      </c>
      <c r="Q207" s="40">
        <f>0.0559351614670864+(0.02)</f>
        <v>7.5935161467086398E-2</v>
      </c>
      <c r="R207" s="40">
        <f>0.0544861311717248+(0.02)</f>
        <v>7.4486131171724798E-2</v>
      </c>
      <c r="S207" s="40">
        <f>0.0535351493099285+(0.02)</f>
        <v>7.3535149309928494E-2</v>
      </c>
      <c r="T207" s="40">
        <f>0.0529028826750741+(0.02)</f>
        <v>7.2902882675074096E-2</v>
      </c>
      <c r="U207" s="40">
        <f>0.0516887916470763+(0.02)</f>
        <v>7.1688791647076297E-2</v>
      </c>
    </row>
    <row r="208" spans="1:21" x14ac:dyDescent="0.55000000000000004">
      <c r="A208" s="41" t="str">
        <f>'Population Definitions'!$A$12</f>
        <v>Miners</v>
      </c>
      <c r="B208" s="41" t="s">
        <v>10</v>
      </c>
      <c r="C208" s="40" t="str">
        <f t="shared" si="14"/>
        <v>N.A.</v>
      </c>
      <c r="D208" s="41" t="s">
        <v>16</v>
      </c>
      <c r="E208" s="40">
        <f>0.00915683846293936+(0.02)</f>
        <v>2.9156838462939358E-2</v>
      </c>
      <c r="F208" s="40">
        <f>0.0100593014100637+(0.02)</f>
        <v>3.0059301410063702E-2</v>
      </c>
      <c r="G208" s="40">
        <f>0.0111691973208963+(0.02)</f>
        <v>3.1169197320896298E-2</v>
      </c>
      <c r="H208" s="40">
        <f>0.0122864004391382+(0.02)</f>
        <v>3.2286400439138198E-2</v>
      </c>
      <c r="I208" s="40">
        <f>0.0126735043308937+(0.02)</f>
        <v>3.26735043308937E-2</v>
      </c>
      <c r="J208" s="40">
        <f>0.0127732043562662+(0.02)</f>
        <v>3.2773204356266197E-2</v>
      </c>
      <c r="K208" s="40">
        <f>0.0127023240800516+(0.02)</f>
        <v>3.2702324080051602E-2</v>
      </c>
      <c r="L208" s="40">
        <f>0.012266814791303+(0.02)</f>
        <v>3.2266814791303E-2</v>
      </c>
      <c r="M208" s="40">
        <f>0.0118325987058051+(0.02)</f>
        <v>3.1832598705805099E-2</v>
      </c>
      <c r="N208" s="40">
        <f>0.0112209946451653+(0.02)</f>
        <v>3.1220994645165298E-2</v>
      </c>
      <c r="O208" s="40">
        <f>0.0103361982870805+(0.02)</f>
        <v>3.03361982870805E-2</v>
      </c>
      <c r="P208" s="40">
        <f>0.00930902912331952+(0.02)</f>
        <v>2.9309029123319522E-2</v>
      </c>
      <c r="Q208" s="40">
        <f>0.00853499545894003+(0.02)</f>
        <v>2.8534995458940032E-2</v>
      </c>
      <c r="R208" s="40">
        <f>0.00774277656267987+(0.02)</f>
        <v>2.7742776562679872E-2</v>
      </c>
      <c r="S208" s="40"/>
      <c r="T208" s="40"/>
      <c r="U208" s="40"/>
    </row>
    <row r="209" spans="1:21" x14ac:dyDescent="0.55000000000000004">
      <c r="A209" s="41" t="str">
        <f>'Population Definitions'!$A$13</f>
        <v>PLHIV Miners</v>
      </c>
      <c r="B209" s="41" t="s">
        <v>10</v>
      </c>
      <c r="C209" s="40" t="str">
        <f t="shared" si="14"/>
        <v>N.A.</v>
      </c>
      <c r="D209" s="41" t="s">
        <v>16</v>
      </c>
      <c r="E209" s="40">
        <f>0.064+(0.02)</f>
        <v>8.4000000000000005E-2</v>
      </c>
      <c r="F209" s="40">
        <f>0.063948651437988+(0.02)</f>
        <v>8.3948651437988006E-2</v>
      </c>
      <c r="G209" s="40">
        <f>0.0638988176268937+(0.02)</f>
        <v>8.3898817626893704E-2</v>
      </c>
      <c r="H209" s="40">
        <f>0.0638450264548522+(0.02)</f>
        <v>8.3845026454852201E-2</v>
      </c>
      <c r="I209" s="40">
        <f>0.0637038800778667+(0.02)</f>
        <v>8.3703880077866707E-2</v>
      </c>
      <c r="J209" s="40">
        <f>0.063354971996338+(0.02)</f>
        <v>8.3354971996337998E-2</v>
      </c>
      <c r="K209" s="40">
        <f>0.0628628864483211+(0.02)</f>
        <v>8.2862886448321099E-2</v>
      </c>
      <c r="L209" s="40">
        <f>0.0621620442417684+(0.02)</f>
        <v>8.21620442417684E-2</v>
      </c>
      <c r="M209" s="40">
        <f>0.0613708139244735+(0.02)</f>
        <v>8.1370813924473498E-2</v>
      </c>
      <c r="N209" s="40">
        <f>0.0604358083649289+(0.02)</f>
        <v>8.0435808364928904E-2</v>
      </c>
      <c r="O209" s="40">
        <f>0.0591917262714635+(0.02)</f>
        <v>7.9191726271463495E-2</v>
      </c>
      <c r="P209" s="40">
        <f>0.0574998491949804+(0.02)</f>
        <v>7.7499849194980402E-2</v>
      </c>
      <c r="Q209" s="40">
        <f>0.0559351614670864+(0.02)</f>
        <v>7.5935161467086398E-2</v>
      </c>
      <c r="R209" s="40">
        <f>0.0544861311717248+(0.02)</f>
        <v>7.4486131171724798E-2</v>
      </c>
      <c r="S209" s="40">
        <f>0.0535351493099285+(0.02)</f>
        <v>7.3535149309928494E-2</v>
      </c>
      <c r="T209" s="40">
        <f>0.0529028826750741+(0.02)</f>
        <v>7.2902882675074096E-2</v>
      </c>
      <c r="U209" s="40">
        <f>0.0516887916470763+(0.02)</f>
        <v>7.1688791647076297E-2</v>
      </c>
    </row>
    <row r="211" spans="1:21" x14ac:dyDescent="0.55000000000000004">
      <c r="A211" s="21" t="s">
        <v>159</v>
      </c>
      <c r="B211" s="41" t="s">
        <v>8</v>
      </c>
      <c r="C211" s="41" t="s">
        <v>9</v>
      </c>
      <c r="D211" s="41"/>
      <c r="E211" s="41">
        <v>2000</v>
      </c>
      <c r="F211" s="41">
        <v>2001</v>
      </c>
      <c r="G211" s="41">
        <v>2002</v>
      </c>
      <c r="H211" s="41">
        <v>2003</v>
      </c>
      <c r="I211" s="41">
        <v>2004</v>
      </c>
      <c r="J211" s="41">
        <v>2005</v>
      </c>
      <c r="K211" s="41">
        <v>2006</v>
      </c>
      <c r="L211" s="41">
        <v>2007</v>
      </c>
      <c r="M211" s="41">
        <v>2008</v>
      </c>
      <c r="N211" s="41">
        <v>2009</v>
      </c>
      <c r="O211" s="41">
        <v>2010</v>
      </c>
      <c r="P211" s="41">
        <v>2011</v>
      </c>
      <c r="Q211" s="41">
        <v>2012</v>
      </c>
      <c r="R211" s="41">
        <v>2013</v>
      </c>
      <c r="S211" s="41">
        <v>2014</v>
      </c>
      <c r="T211" s="41">
        <v>2015</v>
      </c>
      <c r="U211" s="41">
        <v>2016</v>
      </c>
    </row>
    <row r="212" spans="1:21" x14ac:dyDescent="0.55000000000000004">
      <c r="A212" s="41" t="str">
        <f>'Population Definitions'!$A$2</f>
        <v>Gen 0-4</v>
      </c>
      <c r="B212" s="41" t="s">
        <v>10</v>
      </c>
      <c r="C212" s="40" t="str">
        <f t="shared" ref="C212:C223" si="15">IF(SUMPRODUCT(--(E212:U212&lt;&gt;""))=0,0.02,"N.A.")</f>
        <v>N.A.</v>
      </c>
      <c r="D212" s="41" t="s">
        <v>16</v>
      </c>
      <c r="E212" s="40">
        <f>0.00725373961218837+(0.02)</f>
        <v>2.7253739612188368E-2</v>
      </c>
      <c r="F212" s="40">
        <f>0.00754172015404365+(0.02)</f>
        <v>2.7541720154043652E-2</v>
      </c>
      <c r="G212" s="40">
        <f>0.00859907578558225+(0.02)</f>
        <v>2.859907578558225E-2</v>
      </c>
      <c r="H212" s="40">
        <f>0.00977512231840422+(0.02)</f>
        <v>2.9775122318404221E-2</v>
      </c>
      <c r="I212" s="40">
        <f>0.0109975129137172+(0.02)</f>
        <v>3.09975129137172E-2</v>
      </c>
      <c r="J212" s="40">
        <f>0.0119463255098115+(0.02)</f>
        <v>3.1946325509811496E-2</v>
      </c>
      <c r="K212" s="40">
        <f>0.0124815962805114+(0.02)</f>
        <v>3.24815962805114E-2</v>
      </c>
      <c r="L212" s="40">
        <f>0.011825405921681+(0.02)</f>
        <v>3.1825405921680996E-2</v>
      </c>
      <c r="M212" s="40">
        <f>0.011405505952381+(0.02)</f>
        <v>3.1405505952381001E-2</v>
      </c>
      <c r="N212" s="40">
        <f>0.00944434356273833+(0.02)</f>
        <v>2.9444343562738333E-2</v>
      </c>
      <c r="O212" s="40">
        <f>0.00861112107623318+(0.02)</f>
        <v>2.8611121076233183E-2</v>
      </c>
      <c r="P212" s="40">
        <f>0.00679263157894737+(0.02)</f>
        <v>2.679263157894737E-2</v>
      </c>
      <c r="Q212" s="40">
        <f>0.00661699507389163+(0.02)</f>
        <v>2.661699507389163E-2</v>
      </c>
      <c r="R212" s="40">
        <f>0.00629827709978464+(0.02)</f>
        <v>2.6298277099784641E-2</v>
      </c>
      <c r="S212" s="40"/>
      <c r="T212" s="40"/>
      <c r="U212" s="40"/>
    </row>
    <row r="213" spans="1:21" x14ac:dyDescent="0.55000000000000004">
      <c r="A213" s="41" t="str">
        <f>'Population Definitions'!$A$3</f>
        <v>Gen 5-14</v>
      </c>
      <c r="B213" s="41" t="s">
        <v>10</v>
      </c>
      <c r="C213" s="40" t="str">
        <f t="shared" si="15"/>
        <v>N.A.</v>
      </c>
      <c r="D213" s="41" t="s">
        <v>16</v>
      </c>
      <c r="E213" s="40">
        <f>0.000656411758960836+(0.02)</f>
        <v>2.0656411758960838E-2</v>
      </c>
      <c r="F213" s="40">
        <f>0.000688524590163934+(0.02)</f>
        <v>2.0688524590163935E-2</v>
      </c>
      <c r="G213" s="40">
        <f>0.000747687861271676+(0.02)</f>
        <v>2.0747687861271676E-2</v>
      </c>
      <c r="H213" s="40">
        <f>0.000829968424074251+(0.02)</f>
        <v>2.0829968424074252E-2</v>
      </c>
      <c r="I213" s="40">
        <f>0.000945745288406625+(0.02)</f>
        <v>2.0945745288406627E-2</v>
      </c>
      <c r="J213" s="40">
        <f>0.000969420702754036+(0.02)</f>
        <v>2.0969420702754038E-2</v>
      </c>
      <c r="K213" s="40">
        <f>0.000939376716870323+(0.02)</f>
        <v>2.0939376716870323E-2</v>
      </c>
      <c r="L213" s="40">
        <f>0.000905073494547179+(0.02)</f>
        <v>2.0905073494547181E-2</v>
      </c>
      <c r="M213" s="40">
        <f>0.000873928775471339+(0.02)</f>
        <v>2.087392877547134E-2</v>
      </c>
      <c r="N213" s="40">
        <f>0.000847994639609457+(0.02)</f>
        <v>2.0847994639609457E-2</v>
      </c>
      <c r="O213" s="40">
        <f>0.000888033859176606+(0.02)</f>
        <v>2.0888033859176605E-2</v>
      </c>
      <c r="P213" s="40">
        <f>0.000801447876447876+(0.02)</f>
        <v>2.0801447876447877E-2</v>
      </c>
      <c r="Q213" s="40">
        <f>0.000869464544138929+(0.02)</f>
        <v>2.0869464544138929E-2</v>
      </c>
      <c r="R213" s="40">
        <f>0.000637952559300874+(0.02)</f>
        <v>2.0637952559300874E-2</v>
      </c>
      <c r="S213" s="40"/>
      <c r="T213" s="40"/>
      <c r="U213" s="40"/>
    </row>
    <row r="214" spans="1:21" x14ac:dyDescent="0.55000000000000004">
      <c r="A214" s="41" t="str">
        <f>'Population Definitions'!$A$4</f>
        <v>Gen 15-64</v>
      </c>
      <c r="B214" s="41" t="s">
        <v>10</v>
      </c>
      <c r="C214" s="40" t="str">
        <f t="shared" si="15"/>
        <v>N.A.</v>
      </c>
      <c r="D214" s="41" t="s">
        <v>16</v>
      </c>
      <c r="E214" s="40">
        <f>0.00915683846293936+(0.02)</f>
        <v>2.9156838462939358E-2</v>
      </c>
      <c r="F214" s="40">
        <f>0.0100593014100637+(0.02)</f>
        <v>3.0059301410063702E-2</v>
      </c>
      <c r="G214" s="40">
        <f>0.0111691973208963+(0.02)</f>
        <v>3.1169197320896298E-2</v>
      </c>
      <c r="H214" s="40">
        <f>0.0122864004391382+(0.02)</f>
        <v>3.2286400439138198E-2</v>
      </c>
      <c r="I214" s="40">
        <f>0.0126735043308937+(0.02)</f>
        <v>3.26735043308937E-2</v>
      </c>
      <c r="J214" s="40">
        <f>0.0127732043562662+(0.02)</f>
        <v>3.2773204356266197E-2</v>
      </c>
      <c r="K214" s="40">
        <f>0.0127023240800516+(0.02)</f>
        <v>3.2702324080051602E-2</v>
      </c>
      <c r="L214" s="40">
        <f>0.012266814791303+(0.02)</f>
        <v>3.2266814791303E-2</v>
      </c>
      <c r="M214" s="40">
        <f>0.0118325987058051+(0.02)</f>
        <v>3.1832598705805099E-2</v>
      </c>
      <c r="N214" s="40">
        <f>0.0112209946451653+(0.02)</f>
        <v>3.1220994645165298E-2</v>
      </c>
      <c r="O214" s="40">
        <f>0.0103361982870805+(0.02)</f>
        <v>3.03361982870805E-2</v>
      </c>
      <c r="P214" s="40">
        <f>0.00930902912331952+(0.02)</f>
        <v>2.9309029123319522E-2</v>
      </c>
      <c r="Q214" s="40">
        <f>0.00853499545894003+(0.02)</f>
        <v>2.8534995458940032E-2</v>
      </c>
      <c r="R214" s="40">
        <f>0.00774277656267987+(0.02)</f>
        <v>2.7742776562679872E-2</v>
      </c>
      <c r="S214" s="40"/>
      <c r="T214" s="40"/>
      <c r="U214" s="40"/>
    </row>
    <row r="215" spans="1:21" x14ac:dyDescent="0.55000000000000004">
      <c r="A215" s="41" t="str">
        <f>'Population Definitions'!$A$5</f>
        <v>Gen 65+</v>
      </c>
      <c r="B215" s="41" t="s">
        <v>10</v>
      </c>
      <c r="C215" s="40" t="str">
        <f t="shared" si="15"/>
        <v>N.A.</v>
      </c>
      <c r="D215" s="41" t="s">
        <v>16</v>
      </c>
      <c r="E215" s="40">
        <f>0.0667880313199105+(0.02)</f>
        <v>8.6788031319910502E-2</v>
      </c>
      <c r="F215" s="40">
        <f>0.0673539445628998+(0.02)</f>
        <v>8.7353944562899799E-2</v>
      </c>
      <c r="G215" s="40">
        <f>0.0661256358087487+(0.02)</f>
        <v>8.6125635808748699E-2</v>
      </c>
      <c r="H215" s="40">
        <f>0.0675651117589893+(0.02)</f>
        <v>8.7565111758989303E-2</v>
      </c>
      <c r="I215" s="40">
        <f>0.0618761638733706+(0.02)</f>
        <v>8.18761638733706E-2</v>
      </c>
      <c r="J215" s="40">
        <f>0.0619413345275414+(0.02)</f>
        <v>8.1941334527541404E-2</v>
      </c>
      <c r="K215" s="40">
        <f>0.0626938950988822+(0.02)</f>
        <v>8.2693895098882197E-2</v>
      </c>
      <c r="L215" s="40">
        <f>0.0612165975103734+(0.02)</f>
        <v>8.1216597510373398E-2</v>
      </c>
      <c r="M215" s="40">
        <f>0.0597051230334812+(0.02)</f>
        <v>7.9705123033481207E-2</v>
      </c>
      <c r="N215" s="40">
        <f>0.0615330188679245+(0.02)</f>
        <v>8.1533018867924495E-2</v>
      </c>
      <c r="O215" s="40">
        <f>0.0579773686229382+(0.02)</f>
        <v>7.7977368622938206E-2</v>
      </c>
      <c r="P215" s="40">
        <f>0.0590019011406844+(0.02)</f>
        <v>7.9001901140684394E-2</v>
      </c>
      <c r="Q215" s="40">
        <f>0.0576626506024096+(0.02)</f>
        <v>7.7662650602409594E-2</v>
      </c>
      <c r="R215" s="40">
        <f>0.0551974664679583+(0.02)</f>
        <v>7.5197466467958302E-2</v>
      </c>
      <c r="S215" s="40"/>
      <c r="T215" s="40"/>
      <c r="U215" s="40"/>
    </row>
    <row r="216" spans="1:21" x14ac:dyDescent="0.55000000000000004">
      <c r="A216" s="41" t="str">
        <f>'Population Definitions'!$A$6</f>
        <v>PLHIV 15-64</v>
      </c>
      <c r="B216" s="41" t="s">
        <v>10</v>
      </c>
      <c r="C216" s="40" t="str">
        <f t="shared" si="15"/>
        <v>N.A.</v>
      </c>
      <c r="D216" s="41" t="s">
        <v>16</v>
      </c>
      <c r="E216" s="40">
        <f>0.22+(0.02)</f>
        <v>0.24</v>
      </c>
      <c r="F216" s="40"/>
      <c r="G216" s="40"/>
      <c r="H216" s="40"/>
      <c r="I216" s="40">
        <f>0.22+(0.02)</f>
        <v>0.24</v>
      </c>
      <c r="J216" s="40">
        <f>0.1+(0.02)</f>
        <v>0.12000000000000001</v>
      </c>
      <c r="K216" s="40"/>
      <c r="L216" s="40"/>
      <c r="M216" s="40"/>
      <c r="N216" s="40">
        <f>0.095+(0.02)</f>
        <v>0.115</v>
      </c>
      <c r="O216" s="40"/>
      <c r="P216" s="40"/>
      <c r="Q216" s="40"/>
      <c r="R216" s="40"/>
      <c r="S216" s="40"/>
      <c r="T216" s="40"/>
      <c r="U216" s="40">
        <f>0.0517+(0.02)</f>
        <v>7.17E-2</v>
      </c>
    </row>
    <row r="217" spans="1:21" x14ac:dyDescent="0.55000000000000004">
      <c r="A217" s="41" t="str">
        <f>'Population Definitions'!$A$7</f>
        <v>PLHIV 65+</v>
      </c>
      <c r="B217" s="41" t="s">
        <v>10</v>
      </c>
      <c r="C217" s="40" t="str">
        <f t="shared" si="15"/>
        <v>N.A.</v>
      </c>
      <c r="D217" s="41" t="s">
        <v>16</v>
      </c>
      <c r="E217" s="40">
        <f>0.130788031319911+(0.02)</f>
        <v>0.150788031319911</v>
      </c>
      <c r="F217" s="40">
        <f>0.131302596000888+(0.02)</f>
        <v>0.151302596000888</v>
      </c>
      <c r="G217" s="40">
        <f>0.130024453435642+(0.02)</f>
        <v>0.150024453435642</v>
      </c>
      <c r="H217" s="40">
        <f>0.131410138213842+(0.02)</f>
        <v>0.151410138213842</v>
      </c>
      <c r="I217" s="40">
        <f>0.125580043951237+(0.02)</f>
        <v>0.145580043951237</v>
      </c>
      <c r="J217" s="40">
        <f>0.125296306523879+(0.02)</f>
        <v>0.14529630652387898</v>
      </c>
      <c r="K217" s="40">
        <f>0.125556781547203+(0.02)</f>
        <v>0.145556781547203</v>
      </c>
      <c r="L217" s="40">
        <f>0.123378641752142+(0.02)</f>
        <v>0.14337864175214199</v>
      </c>
      <c r="M217" s="40">
        <f>0.121075936957955+(0.02)</f>
        <v>0.14107593695795501</v>
      </c>
      <c r="N217" s="40">
        <f>0.121968827232853+(0.02)</f>
        <v>0.14196882723285301</v>
      </c>
      <c r="O217" s="40">
        <f>0.117169094894402+(0.02)</f>
        <v>0.13716909489440199</v>
      </c>
      <c r="P217" s="40">
        <f>0.116501750335665+(0.02)</f>
        <v>0.136501750335665</v>
      </c>
      <c r="Q217" s="40">
        <f>0.113597812069496+(0.02)</f>
        <v>0.133597812069496</v>
      </c>
      <c r="R217" s="40">
        <f>0.109683597639683+(0.02)</f>
        <v>0.12968359763968298</v>
      </c>
      <c r="S217" s="40"/>
      <c r="T217" s="40"/>
      <c r="U217" s="40">
        <f>(5.17*2%)+(0.02)</f>
        <v>0.12340000000000001</v>
      </c>
    </row>
    <row r="218" spans="1:21" x14ac:dyDescent="0.55000000000000004">
      <c r="A218" s="41" t="str">
        <f>'Population Definitions'!$A$8</f>
        <v>Prisoners</v>
      </c>
      <c r="B218" s="41" t="s">
        <v>10</v>
      </c>
      <c r="C218" s="40" t="str">
        <f t="shared" si="15"/>
        <v>N.A.</v>
      </c>
      <c r="D218" s="41" t="s">
        <v>16</v>
      </c>
      <c r="E218" s="40">
        <f>0.00915683846293936+(0.02)</f>
        <v>2.9156838462939358E-2</v>
      </c>
      <c r="F218" s="40">
        <f>0.0100593014100637+(0.02)</f>
        <v>3.0059301410063702E-2</v>
      </c>
      <c r="G218" s="40">
        <f>0.0111691973208963+(0.02)</f>
        <v>3.1169197320896298E-2</v>
      </c>
      <c r="H218" s="40">
        <f>0.0122864004391382+(0.02)</f>
        <v>3.2286400439138198E-2</v>
      </c>
      <c r="I218" s="40">
        <f>0.0126735043308937+(0.02)</f>
        <v>3.26735043308937E-2</v>
      </c>
      <c r="J218" s="40">
        <f>0.0127732043562662+(0.02)</f>
        <v>3.2773204356266197E-2</v>
      </c>
      <c r="K218" s="40">
        <f>0.0127023240800516+(0.02)</f>
        <v>3.2702324080051602E-2</v>
      </c>
      <c r="L218" s="40">
        <f>0.012266814791303+(0.02)</f>
        <v>3.2266814791303E-2</v>
      </c>
      <c r="M218" s="40">
        <f>0.0118325987058051+(0.02)</f>
        <v>3.1832598705805099E-2</v>
      </c>
      <c r="N218" s="40">
        <f>0.0112209946451653+(0.02)</f>
        <v>3.1220994645165298E-2</v>
      </c>
      <c r="O218" s="40">
        <f>0.0103361982870805+(0.02)</f>
        <v>3.03361982870805E-2</v>
      </c>
      <c r="P218" s="40">
        <f>0.00930902912331952+(0.02)</f>
        <v>2.9309029123319522E-2</v>
      </c>
      <c r="Q218" s="40">
        <f>0.00853499545894003+(0.02)</f>
        <v>2.8534995458940032E-2</v>
      </c>
      <c r="R218" s="40">
        <f>0.00774277656267987+(0.02)</f>
        <v>2.7742776562679872E-2</v>
      </c>
      <c r="S218" s="40"/>
      <c r="T218" s="40"/>
      <c r="U218" s="40"/>
    </row>
    <row r="219" spans="1:21" x14ac:dyDescent="0.55000000000000004">
      <c r="A219" s="41" t="str">
        <f>'Population Definitions'!$A$9</f>
        <v>PLHIV Prisoners</v>
      </c>
      <c r="B219" s="41" t="s">
        <v>10</v>
      </c>
      <c r="C219" s="40" t="str">
        <f t="shared" si="15"/>
        <v>N.A.</v>
      </c>
      <c r="D219" s="41" t="s">
        <v>16</v>
      </c>
      <c r="E219" s="40">
        <f>0.064+(0.02)</f>
        <v>8.4000000000000005E-2</v>
      </c>
      <c r="F219" s="40">
        <f>0.063948651437988+(0.02)</f>
        <v>8.3948651437988006E-2</v>
      </c>
      <c r="G219" s="40">
        <f>0.0638988176268937+(0.02)</f>
        <v>8.3898817626893704E-2</v>
      </c>
      <c r="H219" s="40">
        <f>0.0638450264548522+(0.02)</f>
        <v>8.3845026454852201E-2</v>
      </c>
      <c r="I219" s="40">
        <f>0.0637038800778667+(0.02)</f>
        <v>8.3703880077866707E-2</v>
      </c>
      <c r="J219" s="40">
        <f>0.063354971996338+(0.02)</f>
        <v>8.3354971996337998E-2</v>
      </c>
      <c r="K219" s="40">
        <f>0.0628628864483211+(0.02)</f>
        <v>8.2862886448321099E-2</v>
      </c>
      <c r="L219" s="40">
        <f>0.0621620442417684+(0.02)</f>
        <v>8.21620442417684E-2</v>
      </c>
      <c r="M219" s="40">
        <f>0.0613708139244735+(0.02)</f>
        <v>8.1370813924473498E-2</v>
      </c>
      <c r="N219" s="40">
        <f>0.0604358083649289+(0.02)</f>
        <v>8.0435808364928904E-2</v>
      </c>
      <c r="O219" s="40">
        <f>0.0591917262714635+(0.02)</f>
        <v>7.9191726271463495E-2</v>
      </c>
      <c r="P219" s="40">
        <f>0.0574998491949804+(0.02)</f>
        <v>7.7499849194980402E-2</v>
      </c>
      <c r="Q219" s="40">
        <f>0.0559351614670864+(0.02)</f>
        <v>7.5935161467086398E-2</v>
      </c>
      <c r="R219" s="40">
        <f>0.0544861311717248+(0.02)</f>
        <v>7.4486131171724798E-2</v>
      </c>
      <c r="S219" s="40">
        <f>0.0535351493099285+(0.02)</f>
        <v>7.3535149309928494E-2</v>
      </c>
      <c r="T219" s="40">
        <f>0.0529028826750741+(0.02)</f>
        <v>7.2902882675074096E-2</v>
      </c>
      <c r="U219" s="40">
        <f>0.0516887916470763+(0.02)</f>
        <v>7.1688791647076297E-2</v>
      </c>
    </row>
    <row r="220" spans="1:21" x14ac:dyDescent="0.55000000000000004">
      <c r="A220" s="41" t="str">
        <f>'Population Definitions'!$A$10</f>
        <v>HCW</v>
      </c>
      <c r="B220" s="41" t="s">
        <v>10</v>
      </c>
      <c r="C220" s="40" t="str">
        <f t="shared" si="15"/>
        <v>N.A.</v>
      </c>
      <c r="D220" s="41" t="s">
        <v>16</v>
      </c>
      <c r="E220" s="40">
        <f>0.00915683846293936+(0.02)</f>
        <v>2.9156838462939358E-2</v>
      </c>
      <c r="F220" s="40">
        <f>0.0100593014100637+(0.02)</f>
        <v>3.0059301410063702E-2</v>
      </c>
      <c r="G220" s="40">
        <f>0.0111691973208963+(0.02)</f>
        <v>3.1169197320896298E-2</v>
      </c>
      <c r="H220" s="40">
        <f>0.0122864004391382+(0.02)</f>
        <v>3.2286400439138198E-2</v>
      </c>
      <c r="I220" s="40">
        <f>0.0126735043308937+(0.02)</f>
        <v>3.26735043308937E-2</v>
      </c>
      <c r="J220" s="40">
        <f>0.0127732043562662+(0.02)</f>
        <v>3.2773204356266197E-2</v>
      </c>
      <c r="K220" s="40">
        <f>0.0127023240800516+(0.02)</f>
        <v>3.2702324080051602E-2</v>
      </c>
      <c r="L220" s="40">
        <f>0.012266814791303+(0.02)</f>
        <v>3.2266814791303E-2</v>
      </c>
      <c r="M220" s="40">
        <f>0.0118325987058051+(0.02)</f>
        <v>3.1832598705805099E-2</v>
      </c>
      <c r="N220" s="40">
        <f>0.0112209946451653+(0.02)</f>
        <v>3.1220994645165298E-2</v>
      </c>
      <c r="O220" s="40">
        <f>0.0103361982870805+(0.02)</f>
        <v>3.03361982870805E-2</v>
      </c>
      <c r="P220" s="40">
        <f>0.00930902912331952+(0.02)</f>
        <v>2.9309029123319522E-2</v>
      </c>
      <c r="Q220" s="40">
        <f>0.00853499545894003+(0.02)</f>
        <v>2.8534995458940032E-2</v>
      </c>
      <c r="R220" s="40">
        <f>0.00774277656267987+(0.02)</f>
        <v>2.7742776562679872E-2</v>
      </c>
      <c r="S220" s="40"/>
      <c r="T220" s="40"/>
      <c r="U220" s="40"/>
    </row>
    <row r="221" spans="1:21" x14ac:dyDescent="0.55000000000000004">
      <c r="A221" s="41" t="str">
        <f>'Population Definitions'!$A$11</f>
        <v>PLHIV HCW</v>
      </c>
      <c r="B221" s="41" t="s">
        <v>10</v>
      </c>
      <c r="C221" s="40" t="str">
        <f t="shared" si="15"/>
        <v>N.A.</v>
      </c>
      <c r="D221" s="41" t="s">
        <v>16</v>
      </c>
      <c r="E221" s="40">
        <f>0.064+(0.02)</f>
        <v>8.4000000000000005E-2</v>
      </c>
      <c r="F221" s="40">
        <f>0.063948651437988+(0.02)</f>
        <v>8.3948651437988006E-2</v>
      </c>
      <c r="G221" s="40">
        <f>0.0638988176268937+(0.02)</f>
        <v>8.3898817626893704E-2</v>
      </c>
      <c r="H221" s="40">
        <f>0.0638450264548522+(0.02)</f>
        <v>8.3845026454852201E-2</v>
      </c>
      <c r="I221" s="40">
        <f>0.0637038800778667+(0.02)</f>
        <v>8.3703880077866707E-2</v>
      </c>
      <c r="J221" s="40">
        <f>0.063354971996338+(0.02)</f>
        <v>8.3354971996337998E-2</v>
      </c>
      <c r="K221" s="40">
        <f>0.0628628864483211+(0.02)</f>
        <v>8.2862886448321099E-2</v>
      </c>
      <c r="L221" s="40">
        <f>0.0621620442417684+(0.02)</f>
        <v>8.21620442417684E-2</v>
      </c>
      <c r="M221" s="40">
        <f>0.0613708139244735+(0.02)</f>
        <v>8.1370813924473498E-2</v>
      </c>
      <c r="N221" s="40">
        <f>0.0604358083649289+(0.02)</f>
        <v>8.0435808364928904E-2</v>
      </c>
      <c r="O221" s="40">
        <f>0.0591917262714635+(0.02)</f>
        <v>7.9191726271463495E-2</v>
      </c>
      <c r="P221" s="40">
        <f>0.0574998491949804+(0.02)</f>
        <v>7.7499849194980402E-2</v>
      </c>
      <c r="Q221" s="40">
        <f>0.0559351614670864+(0.02)</f>
        <v>7.5935161467086398E-2</v>
      </c>
      <c r="R221" s="40">
        <f>0.0544861311717248+(0.02)</f>
        <v>7.4486131171724798E-2</v>
      </c>
      <c r="S221" s="40">
        <f>0.0535351493099285+(0.02)</f>
        <v>7.3535149309928494E-2</v>
      </c>
      <c r="T221" s="40">
        <f>0.0529028826750741+(0.02)</f>
        <v>7.2902882675074096E-2</v>
      </c>
      <c r="U221" s="40">
        <f>0.0516887916470763+(0.02)</f>
        <v>7.1688791647076297E-2</v>
      </c>
    </row>
    <row r="222" spans="1:21" x14ac:dyDescent="0.55000000000000004">
      <c r="A222" s="41" t="str">
        <f>'Population Definitions'!$A$12</f>
        <v>Miners</v>
      </c>
      <c r="B222" s="41" t="s">
        <v>10</v>
      </c>
      <c r="C222" s="40" t="str">
        <f t="shared" si="15"/>
        <v>N.A.</v>
      </c>
      <c r="D222" s="41" t="s">
        <v>16</v>
      </c>
      <c r="E222" s="40">
        <f>0.00915683846293936+(0.02)</f>
        <v>2.9156838462939358E-2</v>
      </c>
      <c r="F222" s="40">
        <f>0.0100593014100637+(0.02)</f>
        <v>3.0059301410063702E-2</v>
      </c>
      <c r="G222" s="40">
        <f>0.0111691973208963+(0.02)</f>
        <v>3.1169197320896298E-2</v>
      </c>
      <c r="H222" s="40">
        <f>0.0122864004391382+(0.02)</f>
        <v>3.2286400439138198E-2</v>
      </c>
      <c r="I222" s="40">
        <f>0.0126735043308937+(0.02)</f>
        <v>3.26735043308937E-2</v>
      </c>
      <c r="J222" s="40">
        <f>0.0127732043562662+(0.02)</f>
        <v>3.2773204356266197E-2</v>
      </c>
      <c r="K222" s="40">
        <f>0.0127023240800516+(0.02)</f>
        <v>3.2702324080051602E-2</v>
      </c>
      <c r="L222" s="40">
        <f>0.012266814791303+(0.02)</f>
        <v>3.2266814791303E-2</v>
      </c>
      <c r="M222" s="40">
        <f>0.0118325987058051+(0.02)</f>
        <v>3.1832598705805099E-2</v>
      </c>
      <c r="N222" s="40">
        <f>0.0112209946451653+(0.02)</f>
        <v>3.1220994645165298E-2</v>
      </c>
      <c r="O222" s="40">
        <f>0.0103361982870805+(0.02)</f>
        <v>3.03361982870805E-2</v>
      </c>
      <c r="P222" s="40">
        <f>0.00930902912331952+(0.02)</f>
        <v>2.9309029123319522E-2</v>
      </c>
      <c r="Q222" s="40">
        <f>0.00853499545894003+(0.02)</f>
        <v>2.8534995458940032E-2</v>
      </c>
      <c r="R222" s="40">
        <f>0.00774277656267987+(0.02)</f>
        <v>2.7742776562679872E-2</v>
      </c>
      <c r="S222" s="40"/>
      <c r="T222" s="40"/>
      <c r="U222" s="40"/>
    </row>
    <row r="223" spans="1:21" x14ac:dyDescent="0.55000000000000004">
      <c r="A223" s="41" t="str">
        <f>'Population Definitions'!$A$13</f>
        <v>PLHIV Miners</v>
      </c>
      <c r="B223" s="41" t="s">
        <v>10</v>
      </c>
      <c r="C223" s="40" t="str">
        <f t="shared" si="15"/>
        <v>N.A.</v>
      </c>
      <c r="D223" s="41" t="s">
        <v>16</v>
      </c>
      <c r="E223" s="40">
        <f>0.064+(0.02)</f>
        <v>8.4000000000000005E-2</v>
      </c>
      <c r="F223" s="40">
        <f>0.063948651437988+(0.02)</f>
        <v>8.3948651437988006E-2</v>
      </c>
      <c r="G223" s="40">
        <f>0.0638988176268937+(0.02)</f>
        <v>8.3898817626893704E-2</v>
      </c>
      <c r="H223" s="40">
        <f>0.0638450264548522+(0.02)</f>
        <v>8.3845026454852201E-2</v>
      </c>
      <c r="I223" s="40">
        <f>0.0637038800778667+(0.02)</f>
        <v>8.3703880077866707E-2</v>
      </c>
      <c r="J223" s="40">
        <f>0.063354971996338+(0.02)</f>
        <v>8.3354971996337998E-2</v>
      </c>
      <c r="K223" s="40">
        <f>0.0628628864483211+(0.02)</f>
        <v>8.2862886448321099E-2</v>
      </c>
      <c r="L223" s="40">
        <f>0.0621620442417684+(0.02)</f>
        <v>8.21620442417684E-2</v>
      </c>
      <c r="M223" s="40">
        <f>0.0613708139244735+(0.02)</f>
        <v>8.1370813924473498E-2</v>
      </c>
      <c r="N223" s="40">
        <f>0.0604358083649289+(0.02)</f>
        <v>8.0435808364928904E-2</v>
      </c>
      <c r="O223" s="40">
        <f>0.0591917262714635+(0.02)</f>
        <v>7.9191726271463495E-2</v>
      </c>
      <c r="P223" s="40">
        <f>0.0574998491949804+(0.02)</f>
        <v>7.7499849194980402E-2</v>
      </c>
      <c r="Q223" s="40">
        <f>0.0559351614670864+(0.02)</f>
        <v>7.5935161467086398E-2</v>
      </c>
      <c r="R223" s="40">
        <f>0.0544861311717248+(0.02)</f>
        <v>7.4486131171724798E-2</v>
      </c>
      <c r="S223" s="40">
        <f>0.0535351493099285+(0.02)</f>
        <v>7.3535149309928494E-2</v>
      </c>
      <c r="T223" s="40">
        <f>0.0529028826750741+(0.02)</f>
        <v>7.2902882675074096E-2</v>
      </c>
      <c r="U223" s="40">
        <f>0.0516887916470763+(0.02)</f>
        <v>7.1688791647076297E-2</v>
      </c>
    </row>
    <row r="225" spans="1:21" x14ac:dyDescent="0.55000000000000004">
      <c r="A225" s="21" t="s">
        <v>160</v>
      </c>
      <c r="B225" s="41" t="s">
        <v>8</v>
      </c>
      <c r="C225" s="41" t="s">
        <v>9</v>
      </c>
      <c r="D225" s="41"/>
      <c r="E225" s="41">
        <v>2000</v>
      </c>
      <c r="F225" s="41">
        <v>2001</v>
      </c>
      <c r="G225" s="41">
        <v>2002</v>
      </c>
      <c r="H225" s="41">
        <v>2003</v>
      </c>
      <c r="I225" s="41">
        <v>2004</v>
      </c>
      <c r="J225" s="41">
        <v>2005</v>
      </c>
      <c r="K225" s="41">
        <v>2006</v>
      </c>
      <c r="L225" s="41">
        <v>2007</v>
      </c>
      <c r="M225" s="41">
        <v>2008</v>
      </c>
      <c r="N225" s="41">
        <v>2009</v>
      </c>
      <c r="O225" s="41">
        <v>2010</v>
      </c>
      <c r="P225" s="41">
        <v>2011</v>
      </c>
      <c r="Q225" s="41">
        <v>2012</v>
      </c>
      <c r="R225" s="41">
        <v>2013</v>
      </c>
      <c r="S225" s="41">
        <v>2014</v>
      </c>
      <c r="T225" s="41">
        <v>2015</v>
      </c>
      <c r="U225" s="41">
        <v>2016</v>
      </c>
    </row>
    <row r="226" spans="1:21" x14ac:dyDescent="0.55000000000000004">
      <c r="A226" s="41" t="str">
        <f>'Population Definitions'!$A$2</f>
        <v>Gen 0-4</v>
      </c>
      <c r="B226" s="41" t="s">
        <v>10</v>
      </c>
      <c r="C226" s="40" t="str">
        <f t="shared" ref="C226:C237" si="16">IF(SUMPRODUCT(--(E226:U226&lt;&gt;""))=0,0.02,"N.A.")</f>
        <v>N.A.</v>
      </c>
      <c r="D226" s="41" t="s">
        <v>16</v>
      </c>
      <c r="E226" s="40">
        <f>0.00725373961218837+(0.02)</f>
        <v>2.7253739612188368E-2</v>
      </c>
      <c r="F226" s="40">
        <f>0.00754172015404365+(0.02)</f>
        <v>2.7541720154043652E-2</v>
      </c>
      <c r="G226" s="40">
        <f>0.00859907578558225+(0.02)</f>
        <v>2.859907578558225E-2</v>
      </c>
      <c r="H226" s="40">
        <f>0.00977512231840422+(0.02)</f>
        <v>2.9775122318404221E-2</v>
      </c>
      <c r="I226" s="40">
        <f>0.0109975129137172+(0.02)</f>
        <v>3.09975129137172E-2</v>
      </c>
      <c r="J226" s="40">
        <f>0.0119463255098115+(0.02)</f>
        <v>3.1946325509811496E-2</v>
      </c>
      <c r="K226" s="40">
        <f>0.0124815962805114+(0.02)</f>
        <v>3.24815962805114E-2</v>
      </c>
      <c r="L226" s="40">
        <f>0.011825405921681+(0.02)</f>
        <v>3.1825405921680996E-2</v>
      </c>
      <c r="M226" s="40">
        <f>0.011405505952381+(0.02)</f>
        <v>3.1405505952381001E-2</v>
      </c>
      <c r="N226" s="40">
        <f>0.00944434356273833+(0.02)</f>
        <v>2.9444343562738333E-2</v>
      </c>
      <c r="O226" s="40">
        <f>0.00861112107623318+(0.02)</f>
        <v>2.8611121076233183E-2</v>
      </c>
      <c r="P226" s="40">
        <f>0.00679263157894737+(0.02)</f>
        <v>2.679263157894737E-2</v>
      </c>
      <c r="Q226" s="40">
        <f>0.00661699507389163+(0.02)</f>
        <v>2.661699507389163E-2</v>
      </c>
      <c r="R226" s="40">
        <f>0.00629827709978464+(0.02)</f>
        <v>2.6298277099784641E-2</v>
      </c>
      <c r="S226" s="40"/>
      <c r="T226" s="40"/>
      <c r="U226" s="40"/>
    </row>
    <row r="227" spans="1:21" x14ac:dyDescent="0.55000000000000004">
      <c r="A227" s="41" t="str">
        <f>'Population Definitions'!$A$3</f>
        <v>Gen 5-14</v>
      </c>
      <c r="B227" s="41" t="s">
        <v>10</v>
      </c>
      <c r="C227" s="40" t="str">
        <f t="shared" si="16"/>
        <v>N.A.</v>
      </c>
      <c r="D227" s="41" t="s">
        <v>16</v>
      </c>
      <c r="E227" s="40">
        <f>0.000656411758960836+(0.02)</f>
        <v>2.0656411758960838E-2</v>
      </c>
      <c r="F227" s="40">
        <f>0.000688524590163934+(0.02)</f>
        <v>2.0688524590163935E-2</v>
      </c>
      <c r="G227" s="40">
        <f>0.000747687861271676+(0.02)</f>
        <v>2.0747687861271676E-2</v>
      </c>
      <c r="H227" s="40">
        <f>0.000829968424074251+(0.02)</f>
        <v>2.0829968424074252E-2</v>
      </c>
      <c r="I227" s="40">
        <f>0.000945745288406625+(0.02)</f>
        <v>2.0945745288406627E-2</v>
      </c>
      <c r="J227" s="40">
        <f>0.000969420702754036+(0.02)</f>
        <v>2.0969420702754038E-2</v>
      </c>
      <c r="K227" s="40">
        <f>0.000939376716870323+(0.02)</f>
        <v>2.0939376716870323E-2</v>
      </c>
      <c r="L227" s="40">
        <f>0.000905073494547179+(0.02)</f>
        <v>2.0905073494547181E-2</v>
      </c>
      <c r="M227" s="40">
        <f>0.000873928775471339+(0.02)</f>
        <v>2.087392877547134E-2</v>
      </c>
      <c r="N227" s="40">
        <f>0.000847994639609457+(0.02)</f>
        <v>2.0847994639609457E-2</v>
      </c>
      <c r="O227" s="40">
        <f>0.000888033859176606+(0.02)</f>
        <v>2.0888033859176605E-2</v>
      </c>
      <c r="P227" s="40">
        <f>0.000801447876447876+(0.02)</f>
        <v>2.0801447876447877E-2</v>
      </c>
      <c r="Q227" s="40">
        <f>0.000869464544138929+(0.02)</f>
        <v>2.0869464544138929E-2</v>
      </c>
      <c r="R227" s="40">
        <f>0.000637952559300874+(0.02)</f>
        <v>2.0637952559300874E-2</v>
      </c>
      <c r="S227" s="40"/>
      <c r="T227" s="40"/>
      <c r="U227" s="40"/>
    </row>
    <row r="228" spans="1:21" x14ac:dyDescent="0.55000000000000004">
      <c r="A228" s="41" t="str">
        <f>'Population Definitions'!$A$4</f>
        <v>Gen 15-64</v>
      </c>
      <c r="B228" s="41" t="s">
        <v>10</v>
      </c>
      <c r="C228" s="40" t="str">
        <f t="shared" si="16"/>
        <v>N.A.</v>
      </c>
      <c r="D228" s="41" t="s">
        <v>16</v>
      </c>
      <c r="E228" s="40">
        <f>0.00915683846293936+(0.02)</f>
        <v>2.9156838462939358E-2</v>
      </c>
      <c r="F228" s="40">
        <f>0.0100593014100637+(0.02)</f>
        <v>3.0059301410063702E-2</v>
      </c>
      <c r="G228" s="40">
        <f>0.0111691973208963+(0.02)</f>
        <v>3.1169197320896298E-2</v>
      </c>
      <c r="H228" s="40">
        <f>0.0122864004391382+(0.02)</f>
        <v>3.2286400439138198E-2</v>
      </c>
      <c r="I228" s="40">
        <f>0.0126735043308937+(0.02)</f>
        <v>3.26735043308937E-2</v>
      </c>
      <c r="J228" s="40">
        <f>0.0127732043562662+(0.02)</f>
        <v>3.2773204356266197E-2</v>
      </c>
      <c r="K228" s="40">
        <f>0.0127023240800516+(0.02)</f>
        <v>3.2702324080051602E-2</v>
      </c>
      <c r="L228" s="40">
        <f>0.012266814791303+(0.02)</f>
        <v>3.2266814791303E-2</v>
      </c>
      <c r="M228" s="40">
        <f>0.0118325987058051+(0.02)</f>
        <v>3.1832598705805099E-2</v>
      </c>
      <c r="N228" s="40">
        <f>0.0112209946451653+(0.02)</f>
        <v>3.1220994645165298E-2</v>
      </c>
      <c r="O228" s="40">
        <f>0.0103361982870805+(0.02)</f>
        <v>3.03361982870805E-2</v>
      </c>
      <c r="P228" s="40">
        <f>0.00930902912331952+(0.02)</f>
        <v>2.9309029123319522E-2</v>
      </c>
      <c r="Q228" s="40">
        <f>0.00853499545894003+(0.02)</f>
        <v>2.8534995458940032E-2</v>
      </c>
      <c r="R228" s="40">
        <f>0.00774277656267987+(0.02)</f>
        <v>2.7742776562679872E-2</v>
      </c>
      <c r="S228" s="40"/>
      <c r="T228" s="40"/>
      <c r="U228" s="40"/>
    </row>
    <row r="229" spans="1:21" x14ac:dyDescent="0.55000000000000004">
      <c r="A229" s="41" t="str">
        <f>'Population Definitions'!$A$5</f>
        <v>Gen 65+</v>
      </c>
      <c r="B229" s="41" t="s">
        <v>10</v>
      </c>
      <c r="C229" s="40" t="str">
        <f t="shared" si="16"/>
        <v>N.A.</v>
      </c>
      <c r="D229" s="41" t="s">
        <v>16</v>
      </c>
      <c r="E229" s="40">
        <f>0.0667880313199105+(0.02)</f>
        <v>8.6788031319910502E-2</v>
      </c>
      <c r="F229" s="40">
        <f>0.0673539445628998+(0.02)</f>
        <v>8.7353944562899799E-2</v>
      </c>
      <c r="G229" s="40">
        <f>0.0661256358087487+(0.02)</f>
        <v>8.6125635808748699E-2</v>
      </c>
      <c r="H229" s="40">
        <f>0.0675651117589893+(0.02)</f>
        <v>8.7565111758989303E-2</v>
      </c>
      <c r="I229" s="40">
        <f>0.0618761638733706+(0.02)</f>
        <v>8.18761638733706E-2</v>
      </c>
      <c r="J229" s="40">
        <f>0.0619413345275414+(0.02)</f>
        <v>8.1941334527541404E-2</v>
      </c>
      <c r="K229" s="40">
        <f>0.0626938950988822+(0.02)</f>
        <v>8.2693895098882197E-2</v>
      </c>
      <c r="L229" s="40">
        <f>0.0612165975103734+(0.02)</f>
        <v>8.1216597510373398E-2</v>
      </c>
      <c r="M229" s="40">
        <f>0.0597051230334812+(0.02)</f>
        <v>7.9705123033481207E-2</v>
      </c>
      <c r="N229" s="40">
        <f>0.0615330188679245+(0.02)</f>
        <v>8.1533018867924495E-2</v>
      </c>
      <c r="O229" s="40">
        <f>0.0579773686229382+(0.02)</f>
        <v>7.7977368622938206E-2</v>
      </c>
      <c r="P229" s="40">
        <f>0.0590019011406844+(0.02)</f>
        <v>7.9001901140684394E-2</v>
      </c>
      <c r="Q229" s="40">
        <f>0.0576626506024096+(0.02)</f>
        <v>7.7662650602409594E-2</v>
      </c>
      <c r="R229" s="40">
        <f>0.0551974664679583+(0.02)</f>
        <v>7.5197466467958302E-2</v>
      </c>
      <c r="S229" s="40"/>
      <c r="T229" s="40"/>
      <c r="U229" s="40"/>
    </row>
    <row r="230" spans="1:21" x14ac:dyDescent="0.55000000000000004">
      <c r="A230" s="41" t="str">
        <f>'Population Definitions'!$A$6</f>
        <v>PLHIV 15-64</v>
      </c>
      <c r="B230" s="41" t="s">
        <v>10</v>
      </c>
      <c r="C230" s="40" t="str">
        <f t="shared" si="16"/>
        <v>N.A.</v>
      </c>
      <c r="D230" s="41" t="s">
        <v>16</v>
      </c>
      <c r="E230" s="40">
        <f>0.22+(0.02)</f>
        <v>0.24</v>
      </c>
      <c r="F230" s="40"/>
      <c r="G230" s="40"/>
      <c r="H230" s="40"/>
      <c r="I230" s="40">
        <f>0.22+(0.02)</f>
        <v>0.24</v>
      </c>
      <c r="J230" s="40">
        <f>0.1+(0.02)</f>
        <v>0.12000000000000001</v>
      </c>
      <c r="K230" s="40"/>
      <c r="L230" s="40"/>
      <c r="M230" s="40"/>
      <c r="N230" s="40">
        <f>0.095+(0.02)</f>
        <v>0.115</v>
      </c>
      <c r="O230" s="40"/>
      <c r="P230" s="40"/>
      <c r="Q230" s="40"/>
      <c r="R230" s="40"/>
      <c r="S230" s="40"/>
      <c r="T230" s="40"/>
      <c r="U230" s="40">
        <f>0.0517+(0.02)</f>
        <v>7.17E-2</v>
      </c>
    </row>
    <row r="231" spans="1:21" x14ac:dyDescent="0.55000000000000004">
      <c r="A231" s="41" t="str">
        <f>'Population Definitions'!$A$7</f>
        <v>PLHIV 65+</v>
      </c>
      <c r="B231" s="41" t="s">
        <v>10</v>
      </c>
      <c r="C231" s="40" t="str">
        <f t="shared" si="16"/>
        <v>N.A.</v>
      </c>
      <c r="D231" s="41" t="s">
        <v>16</v>
      </c>
      <c r="E231" s="40">
        <f>0.130788031319911+(0.02)</f>
        <v>0.150788031319911</v>
      </c>
      <c r="F231" s="40">
        <f>0.131302596000888+(0.02)</f>
        <v>0.151302596000888</v>
      </c>
      <c r="G231" s="40">
        <f>0.130024453435642+(0.02)</f>
        <v>0.150024453435642</v>
      </c>
      <c r="H231" s="40">
        <f>0.131410138213842+(0.02)</f>
        <v>0.151410138213842</v>
      </c>
      <c r="I231" s="40">
        <f>0.125580043951237+(0.02)</f>
        <v>0.145580043951237</v>
      </c>
      <c r="J231" s="40">
        <f>0.125296306523879+(0.02)</f>
        <v>0.14529630652387898</v>
      </c>
      <c r="K231" s="40">
        <f>0.125556781547203+(0.02)</f>
        <v>0.145556781547203</v>
      </c>
      <c r="L231" s="40">
        <f>0.123378641752142+(0.02)</f>
        <v>0.14337864175214199</v>
      </c>
      <c r="M231" s="40">
        <f>0.121075936957955+(0.02)</f>
        <v>0.14107593695795501</v>
      </c>
      <c r="N231" s="40">
        <f>0.121968827232853+(0.02)</f>
        <v>0.14196882723285301</v>
      </c>
      <c r="O231" s="40">
        <f>0.117169094894402+(0.02)</f>
        <v>0.13716909489440199</v>
      </c>
      <c r="P231" s="40">
        <f>0.116501750335665+(0.02)</f>
        <v>0.136501750335665</v>
      </c>
      <c r="Q231" s="40">
        <f>0.113597812069496+(0.02)</f>
        <v>0.133597812069496</v>
      </c>
      <c r="R231" s="40">
        <f>0.109683597639683+(0.02)</f>
        <v>0.12968359763968298</v>
      </c>
      <c r="S231" s="40"/>
      <c r="T231" s="40"/>
      <c r="U231" s="40">
        <f>(5.17*2%)+(0.02)</f>
        <v>0.12340000000000001</v>
      </c>
    </row>
    <row r="232" spans="1:21" x14ac:dyDescent="0.55000000000000004">
      <c r="A232" s="41" t="str">
        <f>'Population Definitions'!$A$8</f>
        <v>Prisoners</v>
      </c>
      <c r="B232" s="41" t="s">
        <v>10</v>
      </c>
      <c r="C232" s="40" t="str">
        <f t="shared" si="16"/>
        <v>N.A.</v>
      </c>
      <c r="D232" s="41" t="s">
        <v>16</v>
      </c>
      <c r="E232" s="40">
        <f>0.00915683846293936+(0.02)</f>
        <v>2.9156838462939358E-2</v>
      </c>
      <c r="F232" s="40">
        <f>0.0100593014100637+(0.02)</f>
        <v>3.0059301410063702E-2</v>
      </c>
      <c r="G232" s="40">
        <f>0.0111691973208963+(0.02)</f>
        <v>3.1169197320896298E-2</v>
      </c>
      <c r="H232" s="40">
        <f>0.0122864004391382+(0.02)</f>
        <v>3.2286400439138198E-2</v>
      </c>
      <c r="I232" s="40">
        <f>0.0126735043308937+(0.02)</f>
        <v>3.26735043308937E-2</v>
      </c>
      <c r="J232" s="40">
        <f>0.0127732043562662+(0.02)</f>
        <v>3.2773204356266197E-2</v>
      </c>
      <c r="K232" s="40">
        <f>0.0127023240800516+(0.02)</f>
        <v>3.2702324080051602E-2</v>
      </c>
      <c r="L232" s="40">
        <f>0.012266814791303+(0.02)</f>
        <v>3.2266814791303E-2</v>
      </c>
      <c r="M232" s="40">
        <f>0.0118325987058051+(0.02)</f>
        <v>3.1832598705805099E-2</v>
      </c>
      <c r="N232" s="40">
        <f>0.0112209946451653+(0.02)</f>
        <v>3.1220994645165298E-2</v>
      </c>
      <c r="O232" s="40">
        <f>0.0103361982870805+(0.02)</f>
        <v>3.03361982870805E-2</v>
      </c>
      <c r="P232" s="40">
        <f>0.00930902912331952+(0.02)</f>
        <v>2.9309029123319522E-2</v>
      </c>
      <c r="Q232" s="40">
        <f>0.00853499545894003+(0.02)</f>
        <v>2.8534995458940032E-2</v>
      </c>
      <c r="R232" s="40">
        <f>0.00774277656267987+(0.02)</f>
        <v>2.7742776562679872E-2</v>
      </c>
      <c r="S232" s="40"/>
      <c r="T232" s="40"/>
      <c r="U232" s="40"/>
    </row>
    <row r="233" spans="1:21" x14ac:dyDescent="0.55000000000000004">
      <c r="A233" s="41" t="str">
        <f>'Population Definitions'!$A$9</f>
        <v>PLHIV Prisoners</v>
      </c>
      <c r="B233" s="41" t="s">
        <v>10</v>
      </c>
      <c r="C233" s="40" t="str">
        <f t="shared" si="16"/>
        <v>N.A.</v>
      </c>
      <c r="D233" s="41" t="s">
        <v>16</v>
      </c>
      <c r="E233" s="40">
        <f>0.064+(0.02)</f>
        <v>8.4000000000000005E-2</v>
      </c>
      <c r="F233" s="40">
        <f>0.063948651437988+(0.02)</f>
        <v>8.3948651437988006E-2</v>
      </c>
      <c r="G233" s="40">
        <f>0.0638988176268937+(0.02)</f>
        <v>8.3898817626893704E-2</v>
      </c>
      <c r="H233" s="40">
        <f>0.0638450264548522+(0.02)</f>
        <v>8.3845026454852201E-2</v>
      </c>
      <c r="I233" s="40">
        <f>0.0637038800778667+(0.02)</f>
        <v>8.3703880077866707E-2</v>
      </c>
      <c r="J233" s="40">
        <f>0.063354971996338+(0.02)</f>
        <v>8.3354971996337998E-2</v>
      </c>
      <c r="K233" s="40">
        <f>0.0628628864483211+(0.02)</f>
        <v>8.2862886448321099E-2</v>
      </c>
      <c r="L233" s="40">
        <f>0.0621620442417684+(0.02)</f>
        <v>8.21620442417684E-2</v>
      </c>
      <c r="M233" s="40">
        <f>0.0613708139244735+(0.02)</f>
        <v>8.1370813924473498E-2</v>
      </c>
      <c r="N233" s="40">
        <f>0.0604358083649289+(0.02)</f>
        <v>8.0435808364928904E-2</v>
      </c>
      <c r="O233" s="40">
        <f>0.0591917262714635+(0.02)</f>
        <v>7.9191726271463495E-2</v>
      </c>
      <c r="P233" s="40">
        <f>0.0574998491949804+(0.02)</f>
        <v>7.7499849194980402E-2</v>
      </c>
      <c r="Q233" s="40">
        <f>0.0559351614670864+(0.02)</f>
        <v>7.5935161467086398E-2</v>
      </c>
      <c r="R233" s="40">
        <f>0.0544861311717248+(0.02)</f>
        <v>7.4486131171724798E-2</v>
      </c>
      <c r="S233" s="40">
        <f>0.0535351493099285+(0.02)</f>
        <v>7.3535149309928494E-2</v>
      </c>
      <c r="T233" s="40">
        <f>0.0529028826750741+(0.02)</f>
        <v>7.2902882675074096E-2</v>
      </c>
      <c r="U233" s="40">
        <f>0.0516887916470763+(0.02)</f>
        <v>7.1688791647076297E-2</v>
      </c>
    </row>
    <row r="234" spans="1:21" x14ac:dyDescent="0.55000000000000004">
      <c r="A234" s="41" t="str">
        <f>'Population Definitions'!$A$10</f>
        <v>HCW</v>
      </c>
      <c r="B234" s="41" t="s">
        <v>10</v>
      </c>
      <c r="C234" s="40" t="str">
        <f t="shared" si="16"/>
        <v>N.A.</v>
      </c>
      <c r="D234" s="41" t="s">
        <v>16</v>
      </c>
      <c r="E234" s="40">
        <f>0.00915683846293936+(0.02)</f>
        <v>2.9156838462939358E-2</v>
      </c>
      <c r="F234" s="40">
        <f>0.0100593014100637+(0.02)</f>
        <v>3.0059301410063702E-2</v>
      </c>
      <c r="G234" s="40">
        <f>0.0111691973208963+(0.02)</f>
        <v>3.1169197320896298E-2</v>
      </c>
      <c r="H234" s="40">
        <f>0.0122864004391382+(0.02)</f>
        <v>3.2286400439138198E-2</v>
      </c>
      <c r="I234" s="40">
        <f>0.0126735043308937+(0.02)</f>
        <v>3.26735043308937E-2</v>
      </c>
      <c r="J234" s="40">
        <f>0.0127732043562662+(0.02)</f>
        <v>3.2773204356266197E-2</v>
      </c>
      <c r="K234" s="40">
        <f>0.0127023240800516+(0.02)</f>
        <v>3.2702324080051602E-2</v>
      </c>
      <c r="L234" s="40">
        <f>0.012266814791303+(0.02)</f>
        <v>3.2266814791303E-2</v>
      </c>
      <c r="M234" s="40">
        <f>0.0118325987058051+(0.02)</f>
        <v>3.1832598705805099E-2</v>
      </c>
      <c r="N234" s="40">
        <f>0.0112209946451653+(0.02)</f>
        <v>3.1220994645165298E-2</v>
      </c>
      <c r="O234" s="40">
        <f>0.0103361982870805+(0.02)</f>
        <v>3.03361982870805E-2</v>
      </c>
      <c r="P234" s="40">
        <f>0.00930902912331952+(0.02)</f>
        <v>2.9309029123319522E-2</v>
      </c>
      <c r="Q234" s="40">
        <f>0.00853499545894003+(0.02)</f>
        <v>2.8534995458940032E-2</v>
      </c>
      <c r="R234" s="40">
        <f>0.00774277656267987+(0.02)</f>
        <v>2.7742776562679872E-2</v>
      </c>
      <c r="S234" s="40"/>
      <c r="T234" s="40"/>
      <c r="U234" s="40"/>
    </row>
    <row r="235" spans="1:21" x14ac:dyDescent="0.55000000000000004">
      <c r="A235" s="41" t="str">
        <f>'Population Definitions'!$A$11</f>
        <v>PLHIV HCW</v>
      </c>
      <c r="B235" s="41" t="s">
        <v>10</v>
      </c>
      <c r="C235" s="40" t="str">
        <f t="shared" si="16"/>
        <v>N.A.</v>
      </c>
      <c r="D235" s="41" t="s">
        <v>16</v>
      </c>
      <c r="E235" s="40">
        <f>0.064+(0.02)</f>
        <v>8.4000000000000005E-2</v>
      </c>
      <c r="F235" s="40">
        <f>0.063948651437988+(0.02)</f>
        <v>8.3948651437988006E-2</v>
      </c>
      <c r="G235" s="40">
        <f>0.0638988176268937+(0.02)</f>
        <v>8.3898817626893704E-2</v>
      </c>
      <c r="H235" s="40">
        <f>0.0638450264548522+(0.02)</f>
        <v>8.3845026454852201E-2</v>
      </c>
      <c r="I235" s="40">
        <f>0.0637038800778667+(0.02)</f>
        <v>8.3703880077866707E-2</v>
      </c>
      <c r="J235" s="40">
        <f>0.063354971996338+(0.02)</f>
        <v>8.3354971996337998E-2</v>
      </c>
      <c r="K235" s="40">
        <f>0.0628628864483211+(0.02)</f>
        <v>8.2862886448321099E-2</v>
      </c>
      <c r="L235" s="40">
        <f>0.0621620442417684+(0.02)</f>
        <v>8.21620442417684E-2</v>
      </c>
      <c r="M235" s="40">
        <f>0.0613708139244735+(0.02)</f>
        <v>8.1370813924473498E-2</v>
      </c>
      <c r="N235" s="40">
        <f>0.0604358083649289+(0.02)</f>
        <v>8.0435808364928904E-2</v>
      </c>
      <c r="O235" s="40">
        <f>0.0591917262714635+(0.02)</f>
        <v>7.9191726271463495E-2</v>
      </c>
      <c r="P235" s="40">
        <f>0.0574998491949804+(0.02)</f>
        <v>7.7499849194980402E-2</v>
      </c>
      <c r="Q235" s="40">
        <f>0.0559351614670864+(0.02)</f>
        <v>7.5935161467086398E-2</v>
      </c>
      <c r="R235" s="40">
        <f>0.0544861311717248+(0.02)</f>
        <v>7.4486131171724798E-2</v>
      </c>
      <c r="S235" s="40">
        <f>0.0535351493099285+(0.02)</f>
        <v>7.3535149309928494E-2</v>
      </c>
      <c r="T235" s="40">
        <f>0.0529028826750741+(0.02)</f>
        <v>7.2902882675074096E-2</v>
      </c>
      <c r="U235" s="40">
        <f>0.0516887916470763+(0.02)</f>
        <v>7.1688791647076297E-2</v>
      </c>
    </row>
    <row r="236" spans="1:21" x14ac:dyDescent="0.55000000000000004">
      <c r="A236" s="41" t="str">
        <f>'Population Definitions'!$A$12</f>
        <v>Miners</v>
      </c>
      <c r="B236" s="41" t="s">
        <v>10</v>
      </c>
      <c r="C236" s="40" t="str">
        <f t="shared" si="16"/>
        <v>N.A.</v>
      </c>
      <c r="D236" s="41" t="s">
        <v>16</v>
      </c>
      <c r="E236" s="40">
        <f>0.00915683846293936+(0.02)</f>
        <v>2.9156838462939358E-2</v>
      </c>
      <c r="F236" s="40">
        <f>0.0100593014100637+(0.02)</f>
        <v>3.0059301410063702E-2</v>
      </c>
      <c r="G236" s="40">
        <f>0.0111691973208963+(0.02)</f>
        <v>3.1169197320896298E-2</v>
      </c>
      <c r="H236" s="40">
        <f>0.0122864004391382+(0.02)</f>
        <v>3.2286400439138198E-2</v>
      </c>
      <c r="I236" s="40">
        <f>0.0126735043308937+(0.02)</f>
        <v>3.26735043308937E-2</v>
      </c>
      <c r="J236" s="40">
        <f>0.0127732043562662+(0.02)</f>
        <v>3.2773204356266197E-2</v>
      </c>
      <c r="K236" s="40">
        <f>0.0127023240800516+(0.02)</f>
        <v>3.2702324080051602E-2</v>
      </c>
      <c r="L236" s="40">
        <f>0.012266814791303+(0.02)</f>
        <v>3.2266814791303E-2</v>
      </c>
      <c r="M236" s="40">
        <f>0.0118325987058051+(0.02)</f>
        <v>3.1832598705805099E-2</v>
      </c>
      <c r="N236" s="40">
        <f>0.0112209946451653+(0.02)</f>
        <v>3.1220994645165298E-2</v>
      </c>
      <c r="O236" s="40">
        <f>0.0103361982870805+(0.02)</f>
        <v>3.03361982870805E-2</v>
      </c>
      <c r="P236" s="40">
        <f>0.00930902912331952+(0.02)</f>
        <v>2.9309029123319522E-2</v>
      </c>
      <c r="Q236" s="40">
        <f>0.00853499545894003+(0.02)</f>
        <v>2.8534995458940032E-2</v>
      </c>
      <c r="R236" s="40">
        <f>0.00774277656267987+(0.02)</f>
        <v>2.7742776562679872E-2</v>
      </c>
      <c r="S236" s="40"/>
      <c r="T236" s="40"/>
      <c r="U236" s="40"/>
    </row>
    <row r="237" spans="1:21" x14ac:dyDescent="0.55000000000000004">
      <c r="A237" s="41" t="str">
        <f>'Population Definitions'!$A$13</f>
        <v>PLHIV Miners</v>
      </c>
      <c r="B237" s="41" t="s">
        <v>10</v>
      </c>
      <c r="C237" s="40" t="str">
        <f t="shared" si="16"/>
        <v>N.A.</v>
      </c>
      <c r="D237" s="41" t="s">
        <v>16</v>
      </c>
      <c r="E237" s="40">
        <f>0.064+(0.02)</f>
        <v>8.4000000000000005E-2</v>
      </c>
      <c r="F237" s="40">
        <f>0.063948651437988+(0.02)</f>
        <v>8.3948651437988006E-2</v>
      </c>
      <c r="G237" s="40">
        <f>0.0638988176268937+(0.02)</f>
        <v>8.3898817626893704E-2</v>
      </c>
      <c r="H237" s="40">
        <f>0.0638450264548522+(0.02)</f>
        <v>8.3845026454852201E-2</v>
      </c>
      <c r="I237" s="40">
        <f>0.0637038800778667+(0.02)</f>
        <v>8.3703880077866707E-2</v>
      </c>
      <c r="J237" s="40">
        <f>0.063354971996338+(0.02)</f>
        <v>8.3354971996337998E-2</v>
      </c>
      <c r="K237" s="40">
        <f>0.0628628864483211+(0.02)</f>
        <v>8.2862886448321099E-2</v>
      </c>
      <c r="L237" s="40">
        <f>0.0621620442417684+(0.02)</f>
        <v>8.21620442417684E-2</v>
      </c>
      <c r="M237" s="40">
        <f>0.0613708139244735+(0.02)</f>
        <v>8.1370813924473498E-2</v>
      </c>
      <c r="N237" s="40">
        <f>0.0604358083649289+(0.02)</f>
        <v>8.0435808364928904E-2</v>
      </c>
      <c r="O237" s="40">
        <f>0.0591917262714635+(0.02)</f>
        <v>7.9191726271463495E-2</v>
      </c>
      <c r="P237" s="40">
        <f>0.0574998491949804+(0.02)</f>
        <v>7.7499849194980402E-2</v>
      </c>
      <c r="Q237" s="40">
        <f>0.0559351614670864+(0.02)</f>
        <v>7.5935161467086398E-2</v>
      </c>
      <c r="R237" s="40">
        <f>0.0544861311717248+(0.02)</f>
        <v>7.4486131171724798E-2</v>
      </c>
      <c r="S237" s="40">
        <f>0.0535351493099285+(0.02)</f>
        <v>7.3535149309928494E-2</v>
      </c>
      <c r="T237" s="40">
        <f>0.0529028826750741+(0.02)</f>
        <v>7.2902882675074096E-2</v>
      </c>
      <c r="U237" s="40">
        <f>0.0516887916470763+(0.02)</f>
        <v>7.1688791647076297E-2</v>
      </c>
    </row>
    <row r="239" spans="1:21" x14ac:dyDescent="0.55000000000000004">
      <c r="A239" s="21" t="s">
        <v>161</v>
      </c>
      <c r="B239" s="41" t="s">
        <v>8</v>
      </c>
      <c r="C239" s="41" t="s">
        <v>9</v>
      </c>
      <c r="D239" s="41"/>
      <c r="E239" s="41">
        <v>2000</v>
      </c>
      <c r="F239" s="41">
        <v>2001</v>
      </c>
      <c r="G239" s="41">
        <v>2002</v>
      </c>
      <c r="H239" s="41">
        <v>2003</v>
      </c>
      <c r="I239" s="41">
        <v>2004</v>
      </c>
      <c r="J239" s="41">
        <v>2005</v>
      </c>
      <c r="K239" s="41">
        <v>2006</v>
      </c>
      <c r="L239" s="41">
        <v>2007</v>
      </c>
      <c r="M239" s="41">
        <v>2008</v>
      </c>
      <c r="N239" s="41">
        <v>2009</v>
      </c>
      <c r="O239" s="41">
        <v>2010</v>
      </c>
      <c r="P239" s="41">
        <v>2011</v>
      </c>
      <c r="Q239" s="41">
        <v>2012</v>
      </c>
      <c r="R239" s="41">
        <v>2013</v>
      </c>
      <c r="S239" s="41">
        <v>2014</v>
      </c>
      <c r="T239" s="41">
        <v>2015</v>
      </c>
      <c r="U239" s="41">
        <v>2016</v>
      </c>
    </row>
    <row r="240" spans="1:21" x14ac:dyDescent="0.55000000000000004">
      <c r="A240" s="41" t="str">
        <f>'Population Definitions'!$A$2</f>
        <v>Gen 0-4</v>
      </c>
      <c r="B240" s="41" t="s">
        <v>10</v>
      </c>
      <c r="C240" s="40" t="str">
        <f t="shared" ref="C240:C251" si="17">IF(SUMPRODUCT(--(E240:U240&lt;&gt;""))=0,0.02,"N.A.")</f>
        <v>N.A.</v>
      </c>
      <c r="D240" s="41" t="s">
        <v>16</v>
      </c>
      <c r="E240" s="40">
        <f>0.00725373961218837+(0.02)</f>
        <v>2.7253739612188368E-2</v>
      </c>
      <c r="F240" s="40">
        <f>0.00754172015404365+(0.02)</f>
        <v>2.7541720154043652E-2</v>
      </c>
      <c r="G240" s="40">
        <f>0.00859907578558225+(0.02)</f>
        <v>2.859907578558225E-2</v>
      </c>
      <c r="H240" s="40">
        <f>0.00977512231840422+(0.02)</f>
        <v>2.9775122318404221E-2</v>
      </c>
      <c r="I240" s="40">
        <f>0.0109975129137172+(0.02)</f>
        <v>3.09975129137172E-2</v>
      </c>
      <c r="J240" s="40">
        <f>0.0119463255098115+(0.02)</f>
        <v>3.1946325509811496E-2</v>
      </c>
      <c r="K240" s="40">
        <f>0.0124815962805114+(0.02)</f>
        <v>3.24815962805114E-2</v>
      </c>
      <c r="L240" s="40">
        <f>0.011825405921681+(0.02)</f>
        <v>3.1825405921680996E-2</v>
      </c>
      <c r="M240" s="40">
        <f>0.011405505952381+(0.02)</f>
        <v>3.1405505952381001E-2</v>
      </c>
      <c r="N240" s="40">
        <f>0.00944434356273833+(0.02)</f>
        <v>2.9444343562738333E-2</v>
      </c>
      <c r="O240" s="40">
        <f>0.00861112107623318+(0.02)</f>
        <v>2.8611121076233183E-2</v>
      </c>
      <c r="P240" s="40">
        <f>0.00679263157894737+(0.02)</f>
        <v>2.679263157894737E-2</v>
      </c>
      <c r="Q240" s="40">
        <f>0.00661699507389163+(0.02)</f>
        <v>2.661699507389163E-2</v>
      </c>
      <c r="R240" s="40">
        <f>0.00629827709978464+(0.02)</f>
        <v>2.6298277099784641E-2</v>
      </c>
      <c r="S240" s="40"/>
      <c r="T240" s="40"/>
      <c r="U240" s="40"/>
    </row>
    <row r="241" spans="1:21" x14ac:dyDescent="0.55000000000000004">
      <c r="A241" s="41" t="str">
        <f>'Population Definitions'!$A$3</f>
        <v>Gen 5-14</v>
      </c>
      <c r="B241" s="41" t="s">
        <v>10</v>
      </c>
      <c r="C241" s="40" t="str">
        <f t="shared" si="17"/>
        <v>N.A.</v>
      </c>
      <c r="D241" s="41" t="s">
        <v>16</v>
      </c>
      <c r="E241" s="40">
        <f>0.000656411758960836+(0.02)</f>
        <v>2.0656411758960838E-2</v>
      </c>
      <c r="F241" s="40">
        <f>0.000688524590163934+(0.02)</f>
        <v>2.0688524590163935E-2</v>
      </c>
      <c r="G241" s="40">
        <f>0.000747687861271676+(0.02)</f>
        <v>2.0747687861271676E-2</v>
      </c>
      <c r="H241" s="40">
        <f>0.000829968424074251+(0.02)</f>
        <v>2.0829968424074252E-2</v>
      </c>
      <c r="I241" s="40">
        <f>0.000945745288406625+(0.02)</f>
        <v>2.0945745288406627E-2</v>
      </c>
      <c r="J241" s="40">
        <f>0.000969420702754036+(0.02)</f>
        <v>2.0969420702754038E-2</v>
      </c>
      <c r="K241" s="40">
        <f>0.000939376716870323+(0.02)</f>
        <v>2.0939376716870323E-2</v>
      </c>
      <c r="L241" s="40">
        <f>0.000905073494547179+(0.02)</f>
        <v>2.0905073494547181E-2</v>
      </c>
      <c r="M241" s="40">
        <f>0.000873928775471339+(0.02)</f>
        <v>2.087392877547134E-2</v>
      </c>
      <c r="N241" s="40">
        <f>0.000847994639609457+(0.02)</f>
        <v>2.0847994639609457E-2</v>
      </c>
      <c r="O241" s="40">
        <f>0.000888033859176606+(0.02)</f>
        <v>2.0888033859176605E-2</v>
      </c>
      <c r="P241" s="40">
        <f>0.000801447876447876+(0.02)</f>
        <v>2.0801447876447877E-2</v>
      </c>
      <c r="Q241" s="40">
        <f>0.000869464544138929+(0.02)</f>
        <v>2.0869464544138929E-2</v>
      </c>
      <c r="R241" s="40">
        <f>0.000637952559300874+(0.02)</f>
        <v>2.0637952559300874E-2</v>
      </c>
      <c r="S241" s="40"/>
      <c r="T241" s="40"/>
      <c r="U241" s="40"/>
    </row>
    <row r="242" spans="1:21" x14ac:dyDescent="0.55000000000000004">
      <c r="A242" s="41" t="str">
        <f>'Population Definitions'!$A$4</f>
        <v>Gen 15-64</v>
      </c>
      <c r="B242" s="41" t="s">
        <v>10</v>
      </c>
      <c r="C242" s="40" t="str">
        <f t="shared" si="17"/>
        <v>N.A.</v>
      </c>
      <c r="D242" s="41" t="s">
        <v>16</v>
      </c>
      <c r="E242" s="40">
        <f>0.00915683846293936+(0.02)</f>
        <v>2.9156838462939358E-2</v>
      </c>
      <c r="F242" s="40">
        <f>0.0100593014100637+(0.02)</f>
        <v>3.0059301410063702E-2</v>
      </c>
      <c r="G242" s="40">
        <f>0.0111691973208963+(0.02)</f>
        <v>3.1169197320896298E-2</v>
      </c>
      <c r="H242" s="40">
        <f>0.0122864004391382+(0.02)</f>
        <v>3.2286400439138198E-2</v>
      </c>
      <c r="I242" s="40">
        <f>0.0126735043308937+(0.02)</f>
        <v>3.26735043308937E-2</v>
      </c>
      <c r="J242" s="40">
        <f>0.0127732043562662+(0.02)</f>
        <v>3.2773204356266197E-2</v>
      </c>
      <c r="K242" s="40">
        <f>0.0127023240800516+(0.02)</f>
        <v>3.2702324080051602E-2</v>
      </c>
      <c r="L242" s="40">
        <f>0.012266814791303+(0.02)</f>
        <v>3.2266814791303E-2</v>
      </c>
      <c r="M242" s="40">
        <f>0.0118325987058051+(0.02)</f>
        <v>3.1832598705805099E-2</v>
      </c>
      <c r="N242" s="40">
        <f>0.0112209946451653+(0.02)</f>
        <v>3.1220994645165298E-2</v>
      </c>
      <c r="O242" s="40">
        <f>0.0103361982870805+(0.02)</f>
        <v>3.03361982870805E-2</v>
      </c>
      <c r="P242" s="40">
        <f>0.00930902912331952+(0.02)</f>
        <v>2.9309029123319522E-2</v>
      </c>
      <c r="Q242" s="40">
        <f>0.00853499545894003+(0.02)</f>
        <v>2.8534995458940032E-2</v>
      </c>
      <c r="R242" s="40">
        <f>0.00774277656267987+(0.02)</f>
        <v>2.7742776562679872E-2</v>
      </c>
      <c r="S242" s="40"/>
      <c r="T242" s="40"/>
      <c r="U242" s="40"/>
    </row>
    <row r="243" spans="1:21" x14ac:dyDescent="0.55000000000000004">
      <c r="A243" s="41" t="str">
        <f>'Population Definitions'!$A$5</f>
        <v>Gen 65+</v>
      </c>
      <c r="B243" s="41" t="s">
        <v>10</v>
      </c>
      <c r="C243" s="40" t="str">
        <f t="shared" si="17"/>
        <v>N.A.</v>
      </c>
      <c r="D243" s="41" t="s">
        <v>16</v>
      </c>
      <c r="E243" s="40">
        <f>0.0667880313199105+(0.02)</f>
        <v>8.6788031319910502E-2</v>
      </c>
      <c r="F243" s="40">
        <f>0.0673539445628998+(0.02)</f>
        <v>8.7353944562899799E-2</v>
      </c>
      <c r="G243" s="40">
        <f>0.0661256358087487+(0.02)</f>
        <v>8.6125635808748699E-2</v>
      </c>
      <c r="H243" s="40">
        <f>0.0675651117589893+(0.02)</f>
        <v>8.7565111758989303E-2</v>
      </c>
      <c r="I243" s="40">
        <f>0.0618761638733706+(0.02)</f>
        <v>8.18761638733706E-2</v>
      </c>
      <c r="J243" s="40">
        <f>0.0619413345275414+(0.02)</f>
        <v>8.1941334527541404E-2</v>
      </c>
      <c r="K243" s="40">
        <f>0.0626938950988822+(0.02)</f>
        <v>8.2693895098882197E-2</v>
      </c>
      <c r="L243" s="40">
        <f>0.0612165975103734+(0.02)</f>
        <v>8.1216597510373398E-2</v>
      </c>
      <c r="M243" s="40">
        <f>0.0597051230334812+(0.02)</f>
        <v>7.9705123033481207E-2</v>
      </c>
      <c r="N243" s="40">
        <f>0.0615330188679245+(0.02)</f>
        <v>8.1533018867924495E-2</v>
      </c>
      <c r="O243" s="40">
        <f>0.0579773686229382+(0.02)</f>
        <v>7.7977368622938206E-2</v>
      </c>
      <c r="P243" s="40">
        <f>0.0590019011406844+(0.02)</f>
        <v>7.9001901140684394E-2</v>
      </c>
      <c r="Q243" s="40">
        <f>0.0576626506024096+(0.02)</f>
        <v>7.7662650602409594E-2</v>
      </c>
      <c r="R243" s="40">
        <f>0.0551974664679583+(0.02)</f>
        <v>7.5197466467958302E-2</v>
      </c>
      <c r="S243" s="40"/>
      <c r="T243" s="40"/>
      <c r="U243" s="40"/>
    </row>
    <row r="244" spans="1:21" x14ac:dyDescent="0.55000000000000004">
      <c r="A244" s="41" t="str">
        <f>'Population Definitions'!$A$6</f>
        <v>PLHIV 15-64</v>
      </c>
      <c r="B244" s="41" t="s">
        <v>10</v>
      </c>
      <c r="C244" s="40" t="str">
        <f t="shared" si="17"/>
        <v>N.A.</v>
      </c>
      <c r="D244" s="41" t="s">
        <v>16</v>
      </c>
      <c r="E244" s="40">
        <f>0.22+(0.02)</f>
        <v>0.24</v>
      </c>
      <c r="F244" s="40"/>
      <c r="G244" s="40"/>
      <c r="H244" s="40"/>
      <c r="I244" s="40">
        <f>0.22+(0.02)</f>
        <v>0.24</v>
      </c>
      <c r="J244" s="40">
        <f>0.1+(0.02)</f>
        <v>0.12000000000000001</v>
      </c>
      <c r="K244" s="40"/>
      <c r="L244" s="40"/>
      <c r="M244" s="40"/>
      <c r="N244" s="40">
        <f>0.095+(0.02)</f>
        <v>0.115</v>
      </c>
      <c r="O244" s="40"/>
      <c r="P244" s="40"/>
      <c r="Q244" s="40"/>
      <c r="R244" s="40"/>
      <c r="S244" s="40"/>
      <c r="T244" s="40"/>
      <c r="U244" s="40">
        <f>0.0517+(0.02)</f>
        <v>7.17E-2</v>
      </c>
    </row>
    <row r="245" spans="1:21" x14ac:dyDescent="0.55000000000000004">
      <c r="A245" s="41" t="str">
        <f>'Population Definitions'!$A$7</f>
        <v>PLHIV 65+</v>
      </c>
      <c r="B245" s="41" t="s">
        <v>10</v>
      </c>
      <c r="C245" s="40" t="str">
        <f t="shared" si="17"/>
        <v>N.A.</v>
      </c>
      <c r="D245" s="41" t="s">
        <v>16</v>
      </c>
      <c r="E245" s="40">
        <f>0.130788031319911+(0.02)</f>
        <v>0.150788031319911</v>
      </c>
      <c r="F245" s="40">
        <f>0.131302596000888+(0.02)</f>
        <v>0.151302596000888</v>
      </c>
      <c r="G245" s="40">
        <f>0.130024453435642+(0.02)</f>
        <v>0.150024453435642</v>
      </c>
      <c r="H245" s="40">
        <f>0.131410138213842+(0.02)</f>
        <v>0.151410138213842</v>
      </c>
      <c r="I245" s="40">
        <f>0.125580043951237+(0.02)</f>
        <v>0.145580043951237</v>
      </c>
      <c r="J245" s="40">
        <f>0.125296306523879+(0.02)</f>
        <v>0.14529630652387898</v>
      </c>
      <c r="K245" s="40">
        <f>0.125556781547203+(0.02)</f>
        <v>0.145556781547203</v>
      </c>
      <c r="L245" s="40">
        <f>0.123378641752142+(0.02)</f>
        <v>0.14337864175214199</v>
      </c>
      <c r="M245" s="40">
        <f>0.121075936957955+(0.02)</f>
        <v>0.14107593695795501</v>
      </c>
      <c r="N245" s="40">
        <f>0.121968827232853+(0.02)</f>
        <v>0.14196882723285301</v>
      </c>
      <c r="O245" s="40">
        <f>0.117169094894402+(0.02)</f>
        <v>0.13716909489440199</v>
      </c>
      <c r="P245" s="40">
        <f>0.116501750335665+(0.02)</f>
        <v>0.136501750335665</v>
      </c>
      <c r="Q245" s="40">
        <f>0.113597812069496+(0.02)</f>
        <v>0.133597812069496</v>
      </c>
      <c r="R245" s="40">
        <f>0.109683597639683+(0.02)</f>
        <v>0.12968359763968298</v>
      </c>
      <c r="S245" s="40"/>
      <c r="T245" s="40"/>
      <c r="U245" s="40">
        <f>(5.17*2%)+(0.02)</f>
        <v>0.12340000000000001</v>
      </c>
    </row>
    <row r="246" spans="1:21" x14ac:dyDescent="0.55000000000000004">
      <c r="A246" s="41" t="str">
        <f>'Population Definitions'!$A$8</f>
        <v>Prisoners</v>
      </c>
      <c r="B246" s="41" t="s">
        <v>10</v>
      </c>
      <c r="C246" s="40" t="str">
        <f t="shared" si="17"/>
        <v>N.A.</v>
      </c>
      <c r="D246" s="41" t="s">
        <v>16</v>
      </c>
      <c r="E246" s="40">
        <f>0.00915683846293936+(0.02)</f>
        <v>2.9156838462939358E-2</v>
      </c>
      <c r="F246" s="40">
        <f>0.0100593014100637+(0.02)</f>
        <v>3.0059301410063702E-2</v>
      </c>
      <c r="G246" s="40">
        <f>0.0111691973208963+(0.02)</f>
        <v>3.1169197320896298E-2</v>
      </c>
      <c r="H246" s="40">
        <f>0.0122864004391382+(0.02)</f>
        <v>3.2286400439138198E-2</v>
      </c>
      <c r="I246" s="40">
        <f>0.0126735043308937+(0.02)</f>
        <v>3.26735043308937E-2</v>
      </c>
      <c r="J246" s="40">
        <f>0.0127732043562662+(0.02)</f>
        <v>3.2773204356266197E-2</v>
      </c>
      <c r="K246" s="40">
        <f>0.0127023240800516+(0.02)</f>
        <v>3.2702324080051602E-2</v>
      </c>
      <c r="L246" s="40">
        <f>0.012266814791303+(0.02)</f>
        <v>3.2266814791303E-2</v>
      </c>
      <c r="M246" s="40">
        <f>0.0118325987058051+(0.02)</f>
        <v>3.1832598705805099E-2</v>
      </c>
      <c r="N246" s="40">
        <f>0.0112209946451653+(0.02)</f>
        <v>3.1220994645165298E-2</v>
      </c>
      <c r="O246" s="40">
        <f>0.0103361982870805+(0.02)</f>
        <v>3.03361982870805E-2</v>
      </c>
      <c r="P246" s="40">
        <f>0.00930902912331952+(0.02)</f>
        <v>2.9309029123319522E-2</v>
      </c>
      <c r="Q246" s="40">
        <f>0.00853499545894003+(0.02)</f>
        <v>2.8534995458940032E-2</v>
      </c>
      <c r="R246" s="40">
        <f>0.00774277656267987+(0.02)</f>
        <v>2.7742776562679872E-2</v>
      </c>
      <c r="S246" s="40"/>
      <c r="T246" s="40"/>
      <c r="U246" s="40"/>
    </row>
    <row r="247" spans="1:21" x14ac:dyDescent="0.55000000000000004">
      <c r="A247" s="41" t="str">
        <f>'Population Definitions'!$A$9</f>
        <v>PLHIV Prisoners</v>
      </c>
      <c r="B247" s="41" t="s">
        <v>10</v>
      </c>
      <c r="C247" s="40" t="str">
        <f t="shared" si="17"/>
        <v>N.A.</v>
      </c>
      <c r="D247" s="41" t="s">
        <v>16</v>
      </c>
      <c r="E247" s="40">
        <f>0.064+(0.02)</f>
        <v>8.4000000000000005E-2</v>
      </c>
      <c r="F247" s="40">
        <f>0.063948651437988+(0.02)</f>
        <v>8.3948651437988006E-2</v>
      </c>
      <c r="G247" s="40">
        <f>0.0638988176268937+(0.02)</f>
        <v>8.3898817626893704E-2</v>
      </c>
      <c r="H247" s="40">
        <f>0.0638450264548522+(0.02)</f>
        <v>8.3845026454852201E-2</v>
      </c>
      <c r="I247" s="40">
        <f>0.0637038800778667+(0.02)</f>
        <v>8.3703880077866707E-2</v>
      </c>
      <c r="J247" s="40">
        <f>0.063354971996338+(0.02)</f>
        <v>8.3354971996337998E-2</v>
      </c>
      <c r="K247" s="40">
        <f>0.0628628864483211+(0.02)</f>
        <v>8.2862886448321099E-2</v>
      </c>
      <c r="L247" s="40">
        <f>0.0621620442417684+(0.02)</f>
        <v>8.21620442417684E-2</v>
      </c>
      <c r="M247" s="40">
        <f>0.0613708139244735+(0.02)</f>
        <v>8.1370813924473498E-2</v>
      </c>
      <c r="N247" s="40">
        <f>0.0604358083649289+(0.02)</f>
        <v>8.0435808364928904E-2</v>
      </c>
      <c r="O247" s="40">
        <f>0.0591917262714635+(0.02)</f>
        <v>7.9191726271463495E-2</v>
      </c>
      <c r="P247" s="40">
        <f>0.0574998491949804+(0.02)</f>
        <v>7.7499849194980402E-2</v>
      </c>
      <c r="Q247" s="40">
        <f>0.0559351614670864+(0.02)</f>
        <v>7.5935161467086398E-2</v>
      </c>
      <c r="R247" s="40">
        <f>0.0544861311717248+(0.02)</f>
        <v>7.4486131171724798E-2</v>
      </c>
      <c r="S247" s="40">
        <f>0.0535351493099285+(0.02)</f>
        <v>7.3535149309928494E-2</v>
      </c>
      <c r="T247" s="40">
        <f>0.0529028826750741+(0.02)</f>
        <v>7.2902882675074096E-2</v>
      </c>
      <c r="U247" s="40">
        <f>0.0516887916470763+(0.02)</f>
        <v>7.1688791647076297E-2</v>
      </c>
    </row>
    <row r="248" spans="1:21" x14ac:dyDescent="0.55000000000000004">
      <c r="A248" s="41" t="str">
        <f>'Population Definitions'!$A$10</f>
        <v>HCW</v>
      </c>
      <c r="B248" s="41" t="s">
        <v>10</v>
      </c>
      <c r="C248" s="40" t="str">
        <f t="shared" si="17"/>
        <v>N.A.</v>
      </c>
      <c r="D248" s="41" t="s">
        <v>16</v>
      </c>
      <c r="E248" s="40">
        <f>0.00915683846293936+(0.02)</f>
        <v>2.9156838462939358E-2</v>
      </c>
      <c r="F248" s="40">
        <f>0.0100593014100637+(0.02)</f>
        <v>3.0059301410063702E-2</v>
      </c>
      <c r="G248" s="40">
        <f>0.0111691973208963+(0.02)</f>
        <v>3.1169197320896298E-2</v>
      </c>
      <c r="H248" s="40">
        <f>0.0122864004391382+(0.02)</f>
        <v>3.2286400439138198E-2</v>
      </c>
      <c r="I248" s="40">
        <f>0.0126735043308937+(0.02)</f>
        <v>3.26735043308937E-2</v>
      </c>
      <c r="J248" s="40">
        <f>0.0127732043562662+(0.02)</f>
        <v>3.2773204356266197E-2</v>
      </c>
      <c r="K248" s="40">
        <f>0.0127023240800516+(0.02)</f>
        <v>3.2702324080051602E-2</v>
      </c>
      <c r="L248" s="40">
        <f>0.012266814791303+(0.02)</f>
        <v>3.2266814791303E-2</v>
      </c>
      <c r="M248" s="40">
        <f>0.0118325987058051+(0.02)</f>
        <v>3.1832598705805099E-2</v>
      </c>
      <c r="N248" s="40">
        <f>0.0112209946451653+(0.02)</f>
        <v>3.1220994645165298E-2</v>
      </c>
      <c r="O248" s="40">
        <f>0.0103361982870805+(0.02)</f>
        <v>3.03361982870805E-2</v>
      </c>
      <c r="P248" s="40">
        <f>0.00930902912331952+(0.02)</f>
        <v>2.9309029123319522E-2</v>
      </c>
      <c r="Q248" s="40">
        <f>0.00853499545894003+(0.02)</f>
        <v>2.8534995458940032E-2</v>
      </c>
      <c r="R248" s="40">
        <f>0.00774277656267987+(0.02)</f>
        <v>2.7742776562679872E-2</v>
      </c>
      <c r="S248" s="40"/>
      <c r="T248" s="40"/>
      <c r="U248" s="40"/>
    </row>
    <row r="249" spans="1:21" x14ac:dyDescent="0.55000000000000004">
      <c r="A249" s="41" t="str">
        <f>'Population Definitions'!$A$11</f>
        <v>PLHIV HCW</v>
      </c>
      <c r="B249" s="41" t="s">
        <v>10</v>
      </c>
      <c r="C249" s="40" t="str">
        <f t="shared" si="17"/>
        <v>N.A.</v>
      </c>
      <c r="D249" s="41" t="s">
        <v>16</v>
      </c>
      <c r="E249" s="40">
        <f>0.064+(0.02)</f>
        <v>8.4000000000000005E-2</v>
      </c>
      <c r="F249" s="40">
        <f>0.063948651437988+(0.02)</f>
        <v>8.3948651437988006E-2</v>
      </c>
      <c r="G249" s="40">
        <f>0.0638988176268937+(0.02)</f>
        <v>8.3898817626893704E-2</v>
      </c>
      <c r="H249" s="40">
        <f>0.0638450264548522+(0.02)</f>
        <v>8.3845026454852201E-2</v>
      </c>
      <c r="I249" s="40">
        <f>0.0637038800778667+(0.02)</f>
        <v>8.3703880077866707E-2</v>
      </c>
      <c r="J249" s="40">
        <f>0.063354971996338+(0.02)</f>
        <v>8.3354971996337998E-2</v>
      </c>
      <c r="K249" s="40">
        <f>0.0628628864483211+(0.02)</f>
        <v>8.2862886448321099E-2</v>
      </c>
      <c r="L249" s="40">
        <f>0.0621620442417684+(0.02)</f>
        <v>8.21620442417684E-2</v>
      </c>
      <c r="M249" s="40">
        <f>0.0613708139244735+(0.02)</f>
        <v>8.1370813924473498E-2</v>
      </c>
      <c r="N249" s="40">
        <f>0.0604358083649289+(0.02)</f>
        <v>8.0435808364928904E-2</v>
      </c>
      <c r="O249" s="40">
        <f>0.0591917262714635+(0.02)</f>
        <v>7.9191726271463495E-2</v>
      </c>
      <c r="P249" s="40">
        <f>0.0574998491949804+(0.02)</f>
        <v>7.7499849194980402E-2</v>
      </c>
      <c r="Q249" s="40">
        <f>0.0559351614670864+(0.02)</f>
        <v>7.5935161467086398E-2</v>
      </c>
      <c r="R249" s="40">
        <f>0.0544861311717248+(0.02)</f>
        <v>7.4486131171724798E-2</v>
      </c>
      <c r="S249" s="40">
        <f>0.0535351493099285+(0.02)</f>
        <v>7.3535149309928494E-2</v>
      </c>
      <c r="T249" s="40">
        <f>0.0529028826750741+(0.02)</f>
        <v>7.2902882675074096E-2</v>
      </c>
      <c r="U249" s="40">
        <f>0.0516887916470763+(0.02)</f>
        <v>7.1688791647076297E-2</v>
      </c>
    </row>
    <row r="250" spans="1:21" x14ac:dyDescent="0.55000000000000004">
      <c r="A250" s="41" t="str">
        <f>'Population Definitions'!$A$12</f>
        <v>Miners</v>
      </c>
      <c r="B250" s="41" t="s">
        <v>10</v>
      </c>
      <c r="C250" s="40" t="str">
        <f t="shared" si="17"/>
        <v>N.A.</v>
      </c>
      <c r="D250" s="41" t="s">
        <v>16</v>
      </c>
      <c r="E250" s="40">
        <f>0.00915683846293936+(0.02)</f>
        <v>2.9156838462939358E-2</v>
      </c>
      <c r="F250" s="40">
        <f>0.0100593014100637+(0.02)</f>
        <v>3.0059301410063702E-2</v>
      </c>
      <c r="G250" s="40">
        <f>0.0111691973208963+(0.02)</f>
        <v>3.1169197320896298E-2</v>
      </c>
      <c r="H250" s="40">
        <f>0.0122864004391382+(0.02)</f>
        <v>3.2286400439138198E-2</v>
      </c>
      <c r="I250" s="40">
        <f>0.0126735043308937+(0.02)</f>
        <v>3.26735043308937E-2</v>
      </c>
      <c r="J250" s="40">
        <f>0.0127732043562662+(0.02)</f>
        <v>3.2773204356266197E-2</v>
      </c>
      <c r="K250" s="40">
        <f>0.0127023240800516+(0.02)</f>
        <v>3.2702324080051602E-2</v>
      </c>
      <c r="L250" s="40">
        <f>0.012266814791303+(0.02)</f>
        <v>3.2266814791303E-2</v>
      </c>
      <c r="M250" s="40">
        <f>0.0118325987058051+(0.02)</f>
        <v>3.1832598705805099E-2</v>
      </c>
      <c r="N250" s="40">
        <f>0.0112209946451653+(0.02)</f>
        <v>3.1220994645165298E-2</v>
      </c>
      <c r="O250" s="40">
        <f>0.0103361982870805+(0.02)</f>
        <v>3.03361982870805E-2</v>
      </c>
      <c r="P250" s="40">
        <f>0.00930902912331952+(0.02)</f>
        <v>2.9309029123319522E-2</v>
      </c>
      <c r="Q250" s="40">
        <f>0.00853499545894003+(0.02)</f>
        <v>2.8534995458940032E-2</v>
      </c>
      <c r="R250" s="40">
        <f>0.00774277656267987+(0.02)</f>
        <v>2.7742776562679872E-2</v>
      </c>
      <c r="S250" s="40"/>
      <c r="T250" s="40"/>
      <c r="U250" s="40"/>
    </row>
    <row r="251" spans="1:21" x14ac:dyDescent="0.55000000000000004">
      <c r="A251" s="41" t="str">
        <f>'Population Definitions'!$A$13</f>
        <v>PLHIV Miners</v>
      </c>
      <c r="B251" s="41" t="s">
        <v>10</v>
      </c>
      <c r="C251" s="40" t="str">
        <f t="shared" si="17"/>
        <v>N.A.</v>
      </c>
      <c r="D251" s="41" t="s">
        <v>16</v>
      </c>
      <c r="E251" s="40">
        <f>0.064+(0.02)</f>
        <v>8.4000000000000005E-2</v>
      </c>
      <c r="F251" s="40">
        <f>0.063948651437988+(0.02)</f>
        <v>8.3948651437988006E-2</v>
      </c>
      <c r="G251" s="40">
        <f>0.0638988176268937+(0.02)</f>
        <v>8.3898817626893704E-2</v>
      </c>
      <c r="H251" s="40">
        <f>0.0638450264548522+(0.02)</f>
        <v>8.3845026454852201E-2</v>
      </c>
      <c r="I251" s="40">
        <f>0.0637038800778667+(0.02)</f>
        <v>8.3703880077866707E-2</v>
      </c>
      <c r="J251" s="40">
        <f>0.063354971996338+(0.02)</f>
        <v>8.3354971996337998E-2</v>
      </c>
      <c r="K251" s="40">
        <f>0.0628628864483211+(0.02)</f>
        <v>8.2862886448321099E-2</v>
      </c>
      <c r="L251" s="40">
        <f>0.0621620442417684+(0.02)</f>
        <v>8.21620442417684E-2</v>
      </c>
      <c r="M251" s="40">
        <f>0.0613708139244735+(0.02)</f>
        <v>8.1370813924473498E-2</v>
      </c>
      <c r="N251" s="40">
        <f>0.0604358083649289+(0.02)</f>
        <v>8.0435808364928904E-2</v>
      </c>
      <c r="O251" s="40">
        <f>0.0591917262714635+(0.02)</f>
        <v>7.9191726271463495E-2</v>
      </c>
      <c r="P251" s="40">
        <f>0.0574998491949804+(0.02)</f>
        <v>7.7499849194980402E-2</v>
      </c>
      <c r="Q251" s="40">
        <f>0.0559351614670864+(0.02)</f>
        <v>7.5935161467086398E-2</v>
      </c>
      <c r="R251" s="40">
        <f>0.0544861311717248+(0.02)</f>
        <v>7.4486131171724798E-2</v>
      </c>
      <c r="S251" s="40">
        <f>0.0535351493099285+(0.02)</f>
        <v>7.3535149309928494E-2</v>
      </c>
      <c r="T251" s="40">
        <f>0.0529028826750741+(0.02)</f>
        <v>7.2902882675074096E-2</v>
      </c>
      <c r="U251" s="40">
        <f>0.0516887916470763+(0.02)</f>
        <v>7.1688791647076297E-2</v>
      </c>
    </row>
    <row r="253" spans="1:21" x14ac:dyDescent="0.55000000000000004">
      <c r="A253" s="21" t="s">
        <v>162</v>
      </c>
      <c r="B253" s="41" t="s">
        <v>8</v>
      </c>
      <c r="C253" s="41" t="s">
        <v>9</v>
      </c>
      <c r="D253" s="41"/>
      <c r="E253" s="41">
        <v>2000</v>
      </c>
      <c r="F253" s="41">
        <v>2001</v>
      </c>
      <c r="G253" s="41">
        <v>2002</v>
      </c>
      <c r="H253" s="41">
        <v>2003</v>
      </c>
      <c r="I253" s="41">
        <v>2004</v>
      </c>
      <c r="J253" s="41">
        <v>2005</v>
      </c>
      <c r="K253" s="41">
        <v>2006</v>
      </c>
      <c r="L253" s="41">
        <v>2007</v>
      </c>
      <c r="M253" s="41">
        <v>2008</v>
      </c>
      <c r="N253" s="41">
        <v>2009</v>
      </c>
      <c r="O253" s="41">
        <v>2010</v>
      </c>
      <c r="P253" s="41">
        <v>2011</v>
      </c>
      <c r="Q253" s="41">
        <v>2012</v>
      </c>
      <c r="R253" s="41">
        <v>2013</v>
      </c>
      <c r="S253" s="41">
        <v>2014</v>
      </c>
      <c r="T253" s="41">
        <v>2015</v>
      </c>
      <c r="U253" s="41">
        <v>2016</v>
      </c>
    </row>
    <row r="254" spans="1:21" x14ac:dyDescent="0.55000000000000004">
      <c r="A254" s="41" t="str">
        <f>'Population Definitions'!$A$2</f>
        <v>Gen 0-4</v>
      </c>
      <c r="B254" s="41" t="s">
        <v>10</v>
      </c>
      <c r="C254" s="40" t="str">
        <f t="shared" ref="C254:C265" si="18">IF(SUMPRODUCT(--(E254:U254&lt;&gt;""))=0,0.03,"N.A.")</f>
        <v>N.A.</v>
      </c>
      <c r="D254" s="41" t="s">
        <v>16</v>
      </c>
      <c r="E254" s="40"/>
      <c r="F254" s="40"/>
      <c r="G254" s="40"/>
      <c r="H254" s="40"/>
      <c r="I254" s="40">
        <v>5.0893158072126729E-2</v>
      </c>
      <c r="J254" s="40">
        <v>4.2280414620840152E-2</v>
      </c>
      <c r="K254" s="40">
        <v>3.4728829686013318E-2</v>
      </c>
      <c r="L254" s="40">
        <v>4.0057915057915061E-2</v>
      </c>
      <c r="M254" s="40">
        <v>3.1868882312770318E-2</v>
      </c>
      <c r="N254" s="40">
        <v>2.4430350011745362E-2</v>
      </c>
      <c r="O254" s="40">
        <v>1.7618927762396173E-2</v>
      </c>
      <c r="P254" s="40">
        <v>1.4056224899598393E-2</v>
      </c>
      <c r="Q254" s="40">
        <v>1.3333333333333334E-2</v>
      </c>
      <c r="R254" s="40">
        <v>1.2536676447052548E-2</v>
      </c>
      <c r="S254" s="40">
        <v>1.2337662337662338E-2</v>
      </c>
      <c r="T254" s="40">
        <v>1.2662559890485968E-2</v>
      </c>
      <c r="U254" s="40"/>
    </row>
    <row r="255" spans="1:21" x14ac:dyDescent="0.55000000000000004">
      <c r="A255" s="41" t="str">
        <f>'Population Definitions'!$A$3</f>
        <v>Gen 5-14</v>
      </c>
      <c r="B255" s="41" t="s">
        <v>10</v>
      </c>
      <c r="C255" s="40" t="str">
        <f t="shared" si="18"/>
        <v>N.A.</v>
      </c>
      <c r="D255" s="41" t="s">
        <v>16</v>
      </c>
      <c r="E255" s="40"/>
      <c r="F255" s="40"/>
      <c r="G255" s="40"/>
      <c r="H255" s="40"/>
      <c r="I255" s="40">
        <v>5.4991034070531977E-2</v>
      </c>
      <c r="J255" s="40">
        <v>4.6202867764206054E-2</v>
      </c>
      <c r="K255" s="40">
        <v>3.9403620873269436E-2</v>
      </c>
      <c r="L255" s="40">
        <v>3.5398230088495575E-2</v>
      </c>
      <c r="M255" s="40">
        <v>2.7470093043863535E-2</v>
      </c>
      <c r="N255" s="40">
        <v>2.6864289022695692E-2</v>
      </c>
      <c r="O255" s="40">
        <v>1.9890601690701143E-2</v>
      </c>
      <c r="P255" s="40">
        <v>2.0795660036166366E-2</v>
      </c>
      <c r="Q255" s="40">
        <v>1.4314928425357873E-2</v>
      </c>
      <c r="R255" s="40">
        <v>1.4906832298136646E-2</v>
      </c>
      <c r="S255" s="40">
        <v>2.313030069390902E-2</v>
      </c>
      <c r="T255" s="40">
        <v>2.526487367563162E-2</v>
      </c>
      <c r="U255" s="40"/>
    </row>
    <row r="256" spans="1:21" x14ac:dyDescent="0.55000000000000004">
      <c r="A256" s="41" t="str">
        <f>'Population Definitions'!$A$4</f>
        <v>Gen 15-64</v>
      </c>
      <c r="B256" s="41" t="s">
        <v>10</v>
      </c>
      <c r="C256" s="40" t="str">
        <f t="shared" si="18"/>
        <v>N.A.</v>
      </c>
      <c r="D256" s="41" t="s">
        <v>16</v>
      </c>
      <c r="E256" s="40"/>
      <c r="F256" s="40"/>
      <c r="G256" s="40"/>
      <c r="H256" s="40">
        <v>0.11797978445679094</v>
      </c>
      <c r="I256" s="40">
        <v>0.12582017010935603</v>
      </c>
      <c r="J256" s="40">
        <v>0.13173282501738751</v>
      </c>
      <c r="K256" s="40">
        <v>0.11613705078080136</v>
      </c>
      <c r="L256" s="40">
        <v>0.10884116180150458</v>
      </c>
      <c r="M256" s="40">
        <v>8.7771787665731987E-2</v>
      </c>
      <c r="N256" s="40">
        <v>6.569905197021389E-2</v>
      </c>
      <c r="O256" s="40">
        <v>4.9268606820485179E-2</v>
      </c>
      <c r="P256" s="40">
        <v>4.6772377289933401E-2</v>
      </c>
      <c r="Q256" s="40">
        <v>4.1917283793324454E-2</v>
      </c>
      <c r="R256" s="40">
        <v>3.942762321770623E-2</v>
      </c>
      <c r="S256" s="40">
        <v>3.9936829834587927E-2</v>
      </c>
      <c r="T256" s="40">
        <v>3.7857082510877042E-2</v>
      </c>
      <c r="U256" s="40"/>
    </row>
    <row r="257" spans="1:21" x14ac:dyDescent="0.55000000000000004">
      <c r="A257" s="41" t="str">
        <f>'Population Definitions'!$A$5</f>
        <v>Gen 65+</v>
      </c>
      <c r="B257" s="41" t="s">
        <v>10</v>
      </c>
      <c r="C257" s="40" t="str">
        <f t="shared" si="18"/>
        <v>N.A.</v>
      </c>
      <c r="D257" s="41" t="s">
        <v>16</v>
      </c>
      <c r="E257" s="40"/>
      <c r="F257" s="40"/>
      <c r="G257" s="40"/>
      <c r="H257" s="40">
        <v>0.23999999999999996</v>
      </c>
      <c r="I257" s="40">
        <v>0.23126338329764451</v>
      </c>
      <c r="J257" s="40">
        <v>0.22187499999999999</v>
      </c>
      <c r="K257" s="40">
        <v>0.23538461538461539</v>
      </c>
      <c r="L257" s="40">
        <v>0.2142813565526264</v>
      </c>
      <c r="M257" s="40">
        <v>0.20334259180629913</v>
      </c>
      <c r="N257" s="40">
        <v>0.20307210172779691</v>
      </c>
      <c r="O257" s="40"/>
      <c r="P257" s="40">
        <v>0.18729063789214634</v>
      </c>
      <c r="Q257" s="40">
        <v>0.1754822145586985</v>
      </c>
      <c r="R257" s="40">
        <v>0.18639214701404841</v>
      </c>
      <c r="S257" s="40"/>
      <c r="T257" s="40">
        <v>0.16776970259264987</v>
      </c>
      <c r="U257" s="40"/>
    </row>
    <row r="258" spans="1:21" x14ac:dyDescent="0.55000000000000004">
      <c r="A258" s="41" t="str">
        <f>'Population Definitions'!$A$6</f>
        <v>PLHIV 15-64</v>
      </c>
      <c r="B258" s="41" t="s">
        <v>10</v>
      </c>
      <c r="C258" s="40" t="str">
        <f t="shared" si="18"/>
        <v>N.A.</v>
      </c>
      <c r="D258" s="41" t="s">
        <v>16</v>
      </c>
      <c r="E258" s="40"/>
      <c r="F258" s="40"/>
      <c r="G258" s="40"/>
      <c r="H258" s="40">
        <v>0.11797019625268639</v>
      </c>
      <c r="I258" s="40">
        <v>0.12581552965057555</v>
      </c>
      <c r="J258" s="40">
        <v>0.13172046570556253</v>
      </c>
      <c r="K258" s="40">
        <v>0.11625361982845815</v>
      </c>
      <c r="L258" s="40">
        <v>0.11263263117463254</v>
      </c>
      <c r="M258" s="40">
        <v>0.1073244204082599</v>
      </c>
      <c r="N258" s="40">
        <v>9.1866921120217784E-2</v>
      </c>
      <c r="O258" s="40">
        <v>8.150790147757532E-2</v>
      </c>
      <c r="P258" s="40">
        <v>8.2946386576295772E-2</v>
      </c>
      <c r="Q258" s="40">
        <v>8.2772908062547307E-2</v>
      </c>
      <c r="R258" s="40">
        <v>7.6743707431563085E-2</v>
      </c>
      <c r="S258" s="40">
        <v>7.1985984878794054E-2</v>
      </c>
      <c r="T258" s="40">
        <v>7.51569946659425E-2</v>
      </c>
      <c r="U258" s="40"/>
    </row>
    <row r="259" spans="1:21" x14ac:dyDescent="0.55000000000000004">
      <c r="A259" s="41" t="str">
        <f>'Population Definitions'!$A$7</f>
        <v>PLHIV 65+</v>
      </c>
      <c r="B259" s="41" t="s">
        <v>10</v>
      </c>
      <c r="C259" s="40" t="str">
        <f t="shared" si="18"/>
        <v>N.A.</v>
      </c>
      <c r="D259" s="41" t="s">
        <v>16</v>
      </c>
      <c r="E259" s="40"/>
      <c r="F259" s="40"/>
      <c r="G259" s="40"/>
      <c r="H259" s="40">
        <v>0.24</v>
      </c>
      <c r="I259" s="40">
        <v>0.23126338329764454</v>
      </c>
      <c r="J259" s="40">
        <v>0.22187499999999999</v>
      </c>
      <c r="K259" s="40">
        <v>0.23538461538461541</v>
      </c>
      <c r="L259" s="40">
        <v>0.2306769387845006</v>
      </c>
      <c r="M259" s="40">
        <v>0.23536319409495049</v>
      </c>
      <c r="N259" s="40"/>
      <c r="O259" s="40"/>
      <c r="P259" s="40"/>
      <c r="Q259" s="40">
        <v>0.2242763472180534</v>
      </c>
      <c r="R259" s="40">
        <v>0.22657601167203545</v>
      </c>
      <c r="S259" s="40">
        <v>0.23530684778718342</v>
      </c>
      <c r="T259" s="40">
        <v>0.24341040620971505</v>
      </c>
      <c r="U259" s="40"/>
    </row>
    <row r="260" spans="1:21" x14ac:dyDescent="0.55000000000000004">
      <c r="A260" s="41" t="str">
        <f>'Population Definitions'!$A$8</f>
        <v>Prisoners</v>
      </c>
      <c r="B260" s="41" t="s">
        <v>10</v>
      </c>
      <c r="C260" s="40" t="str">
        <f t="shared" si="18"/>
        <v>N.A.</v>
      </c>
      <c r="D260" s="41" t="s">
        <v>16</v>
      </c>
      <c r="E260" s="40"/>
      <c r="F260" s="40"/>
      <c r="G260" s="40"/>
      <c r="H260" s="40"/>
      <c r="I260" s="40">
        <v>9.8966026587887737E-2</v>
      </c>
      <c r="J260" s="40"/>
      <c r="K260" s="40">
        <v>8.3155650319829411E-2</v>
      </c>
      <c r="L260" s="40"/>
      <c r="M260" s="40">
        <v>7.9971157943036941E-2</v>
      </c>
      <c r="N260" s="40">
        <v>4.5432414338749935E-2</v>
      </c>
      <c r="O260" s="40">
        <v>2.7149541821017743E-2</v>
      </c>
      <c r="P260" s="40">
        <v>2.3607064280192665E-2</v>
      </c>
      <c r="Q260" s="40">
        <v>2.8947590513967426E-2</v>
      </c>
      <c r="R260" s="40">
        <v>1.6541353383458648E-2</v>
      </c>
      <c r="S260" s="40"/>
      <c r="T260" s="40">
        <v>1.3673633821508126E-2</v>
      </c>
      <c r="U260" s="40"/>
    </row>
    <row r="261" spans="1:21" x14ac:dyDescent="0.55000000000000004">
      <c r="A261" s="41" t="str">
        <f>'Population Definitions'!$A$9</f>
        <v>PLHIV Prisoners</v>
      </c>
      <c r="B261" s="41" t="s">
        <v>10</v>
      </c>
      <c r="C261" s="40" t="str">
        <f t="shared" si="18"/>
        <v>N.A.</v>
      </c>
      <c r="D261" s="41" t="s">
        <v>16</v>
      </c>
      <c r="E261" s="40"/>
      <c r="F261" s="40"/>
      <c r="G261" s="40"/>
      <c r="H261" s="40"/>
      <c r="I261" s="40">
        <v>9.8966026587887723E-2</v>
      </c>
      <c r="J261" s="40"/>
      <c r="K261" s="40"/>
      <c r="L261" s="40">
        <v>0.11024327784891166</v>
      </c>
      <c r="M261" s="40">
        <v>0.10692436753144943</v>
      </c>
      <c r="N261" s="40">
        <v>9.4096251423837637E-2</v>
      </c>
      <c r="O261" s="40">
        <v>7.5132457012188278E-2</v>
      </c>
      <c r="P261" s="40">
        <v>7.5596792752643791E-2</v>
      </c>
      <c r="Q261" s="40"/>
      <c r="R261" s="40">
        <v>5.8534588620548507E-2</v>
      </c>
      <c r="S261" s="40">
        <v>5.3481810153574429E-2</v>
      </c>
      <c r="T261" s="40">
        <v>4.7948232323232323E-2</v>
      </c>
      <c r="U261" s="40"/>
    </row>
    <row r="262" spans="1:21" x14ac:dyDescent="0.55000000000000004">
      <c r="A262" s="41" t="str">
        <f>'Population Definitions'!$A$10</f>
        <v>HCW</v>
      </c>
      <c r="B262" s="41" t="s">
        <v>10</v>
      </c>
      <c r="C262" s="40">
        <f t="shared" si="18"/>
        <v>0.03</v>
      </c>
      <c r="D262" s="41" t="s">
        <v>16</v>
      </c>
      <c r="E262" s="40"/>
      <c r="F262" s="40"/>
      <c r="G262" s="40"/>
      <c r="H262" s="40"/>
      <c r="I262" s="40"/>
      <c r="J262" s="40"/>
      <c r="K262" s="40"/>
      <c r="L262" s="40"/>
      <c r="M262" s="40"/>
      <c r="N262" s="40"/>
      <c r="O262" s="40"/>
      <c r="P262" s="40"/>
      <c r="Q262" s="40"/>
      <c r="R262" s="40"/>
      <c r="S262" s="40"/>
      <c r="T262" s="40"/>
      <c r="U262" s="40"/>
    </row>
    <row r="263" spans="1:21" x14ac:dyDescent="0.55000000000000004">
      <c r="A263" s="41" t="str">
        <f>'Population Definitions'!$A$11</f>
        <v>PLHIV HCW</v>
      </c>
      <c r="B263" s="41" t="s">
        <v>10</v>
      </c>
      <c r="C263" s="40">
        <f t="shared" si="18"/>
        <v>0.03</v>
      </c>
      <c r="D263" s="41" t="s">
        <v>16</v>
      </c>
      <c r="E263" s="40"/>
      <c r="F263" s="40"/>
      <c r="G263" s="40"/>
      <c r="H263" s="40"/>
      <c r="I263" s="40"/>
      <c r="J263" s="40"/>
      <c r="K263" s="40"/>
      <c r="L263" s="40"/>
      <c r="M263" s="40"/>
      <c r="N263" s="40"/>
      <c r="O263" s="40"/>
      <c r="P263" s="40"/>
      <c r="Q263" s="40"/>
      <c r="R263" s="40"/>
      <c r="S263" s="40"/>
      <c r="T263" s="40"/>
      <c r="U263" s="40"/>
    </row>
    <row r="264" spans="1:21" x14ac:dyDescent="0.55000000000000004">
      <c r="A264" s="41" t="str">
        <f>'Population Definitions'!$A$12</f>
        <v>Miners</v>
      </c>
      <c r="B264" s="41" t="s">
        <v>10</v>
      </c>
      <c r="C264" s="40">
        <f t="shared" si="18"/>
        <v>0.03</v>
      </c>
      <c r="D264" s="41" t="s">
        <v>16</v>
      </c>
      <c r="E264" s="40"/>
      <c r="F264" s="40"/>
      <c r="G264" s="40"/>
      <c r="H264" s="40"/>
      <c r="I264" s="40"/>
      <c r="J264" s="40"/>
      <c r="K264" s="40"/>
      <c r="L264" s="40"/>
      <c r="M264" s="40"/>
      <c r="N264" s="40"/>
      <c r="O264" s="40"/>
      <c r="P264" s="40"/>
      <c r="Q264" s="40"/>
      <c r="R264" s="40"/>
      <c r="S264" s="40"/>
      <c r="T264" s="40"/>
      <c r="U264" s="40"/>
    </row>
    <row r="265" spans="1:21" x14ac:dyDescent="0.55000000000000004">
      <c r="A265" s="41" t="str">
        <f>'Population Definitions'!$A$13</f>
        <v>PLHIV Miners</v>
      </c>
      <c r="B265" s="41" t="s">
        <v>10</v>
      </c>
      <c r="C265" s="40">
        <f t="shared" si="18"/>
        <v>0.03</v>
      </c>
      <c r="D265" s="41" t="s">
        <v>16</v>
      </c>
      <c r="E265" s="40"/>
      <c r="F265" s="40"/>
      <c r="G265" s="40"/>
      <c r="H265" s="40"/>
      <c r="I265" s="40"/>
      <c r="J265" s="40"/>
      <c r="K265" s="40"/>
      <c r="L265" s="40"/>
      <c r="M265" s="40"/>
      <c r="N265" s="40"/>
      <c r="O265" s="40"/>
      <c r="P265" s="40"/>
      <c r="Q265" s="40"/>
      <c r="R265" s="40"/>
      <c r="S265" s="40"/>
      <c r="T265" s="40"/>
      <c r="U265" s="40"/>
    </row>
    <row r="267" spans="1:21" x14ac:dyDescent="0.55000000000000004">
      <c r="A267" s="21" t="s">
        <v>163</v>
      </c>
      <c r="B267" s="41" t="s">
        <v>8</v>
      </c>
      <c r="C267" s="41" t="s">
        <v>9</v>
      </c>
      <c r="D267" s="41"/>
      <c r="E267" s="41">
        <v>2000</v>
      </c>
      <c r="F267" s="41">
        <v>2001</v>
      </c>
      <c r="G267" s="41">
        <v>2002</v>
      </c>
      <c r="H267" s="41">
        <v>2003</v>
      </c>
      <c r="I267" s="41">
        <v>2004</v>
      </c>
      <c r="J267" s="41">
        <v>2005</v>
      </c>
      <c r="K267" s="41">
        <v>2006</v>
      </c>
      <c r="L267" s="41">
        <v>2007</v>
      </c>
      <c r="M267" s="41">
        <v>2008</v>
      </c>
      <c r="N267" s="41">
        <v>2009</v>
      </c>
      <c r="O267" s="41">
        <v>2010</v>
      </c>
      <c r="P267" s="41">
        <v>2011</v>
      </c>
      <c r="Q267" s="41">
        <v>2012</v>
      </c>
      <c r="R267" s="41">
        <v>2013</v>
      </c>
      <c r="S267" s="41">
        <v>2014</v>
      </c>
      <c r="T267" s="41">
        <v>2015</v>
      </c>
      <c r="U267" s="41">
        <v>2016</v>
      </c>
    </row>
    <row r="268" spans="1:21" x14ac:dyDescent="0.55000000000000004">
      <c r="A268" s="41" t="str">
        <f>'Population Definitions'!$A$2</f>
        <v>Gen 0-4</v>
      </c>
      <c r="B268" s="41" t="s">
        <v>10</v>
      </c>
      <c r="C268" s="40" t="str">
        <f t="shared" ref="C268:C279" si="19">IF(SUMPRODUCT(--(E268:U268&lt;&gt;""))=0,0.03,"N.A.")</f>
        <v>N.A.</v>
      </c>
      <c r="D268" s="41" t="s">
        <v>16</v>
      </c>
      <c r="E268" s="40"/>
      <c r="F268" s="40"/>
      <c r="G268" s="40"/>
      <c r="H268" s="40"/>
      <c r="I268" s="40">
        <v>5.0893158072126729E-2</v>
      </c>
      <c r="J268" s="40">
        <v>4.2280414620840152E-2</v>
      </c>
      <c r="K268" s="40">
        <v>3.4728829686013318E-2</v>
      </c>
      <c r="L268" s="40">
        <v>4.0057915057915061E-2</v>
      </c>
      <c r="M268" s="40">
        <v>3.1868882312770318E-2</v>
      </c>
      <c r="N268" s="40">
        <v>2.4430350011745362E-2</v>
      </c>
      <c r="O268" s="40">
        <v>1.7618927762396173E-2</v>
      </c>
      <c r="P268" s="40">
        <v>1.4056224899598393E-2</v>
      </c>
      <c r="Q268" s="40">
        <v>1.3333333333333334E-2</v>
      </c>
      <c r="R268" s="40">
        <v>1.2536676447052548E-2</v>
      </c>
      <c r="S268" s="40">
        <v>1.2337662337662338E-2</v>
      </c>
      <c r="T268" s="40">
        <v>1.2662559890485968E-2</v>
      </c>
      <c r="U268" s="40"/>
    </row>
    <row r="269" spans="1:21" x14ac:dyDescent="0.55000000000000004">
      <c r="A269" s="41" t="str">
        <f>'Population Definitions'!$A$3</f>
        <v>Gen 5-14</v>
      </c>
      <c r="B269" s="41" t="s">
        <v>10</v>
      </c>
      <c r="C269" s="40" t="str">
        <f t="shared" si="19"/>
        <v>N.A.</v>
      </c>
      <c r="D269" s="41" t="s">
        <v>16</v>
      </c>
      <c r="E269" s="40"/>
      <c r="F269" s="40"/>
      <c r="G269" s="40"/>
      <c r="H269" s="40"/>
      <c r="I269" s="40">
        <v>5.4991034070531977E-2</v>
      </c>
      <c r="J269" s="40">
        <v>4.6202867764206054E-2</v>
      </c>
      <c r="K269" s="40">
        <v>3.9403620873269436E-2</v>
      </c>
      <c r="L269" s="40">
        <v>3.5398230088495575E-2</v>
      </c>
      <c r="M269" s="40">
        <v>2.7470093043863535E-2</v>
      </c>
      <c r="N269" s="40">
        <v>2.6864289022695692E-2</v>
      </c>
      <c r="O269" s="40">
        <v>1.9890601690701143E-2</v>
      </c>
      <c r="P269" s="40">
        <v>2.0795660036166366E-2</v>
      </c>
      <c r="Q269" s="40">
        <v>1.4314928425357873E-2</v>
      </c>
      <c r="R269" s="40">
        <v>1.4906832298136646E-2</v>
      </c>
      <c r="S269" s="40">
        <v>2.313030069390902E-2</v>
      </c>
      <c r="T269" s="40">
        <v>2.526487367563162E-2</v>
      </c>
      <c r="U269" s="40"/>
    </row>
    <row r="270" spans="1:21" x14ac:dyDescent="0.55000000000000004">
      <c r="A270" s="41" t="str">
        <f>'Population Definitions'!$A$4</f>
        <v>Gen 15-64</v>
      </c>
      <c r="B270" s="41" t="s">
        <v>10</v>
      </c>
      <c r="C270" s="40" t="str">
        <f t="shared" si="19"/>
        <v>N.A.</v>
      </c>
      <c r="D270" s="41" t="s">
        <v>16</v>
      </c>
      <c r="E270" s="40"/>
      <c r="F270" s="40"/>
      <c r="G270" s="40"/>
      <c r="H270" s="40">
        <v>0.11797978445679094</v>
      </c>
      <c r="I270" s="40">
        <v>0.12582017010935603</v>
      </c>
      <c r="J270" s="40">
        <v>0.13173282501738751</v>
      </c>
      <c r="K270" s="40">
        <v>0.11613705078080136</v>
      </c>
      <c r="L270" s="40">
        <v>0.10884116180150458</v>
      </c>
      <c r="M270" s="40">
        <v>8.7771787665731987E-2</v>
      </c>
      <c r="N270" s="40">
        <v>6.569905197021389E-2</v>
      </c>
      <c r="O270" s="40">
        <v>4.9268606820485179E-2</v>
      </c>
      <c r="P270" s="40">
        <v>4.6772377289933401E-2</v>
      </c>
      <c r="Q270" s="40">
        <v>4.1917283793324454E-2</v>
      </c>
      <c r="R270" s="40">
        <v>3.942762321770623E-2</v>
      </c>
      <c r="S270" s="40">
        <v>3.9936829834587927E-2</v>
      </c>
      <c r="T270" s="40">
        <v>3.7857082510877042E-2</v>
      </c>
      <c r="U270" s="40"/>
    </row>
    <row r="271" spans="1:21" x14ac:dyDescent="0.55000000000000004">
      <c r="A271" s="41" t="str">
        <f>'Population Definitions'!$A$5</f>
        <v>Gen 65+</v>
      </c>
      <c r="B271" s="41" t="s">
        <v>10</v>
      </c>
      <c r="C271" s="40" t="str">
        <f t="shared" si="19"/>
        <v>N.A.</v>
      </c>
      <c r="D271" s="41" t="s">
        <v>16</v>
      </c>
      <c r="E271" s="40"/>
      <c r="F271" s="40"/>
      <c r="G271" s="40"/>
      <c r="H271" s="40">
        <v>0.23999999999999996</v>
      </c>
      <c r="I271" s="40">
        <v>0.23126338329764451</v>
      </c>
      <c r="J271" s="40">
        <v>0.22187499999999999</v>
      </c>
      <c r="K271" s="40">
        <v>0.23538461538461539</v>
      </c>
      <c r="L271" s="40">
        <v>0.2142813565526264</v>
      </c>
      <c r="M271" s="40">
        <v>0.20334259180629913</v>
      </c>
      <c r="N271" s="40">
        <v>0.20307210172779691</v>
      </c>
      <c r="O271" s="40"/>
      <c r="P271" s="40">
        <v>0.18729063789214634</v>
      </c>
      <c r="Q271" s="40">
        <v>0.1754822145586985</v>
      </c>
      <c r="R271" s="40">
        <v>0.18639214701404841</v>
      </c>
      <c r="S271" s="40"/>
      <c r="T271" s="40">
        <v>0.16776970259264987</v>
      </c>
      <c r="U271" s="40"/>
    </row>
    <row r="272" spans="1:21" x14ac:dyDescent="0.55000000000000004">
      <c r="A272" s="41" t="str">
        <f>'Population Definitions'!$A$6</f>
        <v>PLHIV 15-64</v>
      </c>
      <c r="B272" s="41" t="s">
        <v>10</v>
      </c>
      <c r="C272" s="40" t="str">
        <f t="shared" si="19"/>
        <v>N.A.</v>
      </c>
      <c r="D272" s="41" t="s">
        <v>16</v>
      </c>
      <c r="E272" s="40"/>
      <c r="F272" s="40"/>
      <c r="G272" s="40"/>
      <c r="H272" s="40">
        <v>0.11797019625268639</v>
      </c>
      <c r="I272" s="40">
        <v>0.12581552965057555</v>
      </c>
      <c r="J272" s="40">
        <v>0.13172046570556253</v>
      </c>
      <c r="K272" s="40">
        <v>0.11625361982845815</v>
      </c>
      <c r="L272" s="40">
        <v>0.11263263117463254</v>
      </c>
      <c r="M272" s="40">
        <v>0.1073244204082599</v>
      </c>
      <c r="N272" s="40">
        <v>9.1866921120217784E-2</v>
      </c>
      <c r="O272" s="40">
        <v>8.150790147757532E-2</v>
      </c>
      <c r="P272" s="40">
        <v>8.2946386576295772E-2</v>
      </c>
      <c r="Q272" s="40">
        <v>8.2772908062547307E-2</v>
      </c>
      <c r="R272" s="40">
        <v>7.6743707431563085E-2</v>
      </c>
      <c r="S272" s="40">
        <v>7.1985984878794054E-2</v>
      </c>
      <c r="T272" s="40">
        <v>7.51569946659425E-2</v>
      </c>
      <c r="U272" s="40"/>
    </row>
    <row r="273" spans="1:21" x14ac:dyDescent="0.55000000000000004">
      <c r="A273" s="41" t="str">
        <f>'Population Definitions'!$A$7</f>
        <v>PLHIV 65+</v>
      </c>
      <c r="B273" s="41" t="s">
        <v>10</v>
      </c>
      <c r="C273" s="40" t="str">
        <f t="shared" si="19"/>
        <v>N.A.</v>
      </c>
      <c r="D273" s="41" t="s">
        <v>16</v>
      </c>
      <c r="E273" s="40"/>
      <c r="F273" s="40"/>
      <c r="G273" s="40"/>
      <c r="H273" s="40">
        <v>0.24</v>
      </c>
      <c r="I273" s="40">
        <v>0.23126338329764454</v>
      </c>
      <c r="J273" s="40">
        <v>0.22187499999999999</v>
      </c>
      <c r="K273" s="40">
        <v>0.23538461538461541</v>
      </c>
      <c r="L273" s="40">
        <v>0.2306769387845006</v>
      </c>
      <c r="M273" s="40">
        <v>0.23536319409495049</v>
      </c>
      <c r="N273" s="40"/>
      <c r="O273" s="40"/>
      <c r="P273" s="40"/>
      <c r="Q273" s="40">
        <v>0.2242763472180534</v>
      </c>
      <c r="R273" s="40">
        <v>0.22657601167203545</v>
      </c>
      <c r="S273" s="40">
        <v>0.23530684778718342</v>
      </c>
      <c r="T273" s="40">
        <v>0.24341040620971505</v>
      </c>
      <c r="U273" s="40"/>
    </row>
    <row r="274" spans="1:21" x14ac:dyDescent="0.55000000000000004">
      <c r="A274" s="41" t="str">
        <f>'Population Definitions'!$A$8</f>
        <v>Prisoners</v>
      </c>
      <c r="B274" s="41" t="s">
        <v>10</v>
      </c>
      <c r="C274" s="40" t="str">
        <f t="shared" si="19"/>
        <v>N.A.</v>
      </c>
      <c r="D274" s="41" t="s">
        <v>16</v>
      </c>
      <c r="E274" s="40"/>
      <c r="F274" s="40"/>
      <c r="G274" s="40"/>
      <c r="H274" s="40"/>
      <c r="I274" s="40">
        <v>9.8966026587887737E-2</v>
      </c>
      <c r="J274" s="40"/>
      <c r="K274" s="40">
        <v>8.3155650319829411E-2</v>
      </c>
      <c r="L274" s="40"/>
      <c r="M274" s="40">
        <v>7.9971157943036941E-2</v>
      </c>
      <c r="N274" s="40">
        <v>4.5432414338749935E-2</v>
      </c>
      <c r="O274" s="40">
        <v>2.7149541821017743E-2</v>
      </c>
      <c r="P274" s="40">
        <v>2.3607064280192665E-2</v>
      </c>
      <c r="Q274" s="40">
        <v>2.8947590513967426E-2</v>
      </c>
      <c r="R274" s="40">
        <v>1.6541353383458648E-2</v>
      </c>
      <c r="S274" s="40"/>
      <c r="T274" s="40">
        <v>1.3673633821508126E-2</v>
      </c>
      <c r="U274" s="40"/>
    </row>
    <row r="275" spans="1:21" x14ac:dyDescent="0.55000000000000004">
      <c r="A275" s="41" t="str">
        <f>'Population Definitions'!$A$9</f>
        <v>PLHIV Prisoners</v>
      </c>
      <c r="B275" s="41" t="s">
        <v>10</v>
      </c>
      <c r="C275" s="40" t="str">
        <f t="shared" si="19"/>
        <v>N.A.</v>
      </c>
      <c r="D275" s="41" t="s">
        <v>16</v>
      </c>
      <c r="E275" s="40"/>
      <c r="F275" s="40"/>
      <c r="G275" s="40"/>
      <c r="H275" s="40"/>
      <c r="I275" s="40">
        <v>9.8966026587887723E-2</v>
      </c>
      <c r="J275" s="40"/>
      <c r="K275" s="40"/>
      <c r="L275" s="40">
        <v>0.11024327784891166</v>
      </c>
      <c r="M275" s="40">
        <v>0.10692436753144943</v>
      </c>
      <c r="N275" s="40">
        <v>9.4096251423837637E-2</v>
      </c>
      <c r="O275" s="40">
        <v>7.5132457012188278E-2</v>
      </c>
      <c r="P275" s="40">
        <v>7.5596792752643791E-2</v>
      </c>
      <c r="Q275" s="40"/>
      <c r="R275" s="40">
        <v>5.8534588620548507E-2</v>
      </c>
      <c r="S275" s="40">
        <v>5.3481810153574429E-2</v>
      </c>
      <c r="T275" s="40">
        <v>4.7948232323232323E-2</v>
      </c>
      <c r="U275" s="40"/>
    </row>
    <row r="276" spans="1:21" x14ac:dyDescent="0.55000000000000004">
      <c r="A276" s="41" t="str">
        <f>'Population Definitions'!$A$10</f>
        <v>HCW</v>
      </c>
      <c r="B276" s="41" t="s">
        <v>10</v>
      </c>
      <c r="C276" s="40">
        <f t="shared" si="19"/>
        <v>0.03</v>
      </c>
      <c r="D276" s="41" t="s">
        <v>16</v>
      </c>
      <c r="E276" s="40"/>
      <c r="F276" s="40"/>
      <c r="G276" s="40"/>
      <c r="H276" s="40"/>
      <c r="I276" s="40"/>
      <c r="J276" s="40"/>
      <c r="K276" s="40"/>
      <c r="L276" s="40"/>
      <c r="M276" s="40"/>
      <c r="N276" s="40"/>
      <c r="O276" s="40"/>
      <c r="P276" s="40"/>
      <c r="Q276" s="40"/>
      <c r="R276" s="40"/>
      <c r="S276" s="40"/>
      <c r="T276" s="40"/>
      <c r="U276" s="40"/>
    </row>
    <row r="277" spans="1:21" x14ac:dyDescent="0.55000000000000004">
      <c r="A277" s="41" t="str">
        <f>'Population Definitions'!$A$11</f>
        <v>PLHIV HCW</v>
      </c>
      <c r="B277" s="41" t="s">
        <v>10</v>
      </c>
      <c r="C277" s="40">
        <f t="shared" si="19"/>
        <v>0.03</v>
      </c>
      <c r="D277" s="41" t="s">
        <v>16</v>
      </c>
      <c r="E277" s="40"/>
      <c r="F277" s="40"/>
      <c r="G277" s="40"/>
      <c r="H277" s="40"/>
      <c r="I277" s="40"/>
      <c r="J277" s="40"/>
      <c r="K277" s="40"/>
      <c r="L277" s="40"/>
      <c r="M277" s="40"/>
      <c r="N277" s="40"/>
      <c r="O277" s="40"/>
      <c r="P277" s="40"/>
      <c r="Q277" s="40"/>
      <c r="R277" s="40"/>
      <c r="S277" s="40"/>
      <c r="T277" s="40"/>
      <c r="U277" s="40"/>
    </row>
    <row r="278" spans="1:21" x14ac:dyDescent="0.55000000000000004">
      <c r="A278" s="41" t="str">
        <f>'Population Definitions'!$A$12</f>
        <v>Miners</v>
      </c>
      <c r="B278" s="41" t="s">
        <v>10</v>
      </c>
      <c r="C278" s="40">
        <f t="shared" si="19"/>
        <v>0.03</v>
      </c>
      <c r="D278" s="41" t="s">
        <v>16</v>
      </c>
      <c r="E278" s="40"/>
      <c r="F278" s="40"/>
      <c r="G278" s="40"/>
      <c r="H278" s="40"/>
      <c r="I278" s="40"/>
      <c r="J278" s="40"/>
      <c r="K278" s="40"/>
      <c r="L278" s="40"/>
      <c r="M278" s="40"/>
      <c r="N278" s="40"/>
      <c r="O278" s="40"/>
      <c r="P278" s="40"/>
      <c r="Q278" s="40"/>
      <c r="R278" s="40"/>
      <c r="S278" s="40"/>
      <c r="T278" s="40"/>
      <c r="U278" s="40"/>
    </row>
    <row r="279" spans="1:21" x14ac:dyDescent="0.55000000000000004">
      <c r="A279" s="41" t="str">
        <f>'Population Definitions'!$A$13</f>
        <v>PLHIV Miners</v>
      </c>
      <c r="B279" s="41" t="s">
        <v>10</v>
      </c>
      <c r="C279" s="40">
        <f t="shared" si="19"/>
        <v>0.03</v>
      </c>
      <c r="D279" s="41" t="s">
        <v>16</v>
      </c>
      <c r="E279" s="40"/>
      <c r="F279" s="40"/>
      <c r="G279" s="40"/>
      <c r="H279" s="40"/>
      <c r="I279" s="40"/>
      <c r="J279" s="40"/>
      <c r="K279" s="40"/>
      <c r="L279" s="40"/>
      <c r="M279" s="40"/>
      <c r="N279" s="40"/>
      <c r="O279" s="40"/>
      <c r="P279" s="40"/>
      <c r="Q279" s="40"/>
      <c r="R279" s="40"/>
      <c r="S279" s="40"/>
      <c r="T279" s="40"/>
      <c r="U279" s="40"/>
    </row>
    <row r="281" spans="1:21" x14ac:dyDescent="0.55000000000000004">
      <c r="A281" s="21" t="s">
        <v>164</v>
      </c>
      <c r="B281" s="41" t="s">
        <v>8</v>
      </c>
      <c r="C281" s="41" t="s">
        <v>9</v>
      </c>
      <c r="D281" s="41"/>
      <c r="E281" s="41">
        <v>2000</v>
      </c>
      <c r="F281" s="41">
        <v>2001</v>
      </c>
      <c r="G281" s="41">
        <v>2002</v>
      </c>
      <c r="H281" s="41">
        <v>2003</v>
      </c>
      <c r="I281" s="41">
        <v>2004</v>
      </c>
      <c r="J281" s="41">
        <v>2005</v>
      </c>
      <c r="K281" s="41">
        <v>2006</v>
      </c>
      <c r="L281" s="41">
        <v>2007</v>
      </c>
      <c r="M281" s="41">
        <v>2008</v>
      </c>
      <c r="N281" s="41">
        <v>2009</v>
      </c>
      <c r="O281" s="41">
        <v>2010</v>
      </c>
      <c r="P281" s="41">
        <v>2011</v>
      </c>
      <c r="Q281" s="41">
        <v>2012</v>
      </c>
      <c r="R281" s="41">
        <v>2013</v>
      </c>
      <c r="S281" s="41">
        <v>2014</v>
      </c>
      <c r="T281" s="41">
        <v>2015</v>
      </c>
      <c r="U281" s="41">
        <v>2016</v>
      </c>
    </row>
    <row r="282" spans="1:21" x14ac:dyDescent="0.55000000000000004">
      <c r="A282" s="41" t="str">
        <f>'Population Definitions'!$A$2</f>
        <v>Gen 0-4</v>
      </c>
      <c r="B282" s="41" t="s">
        <v>10</v>
      </c>
      <c r="C282" s="40" t="str">
        <f t="shared" ref="C282:C293" si="20">IF(SUMPRODUCT(--(E282:U282&lt;&gt;""))=0,0.17,"N.A.")</f>
        <v>N.A.</v>
      </c>
      <c r="D282" s="41" t="s">
        <v>16</v>
      </c>
      <c r="E282" s="40"/>
      <c r="F282" s="40"/>
      <c r="G282" s="40"/>
      <c r="H282" s="40"/>
      <c r="I282" s="40"/>
      <c r="J282" s="40"/>
      <c r="K282" s="40"/>
      <c r="L282" s="40"/>
      <c r="M282" s="40"/>
      <c r="N282" s="40"/>
      <c r="O282" s="40">
        <v>0.14285714285714285</v>
      </c>
      <c r="P282" s="40"/>
      <c r="Q282" s="40"/>
      <c r="R282" s="40"/>
      <c r="S282" s="40"/>
      <c r="T282" s="40"/>
      <c r="U282" s="40"/>
    </row>
    <row r="283" spans="1:21" x14ac:dyDescent="0.55000000000000004">
      <c r="A283" s="41" t="str">
        <f>'Population Definitions'!$A$3</f>
        <v>Gen 5-14</v>
      </c>
      <c r="B283" s="41" t="s">
        <v>10</v>
      </c>
      <c r="C283" s="40" t="str">
        <f t="shared" si="20"/>
        <v>N.A.</v>
      </c>
      <c r="D283" s="41" t="s">
        <v>16</v>
      </c>
      <c r="E283" s="40"/>
      <c r="F283" s="40"/>
      <c r="G283" s="40"/>
      <c r="H283" s="40"/>
      <c r="I283" s="40"/>
      <c r="J283" s="40"/>
      <c r="K283" s="40"/>
      <c r="L283" s="40"/>
      <c r="M283" s="40"/>
      <c r="N283" s="40"/>
      <c r="O283" s="40">
        <v>0.25</v>
      </c>
      <c r="P283" s="40"/>
      <c r="Q283" s="40">
        <v>0.21428571428571427</v>
      </c>
      <c r="R283" s="40"/>
      <c r="S283" s="40">
        <v>0.2</v>
      </c>
      <c r="T283" s="40"/>
      <c r="U283" s="40"/>
    </row>
    <row r="284" spans="1:21" x14ac:dyDescent="0.55000000000000004">
      <c r="A284" s="41" t="str">
        <f>'Population Definitions'!$A$4</f>
        <v>Gen 15-64</v>
      </c>
      <c r="B284" s="41" t="s">
        <v>10</v>
      </c>
      <c r="C284" s="40" t="str">
        <f t="shared" si="20"/>
        <v>N.A.</v>
      </c>
      <c r="D284" s="41" t="s">
        <v>16</v>
      </c>
      <c r="E284" s="40"/>
      <c r="F284" s="40"/>
      <c r="G284" s="40"/>
      <c r="H284" s="40"/>
      <c r="I284" s="40"/>
      <c r="J284" s="40"/>
      <c r="K284" s="40"/>
      <c r="L284" s="40"/>
      <c r="M284" s="40"/>
      <c r="N284" s="40">
        <v>0.23305084745762711</v>
      </c>
      <c r="O284" s="40">
        <v>0.18584983498349836</v>
      </c>
      <c r="P284" s="40">
        <v>0.13733401804709855</v>
      </c>
      <c r="Q284" s="40">
        <v>0.10407413080104151</v>
      </c>
      <c r="R284" s="40">
        <v>0.10439663470553674</v>
      </c>
      <c r="S284" s="40">
        <v>9.8266447649331151E-2</v>
      </c>
      <c r="T284" s="40"/>
      <c r="U284" s="40"/>
    </row>
    <row r="285" spans="1:21" x14ac:dyDescent="0.55000000000000004">
      <c r="A285" s="41" t="str">
        <f>'Population Definitions'!$A$5</f>
        <v>Gen 65+</v>
      </c>
      <c r="B285" s="41" t="s">
        <v>10</v>
      </c>
      <c r="C285" s="40" t="str">
        <f t="shared" si="20"/>
        <v>N.A.</v>
      </c>
      <c r="D285" s="41" t="s">
        <v>16</v>
      </c>
      <c r="E285" s="40"/>
      <c r="F285" s="40"/>
      <c r="G285" s="40"/>
      <c r="H285" s="40"/>
      <c r="I285" s="40"/>
      <c r="J285" s="40"/>
      <c r="K285" s="40"/>
      <c r="L285" s="40"/>
      <c r="M285" s="40"/>
      <c r="N285" s="40"/>
      <c r="O285" s="40">
        <v>0.40389610389610386</v>
      </c>
      <c r="P285" s="40"/>
      <c r="Q285" s="40"/>
      <c r="R285" s="40"/>
      <c r="S285" s="40">
        <v>0.23333333333333331</v>
      </c>
      <c r="T285" s="40"/>
      <c r="U285" s="40"/>
    </row>
    <row r="286" spans="1:21" x14ac:dyDescent="0.55000000000000004">
      <c r="A286" s="41" t="str">
        <f>'Population Definitions'!$A$6</f>
        <v>PLHIV 15-64</v>
      </c>
      <c r="B286" s="41" t="s">
        <v>10</v>
      </c>
      <c r="C286" s="40" t="str">
        <f t="shared" si="20"/>
        <v>N.A.</v>
      </c>
      <c r="D286" s="41" t="s">
        <v>16</v>
      </c>
      <c r="E286" s="40"/>
      <c r="F286" s="40"/>
      <c r="G286" s="40"/>
      <c r="H286" s="40"/>
      <c r="I286" s="40"/>
      <c r="J286" s="40"/>
      <c r="K286" s="40"/>
      <c r="L286" s="40"/>
      <c r="M286" s="40"/>
      <c r="N286" s="40">
        <v>0.24202898550724639</v>
      </c>
      <c r="O286" s="40">
        <v>0.22193883064951903</v>
      </c>
      <c r="P286" s="40">
        <v>0.21117817052312896</v>
      </c>
      <c r="Q286" s="40">
        <v>0.1941584094294411</v>
      </c>
      <c r="R286" s="40">
        <v>0.24728171052083919</v>
      </c>
      <c r="S286" s="40">
        <v>0.19567066279869047</v>
      </c>
      <c r="T286" s="40"/>
      <c r="U286" s="40"/>
    </row>
    <row r="287" spans="1:21" x14ac:dyDescent="0.55000000000000004">
      <c r="A287" s="41" t="str">
        <f>'Population Definitions'!$A$7</f>
        <v>PLHIV 65+</v>
      </c>
      <c r="B287" s="41" t="s">
        <v>10</v>
      </c>
      <c r="C287" s="40" t="str">
        <f t="shared" si="20"/>
        <v>N.A.</v>
      </c>
      <c r="D287" s="41" t="s">
        <v>16</v>
      </c>
      <c r="E287" s="40"/>
      <c r="F287" s="40"/>
      <c r="G287" s="40"/>
      <c r="H287" s="40"/>
      <c r="I287" s="40"/>
      <c r="J287" s="40"/>
      <c r="K287" s="40"/>
      <c r="L287" s="40"/>
      <c r="M287" s="40"/>
      <c r="N287" s="40"/>
      <c r="O287" s="40">
        <v>0.74794069192751234</v>
      </c>
      <c r="P287" s="40">
        <v>0.5</v>
      </c>
      <c r="Q287" s="40"/>
      <c r="R287" s="40"/>
      <c r="S287" s="40">
        <v>0.33333333333333331</v>
      </c>
      <c r="T287" s="40"/>
      <c r="U287" s="40"/>
    </row>
    <row r="288" spans="1:21" x14ac:dyDescent="0.55000000000000004">
      <c r="A288" s="41" t="str">
        <f>'Population Definitions'!$A$8</f>
        <v>Prisoners</v>
      </c>
      <c r="B288" s="41" t="s">
        <v>10</v>
      </c>
      <c r="C288" s="40">
        <f t="shared" si="20"/>
        <v>0.17</v>
      </c>
      <c r="D288" s="41" t="s">
        <v>16</v>
      </c>
      <c r="E288" s="40"/>
      <c r="F288" s="40"/>
      <c r="G288" s="40"/>
      <c r="H288" s="40"/>
      <c r="I288" s="40"/>
      <c r="J288" s="40"/>
      <c r="K288" s="40"/>
      <c r="L288" s="40"/>
      <c r="M288" s="40"/>
      <c r="N288" s="40"/>
      <c r="O288" s="40"/>
      <c r="P288" s="40"/>
      <c r="Q288" s="40"/>
      <c r="R288" s="40"/>
      <c r="S288" s="40"/>
      <c r="T288" s="40"/>
      <c r="U288" s="40"/>
    </row>
    <row r="289" spans="1:21" x14ac:dyDescent="0.55000000000000004">
      <c r="A289" s="41" t="str">
        <f>'Population Definitions'!$A$9</f>
        <v>PLHIV Prisoners</v>
      </c>
      <c r="B289" s="41" t="s">
        <v>10</v>
      </c>
      <c r="C289" s="40">
        <f t="shared" si="20"/>
        <v>0.17</v>
      </c>
      <c r="D289" s="41" t="s">
        <v>16</v>
      </c>
      <c r="E289" s="40"/>
      <c r="F289" s="40"/>
      <c r="G289" s="40"/>
      <c r="H289" s="40"/>
      <c r="I289" s="40"/>
      <c r="J289" s="40"/>
      <c r="K289" s="40"/>
      <c r="L289" s="40"/>
      <c r="M289" s="40"/>
      <c r="N289" s="40"/>
      <c r="O289" s="40"/>
      <c r="P289" s="40"/>
      <c r="Q289" s="40"/>
      <c r="R289" s="40"/>
      <c r="S289" s="40"/>
      <c r="T289" s="40"/>
      <c r="U289" s="40"/>
    </row>
    <row r="290" spans="1:21" x14ac:dyDescent="0.55000000000000004">
      <c r="A290" s="41" t="str">
        <f>'Population Definitions'!$A$10</f>
        <v>HCW</v>
      </c>
      <c r="B290" s="41" t="s">
        <v>10</v>
      </c>
      <c r="C290" s="40">
        <f t="shared" si="20"/>
        <v>0.17</v>
      </c>
      <c r="D290" s="41" t="s">
        <v>16</v>
      </c>
      <c r="E290" s="40"/>
      <c r="F290" s="40"/>
      <c r="G290" s="40"/>
      <c r="H290" s="40"/>
      <c r="I290" s="40"/>
      <c r="J290" s="40"/>
      <c r="K290" s="40"/>
      <c r="L290" s="40"/>
      <c r="M290" s="40"/>
      <c r="N290" s="40"/>
      <c r="O290" s="40"/>
      <c r="P290" s="40"/>
      <c r="Q290" s="40"/>
      <c r="R290" s="40"/>
      <c r="S290" s="40"/>
      <c r="T290" s="40"/>
      <c r="U290" s="40"/>
    </row>
    <row r="291" spans="1:21" x14ac:dyDescent="0.55000000000000004">
      <c r="A291" s="41" t="str">
        <f>'Population Definitions'!$A$11</f>
        <v>PLHIV HCW</v>
      </c>
      <c r="B291" s="41" t="s">
        <v>10</v>
      </c>
      <c r="C291" s="40">
        <f t="shared" si="20"/>
        <v>0.17</v>
      </c>
      <c r="D291" s="41" t="s">
        <v>16</v>
      </c>
      <c r="E291" s="40"/>
      <c r="F291" s="40"/>
      <c r="G291" s="40"/>
      <c r="H291" s="40"/>
      <c r="I291" s="40"/>
      <c r="J291" s="40"/>
      <c r="K291" s="40"/>
      <c r="L291" s="40"/>
      <c r="M291" s="40"/>
      <c r="N291" s="40"/>
      <c r="O291" s="40"/>
      <c r="P291" s="40"/>
      <c r="Q291" s="40"/>
      <c r="R291" s="40"/>
      <c r="S291" s="40"/>
      <c r="T291" s="40"/>
      <c r="U291" s="40"/>
    </row>
    <row r="292" spans="1:21" x14ac:dyDescent="0.55000000000000004">
      <c r="A292" s="41" t="str">
        <f>'Population Definitions'!$A$12</f>
        <v>Miners</v>
      </c>
      <c r="B292" s="41" t="s">
        <v>10</v>
      </c>
      <c r="C292" s="40">
        <f t="shared" si="20"/>
        <v>0.17</v>
      </c>
      <c r="D292" s="41" t="s">
        <v>16</v>
      </c>
      <c r="E292" s="40"/>
      <c r="F292" s="40"/>
      <c r="G292" s="40"/>
      <c r="H292" s="40"/>
      <c r="I292" s="40"/>
      <c r="J292" s="40"/>
      <c r="K292" s="40"/>
      <c r="L292" s="40"/>
      <c r="M292" s="40"/>
      <c r="N292" s="40"/>
      <c r="O292" s="40"/>
      <c r="P292" s="40"/>
      <c r="Q292" s="40"/>
      <c r="R292" s="40"/>
      <c r="S292" s="40"/>
      <c r="T292" s="40"/>
      <c r="U292" s="40"/>
    </row>
    <row r="293" spans="1:21" x14ac:dyDescent="0.55000000000000004">
      <c r="A293" s="41" t="str">
        <f>'Population Definitions'!$A$13</f>
        <v>PLHIV Miners</v>
      </c>
      <c r="B293" s="41" t="s">
        <v>10</v>
      </c>
      <c r="C293" s="40">
        <f t="shared" si="20"/>
        <v>0.17</v>
      </c>
      <c r="D293" s="41" t="s">
        <v>16</v>
      </c>
      <c r="E293" s="40"/>
      <c r="F293" s="40"/>
      <c r="G293" s="40"/>
      <c r="H293" s="40"/>
      <c r="I293" s="40"/>
      <c r="J293" s="40"/>
      <c r="K293" s="40"/>
      <c r="L293" s="40"/>
      <c r="M293" s="40"/>
      <c r="N293" s="40"/>
      <c r="O293" s="40"/>
      <c r="P293" s="40"/>
      <c r="Q293" s="40"/>
      <c r="R293" s="40"/>
      <c r="S293" s="40"/>
      <c r="T293" s="40"/>
      <c r="U293" s="40"/>
    </row>
    <row r="295" spans="1:21" x14ac:dyDescent="0.55000000000000004">
      <c r="A295" s="21" t="s">
        <v>165</v>
      </c>
      <c r="B295" s="41" t="s">
        <v>8</v>
      </c>
      <c r="C295" s="41" t="s">
        <v>9</v>
      </c>
      <c r="D295" s="41"/>
      <c r="E295" s="41">
        <v>2000</v>
      </c>
      <c r="F295" s="41">
        <v>2001</v>
      </c>
      <c r="G295" s="41">
        <v>2002</v>
      </c>
      <c r="H295" s="41">
        <v>2003</v>
      </c>
      <c r="I295" s="41">
        <v>2004</v>
      </c>
      <c r="J295" s="41">
        <v>2005</v>
      </c>
      <c r="K295" s="41">
        <v>2006</v>
      </c>
      <c r="L295" s="41">
        <v>2007</v>
      </c>
      <c r="M295" s="41">
        <v>2008</v>
      </c>
      <c r="N295" s="41">
        <v>2009</v>
      </c>
      <c r="O295" s="41">
        <v>2010</v>
      </c>
      <c r="P295" s="41">
        <v>2011</v>
      </c>
      <c r="Q295" s="41">
        <v>2012</v>
      </c>
      <c r="R295" s="41">
        <v>2013</v>
      </c>
      <c r="S295" s="41">
        <v>2014</v>
      </c>
      <c r="T295" s="41">
        <v>2015</v>
      </c>
      <c r="U295" s="41">
        <v>2016</v>
      </c>
    </row>
    <row r="296" spans="1:21" x14ac:dyDescent="0.55000000000000004">
      <c r="A296" s="41" t="str">
        <f>'Population Definitions'!$A$2</f>
        <v>Gen 0-4</v>
      </c>
      <c r="B296" s="41" t="s">
        <v>10</v>
      </c>
      <c r="C296" s="40" t="str">
        <f t="shared" ref="C296:C307" si="21">IF(SUMPRODUCT(--(E296:U296&lt;&gt;""))=0,0.17,"N.A.")</f>
        <v>N.A.</v>
      </c>
      <c r="D296" s="41" t="s">
        <v>16</v>
      </c>
      <c r="E296" s="40"/>
      <c r="F296" s="40"/>
      <c r="G296" s="40"/>
      <c r="H296" s="40"/>
      <c r="I296" s="40"/>
      <c r="J296" s="40"/>
      <c r="K296" s="40"/>
      <c r="L296" s="40"/>
      <c r="M296" s="40"/>
      <c r="N296" s="40"/>
      <c r="O296" s="40">
        <v>0.14285714285714285</v>
      </c>
      <c r="P296" s="40"/>
      <c r="Q296" s="40"/>
      <c r="R296" s="40"/>
      <c r="S296" s="40"/>
      <c r="T296" s="40"/>
      <c r="U296" s="40"/>
    </row>
    <row r="297" spans="1:21" x14ac:dyDescent="0.55000000000000004">
      <c r="A297" s="41" t="str">
        <f>'Population Definitions'!$A$3</f>
        <v>Gen 5-14</v>
      </c>
      <c r="B297" s="41" t="s">
        <v>10</v>
      </c>
      <c r="C297" s="40" t="str">
        <f t="shared" si="21"/>
        <v>N.A.</v>
      </c>
      <c r="D297" s="41" t="s">
        <v>16</v>
      </c>
      <c r="E297" s="40"/>
      <c r="F297" s="40"/>
      <c r="G297" s="40"/>
      <c r="H297" s="40"/>
      <c r="I297" s="40"/>
      <c r="J297" s="40"/>
      <c r="K297" s="40"/>
      <c r="L297" s="40"/>
      <c r="M297" s="40"/>
      <c r="N297" s="40"/>
      <c r="O297" s="40">
        <v>0.25</v>
      </c>
      <c r="P297" s="40"/>
      <c r="Q297" s="40">
        <v>0.21428571428571427</v>
      </c>
      <c r="R297" s="40"/>
      <c r="S297" s="40">
        <v>0.2</v>
      </c>
      <c r="T297" s="40"/>
      <c r="U297" s="40"/>
    </row>
    <row r="298" spans="1:21" x14ac:dyDescent="0.55000000000000004">
      <c r="A298" s="41" t="str">
        <f>'Population Definitions'!$A$4</f>
        <v>Gen 15-64</v>
      </c>
      <c r="B298" s="41" t="s">
        <v>10</v>
      </c>
      <c r="C298" s="40" t="str">
        <f t="shared" si="21"/>
        <v>N.A.</v>
      </c>
      <c r="D298" s="41" t="s">
        <v>16</v>
      </c>
      <c r="E298" s="40"/>
      <c r="F298" s="40"/>
      <c r="G298" s="40"/>
      <c r="H298" s="40"/>
      <c r="I298" s="40"/>
      <c r="J298" s="40"/>
      <c r="K298" s="40"/>
      <c r="L298" s="40"/>
      <c r="M298" s="40"/>
      <c r="N298" s="40">
        <v>0.23305084745762711</v>
      </c>
      <c r="O298" s="40">
        <v>0.18584983498349836</v>
      </c>
      <c r="P298" s="40">
        <v>0.13733401804709855</v>
      </c>
      <c r="Q298" s="40">
        <v>0.10407413080104151</v>
      </c>
      <c r="R298" s="40">
        <v>0.10439663470553674</v>
      </c>
      <c r="S298" s="40">
        <v>9.8266447649331151E-2</v>
      </c>
      <c r="T298" s="40"/>
      <c r="U298" s="40"/>
    </row>
    <row r="299" spans="1:21" x14ac:dyDescent="0.55000000000000004">
      <c r="A299" s="41" t="str">
        <f>'Population Definitions'!$A$5</f>
        <v>Gen 65+</v>
      </c>
      <c r="B299" s="41" t="s">
        <v>10</v>
      </c>
      <c r="C299" s="40" t="str">
        <f t="shared" si="21"/>
        <v>N.A.</v>
      </c>
      <c r="D299" s="41" t="s">
        <v>16</v>
      </c>
      <c r="E299" s="40"/>
      <c r="F299" s="40"/>
      <c r="G299" s="40"/>
      <c r="H299" s="40"/>
      <c r="I299" s="40"/>
      <c r="J299" s="40"/>
      <c r="K299" s="40"/>
      <c r="L299" s="40"/>
      <c r="M299" s="40"/>
      <c r="N299" s="40"/>
      <c r="O299" s="40">
        <v>0.40389610389610386</v>
      </c>
      <c r="P299" s="40"/>
      <c r="Q299" s="40"/>
      <c r="R299" s="40"/>
      <c r="S299" s="40">
        <v>0.23333333333333331</v>
      </c>
      <c r="T299" s="40"/>
      <c r="U299" s="40"/>
    </row>
    <row r="300" spans="1:21" x14ac:dyDescent="0.55000000000000004">
      <c r="A300" s="41" t="str">
        <f>'Population Definitions'!$A$6</f>
        <v>PLHIV 15-64</v>
      </c>
      <c r="B300" s="41" t="s">
        <v>10</v>
      </c>
      <c r="C300" s="40" t="str">
        <f t="shared" si="21"/>
        <v>N.A.</v>
      </c>
      <c r="D300" s="41" t="s">
        <v>16</v>
      </c>
      <c r="E300" s="40"/>
      <c r="F300" s="40"/>
      <c r="G300" s="40"/>
      <c r="H300" s="40"/>
      <c r="I300" s="40"/>
      <c r="J300" s="40"/>
      <c r="K300" s="40"/>
      <c r="L300" s="40"/>
      <c r="M300" s="40"/>
      <c r="N300" s="40">
        <v>0.24202898550724639</v>
      </c>
      <c r="O300" s="40">
        <v>0.22193883064951903</v>
      </c>
      <c r="P300" s="40">
        <v>0.21117817052312896</v>
      </c>
      <c r="Q300" s="40">
        <v>0.1941584094294411</v>
      </c>
      <c r="R300" s="40">
        <v>0.24728171052083919</v>
      </c>
      <c r="S300" s="40">
        <v>0.19567066279869047</v>
      </c>
      <c r="T300" s="40"/>
      <c r="U300" s="40"/>
    </row>
    <row r="301" spans="1:21" x14ac:dyDescent="0.55000000000000004">
      <c r="A301" s="41" t="str">
        <f>'Population Definitions'!$A$7</f>
        <v>PLHIV 65+</v>
      </c>
      <c r="B301" s="41" t="s">
        <v>10</v>
      </c>
      <c r="C301" s="40" t="str">
        <f t="shared" si="21"/>
        <v>N.A.</v>
      </c>
      <c r="D301" s="41" t="s">
        <v>16</v>
      </c>
      <c r="E301" s="40"/>
      <c r="F301" s="40"/>
      <c r="G301" s="40"/>
      <c r="H301" s="40"/>
      <c r="I301" s="40"/>
      <c r="J301" s="40"/>
      <c r="K301" s="40"/>
      <c r="L301" s="40"/>
      <c r="M301" s="40"/>
      <c r="N301" s="40"/>
      <c r="O301" s="40">
        <v>0.74794069192751234</v>
      </c>
      <c r="P301" s="40">
        <v>0.5</v>
      </c>
      <c r="Q301" s="40"/>
      <c r="R301" s="40"/>
      <c r="S301" s="40">
        <v>0.33333333333333331</v>
      </c>
      <c r="T301" s="40"/>
      <c r="U301" s="40"/>
    </row>
    <row r="302" spans="1:21" x14ac:dyDescent="0.55000000000000004">
      <c r="A302" s="41" t="str">
        <f>'Population Definitions'!$A$8</f>
        <v>Prisoners</v>
      </c>
      <c r="B302" s="41" t="s">
        <v>10</v>
      </c>
      <c r="C302" s="40">
        <f t="shared" si="21"/>
        <v>0.17</v>
      </c>
      <c r="D302" s="41" t="s">
        <v>16</v>
      </c>
      <c r="E302" s="40"/>
      <c r="F302" s="40"/>
      <c r="G302" s="40"/>
      <c r="H302" s="40"/>
      <c r="I302" s="40"/>
      <c r="J302" s="40"/>
      <c r="K302" s="40"/>
      <c r="L302" s="40"/>
      <c r="M302" s="40"/>
      <c r="N302" s="40"/>
      <c r="O302" s="40"/>
      <c r="P302" s="40"/>
      <c r="Q302" s="40"/>
      <c r="R302" s="40"/>
      <c r="S302" s="40"/>
      <c r="T302" s="40"/>
      <c r="U302" s="40"/>
    </row>
    <row r="303" spans="1:21" x14ac:dyDescent="0.55000000000000004">
      <c r="A303" s="41" t="str">
        <f>'Population Definitions'!$A$9</f>
        <v>PLHIV Prisoners</v>
      </c>
      <c r="B303" s="41" t="s">
        <v>10</v>
      </c>
      <c r="C303" s="40">
        <f t="shared" si="21"/>
        <v>0.17</v>
      </c>
      <c r="D303" s="41" t="s">
        <v>16</v>
      </c>
      <c r="E303" s="40"/>
      <c r="F303" s="40"/>
      <c r="G303" s="40"/>
      <c r="H303" s="40"/>
      <c r="I303" s="40"/>
      <c r="J303" s="40"/>
      <c r="K303" s="40"/>
      <c r="L303" s="40"/>
      <c r="M303" s="40"/>
      <c r="N303" s="40"/>
      <c r="O303" s="40"/>
      <c r="P303" s="40"/>
      <c r="Q303" s="40"/>
      <c r="R303" s="40"/>
      <c r="S303" s="40"/>
      <c r="T303" s="40"/>
      <c r="U303" s="40"/>
    </row>
    <row r="304" spans="1:21" x14ac:dyDescent="0.55000000000000004">
      <c r="A304" s="41" t="str">
        <f>'Population Definitions'!$A$10</f>
        <v>HCW</v>
      </c>
      <c r="B304" s="41" t="s">
        <v>10</v>
      </c>
      <c r="C304" s="40">
        <f t="shared" si="21"/>
        <v>0.17</v>
      </c>
      <c r="D304" s="41" t="s">
        <v>16</v>
      </c>
      <c r="E304" s="40"/>
      <c r="F304" s="40"/>
      <c r="G304" s="40"/>
      <c r="H304" s="40"/>
      <c r="I304" s="40"/>
      <c r="J304" s="40"/>
      <c r="K304" s="40"/>
      <c r="L304" s="40"/>
      <c r="M304" s="40"/>
      <c r="N304" s="40"/>
      <c r="O304" s="40"/>
      <c r="P304" s="40"/>
      <c r="Q304" s="40"/>
      <c r="R304" s="40"/>
      <c r="S304" s="40"/>
      <c r="T304" s="40"/>
      <c r="U304" s="40"/>
    </row>
    <row r="305" spans="1:21" x14ac:dyDescent="0.55000000000000004">
      <c r="A305" s="41" t="str">
        <f>'Population Definitions'!$A$11</f>
        <v>PLHIV HCW</v>
      </c>
      <c r="B305" s="41" t="s">
        <v>10</v>
      </c>
      <c r="C305" s="40">
        <f t="shared" si="21"/>
        <v>0.17</v>
      </c>
      <c r="D305" s="41" t="s">
        <v>16</v>
      </c>
      <c r="E305" s="40"/>
      <c r="F305" s="40"/>
      <c r="G305" s="40"/>
      <c r="H305" s="40"/>
      <c r="I305" s="40"/>
      <c r="J305" s="40"/>
      <c r="K305" s="40"/>
      <c r="L305" s="40"/>
      <c r="M305" s="40"/>
      <c r="N305" s="40"/>
      <c r="O305" s="40"/>
      <c r="P305" s="40"/>
      <c r="Q305" s="40"/>
      <c r="R305" s="40"/>
      <c r="S305" s="40"/>
      <c r="T305" s="40"/>
      <c r="U305" s="40"/>
    </row>
    <row r="306" spans="1:21" x14ac:dyDescent="0.55000000000000004">
      <c r="A306" s="41" t="str">
        <f>'Population Definitions'!$A$12</f>
        <v>Miners</v>
      </c>
      <c r="B306" s="41" t="s">
        <v>10</v>
      </c>
      <c r="C306" s="40">
        <f t="shared" si="21"/>
        <v>0.17</v>
      </c>
      <c r="D306" s="41" t="s">
        <v>16</v>
      </c>
      <c r="E306" s="40"/>
      <c r="F306" s="40"/>
      <c r="G306" s="40"/>
      <c r="H306" s="40"/>
      <c r="I306" s="40"/>
      <c r="J306" s="40"/>
      <c r="K306" s="40"/>
      <c r="L306" s="40"/>
      <c r="M306" s="40"/>
      <c r="N306" s="40"/>
      <c r="O306" s="40"/>
      <c r="P306" s="40"/>
      <c r="Q306" s="40"/>
      <c r="R306" s="40"/>
      <c r="S306" s="40"/>
      <c r="T306" s="40"/>
      <c r="U306" s="40"/>
    </row>
    <row r="307" spans="1:21" x14ac:dyDescent="0.55000000000000004">
      <c r="A307" s="41" t="str">
        <f>'Population Definitions'!$A$13</f>
        <v>PLHIV Miners</v>
      </c>
      <c r="B307" s="41" t="s">
        <v>10</v>
      </c>
      <c r="C307" s="40">
        <f t="shared" si="21"/>
        <v>0.17</v>
      </c>
      <c r="D307" s="41" t="s">
        <v>16</v>
      </c>
      <c r="E307" s="40"/>
      <c r="F307" s="40"/>
      <c r="G307" s="40"/>
      <c r="H307" s="40"/>
      <c r="I307" s="40"/>
      <c r="J307" s="40"/>
      <c r="K307" s="40"/>
      <c r="L307" s="40"/>
      <c r="M307" s="40"/>
      <c r="N307" s="40"/>
      <c r="O307" s="40"/>
      <c r="P307" s="40"/>
      <c r="Q307" s="40"/>
      <c r="R307" s="40"/>
      <c r="S307" s="40"/>
      <c r="T307" s="40"/>
      <c r="U307" s="40"/>
    </row>
    <row r="309" spans="1:21" x14ac:dyDescent="0.55000000000000004">
      <c r="A309" s="21" t="s">
        <v>166</v>
      </c>
      <c r="B309" s="41" t="s">
        <v>8</v>
      </c>
      <c r="C309" s="41" t="s">
        <v>9</v>
      </c>
      <c r="D309" s="41"/>
      <c r="E309" s="41">
        <v>2000</v>
      </c>
      <c r="F309" s="41">
        <v>2001</v>
      </c>
      <c r="G309" s="41">
        <v>2002</v>
      </c>
      <c r="H309" s="41">
        <v>2003</v>
      </c>
      <c r="I309" s="41">
        <v>2004</v>
      </c>
      <c r="J309" s="41">
        <v>2005</v>
      </c>
      <c r="K309" s="41">
        <v>2006</v>
      </c>
      <c r="L309" s="41">
        <v>2007</v>
      </c>
      <c r="M309" s="41">
        <v>2008</v>
      </c>
      <c r="N309" s="41">
        <v>2009</v>
      </c>
      <c r="O309" s="41">
        <v>2010</v>
      </c>
      <c r="P309" s="41">
        <v>2011</v>
      </c>
      <c r="Q309" s="41">
        <v>2012</v>
      </c>
      <c r="R309" s="41">
        <v>2013</v>
      </c>
      <c r="S309" s="41">
        <v>2014</v>
      </c>
      <c r="T309" s="41">
        <v>2015</v>
      </c>
      <c r="U309" s="41">
        <v>2016</v>
      </c>
    </row>
    <row r="310" spans="1:21" x14ac:dyDescent="0.55000000000000004">
      <c r="A310" s="41" t="str">
        <f>'Population Definitions'!$A$2</f>
        <v>Gen 0-4</v>
      </c>
      <c r="B310" s="41" t="s">
        <v>10</v>
      </c>
      <c r="C310" s="40">
        <f t="shared" ref="C310:C321" si="22">IF(SUMPRODUCT(--(E310:U310&lt;&gt;""))=0,0.27,"N.A.")</f>
        <v>0.27</v>
      </c>
      <c r="D310" s="41" t="s">
        <v>16</v>
      </c>
      <c r="E310" s="40"/>
      <c r="F310" s="40"/>
      <c r="G310" s="40"/>
      <c r="H310" s="40"/>
      <c r="I310" s="40"/>
      <c r="J310" s="40"/>
      <c r="K310" s="40"/>
      <c r="L310" s="40"/>
      <c r="M310" s="40"/>
      <c r="N310" s="40"/>
      <c r="O310" s="40"/>
      <c r="P310" s="40"/>
      <c r="Q310" s="40"/>
      <c r="R310" s="40"/>
      <c r="S310" s="40"/>
      <c r="T310" s="40"/>
      <c r="U310" s="40"/>
    </row>
    <row r="311" spans="1:21" x14ac:dyDescent="0.55000000000000004">
      <c r="A311" s="41" t="str">
        <f>'Population Definitions'!$A$3</f>
        <v>Gen 5-14</v>
      </c>
      <c r="B311" s="41" t="s">
        <v>10</v>
      </c>
      <c r="C311" s="40">
        <f t="shared" si="22"/>
        <v>0.27</v>
      </c>
      <c r="D311" s="41" t="s">
        <v>16</v>
      </c>
      <c r="E311" s="40"/>
      <c r="F311" s="40"/>
      <c r="G311" s="40"/>
      <c r="H311" s="40"/>
      <c r="I311" s="40"/>
      <c r="J311" s="40"/>
      <c r="K311" s="40"/>
      <c r="L311" s="40"/>
      <c r="M311" s="40"/>
      <c r="N311" s="40"/>
      <c r="O311" s="40"/>
      <c r="P311" s="40"/>
      <c r="Q311" s="40"/>
      <c r="R311" s="40"/>
      <c r="S311" s="40"/>
      <c r="T311" s="40"/>
      <c r="U311" s="40"/>
    </row>
    <row r="312" spans="1:21" x14ac:dyDescent="0.55000000000000004">
      <c r="A312" s="41" t="str">
        <f>'Population Definitions'!$A$4</f>
        <v>Gen 15-64</v>
      </c>
      <c r="B312" s="41" t="s">
        <v>10</v>
      </c>
      <c r="C312" s="40" t="str">
        <f t="shared" si="22"/>
        <v>N.A.</v>
      </c>
      <c r="D312" s="41" t="s">
        <v>16</v>
      </c>
      <c r="E312" s="40"/>
      <c r="F312" s="40"/>
      <c r="G312" s="40"/>
      <c r="H312" s="40"/>
      <c r="I312" s="40"/>
      <c r="J312" s="40"/>
      <c r="K312" s="40"/>
      <c r="L312" s="40"/>
      <c r="M312" s="40"/>
      <c r="N312" s="40">
        <v>0.41176470588235292</v>
      </c>
      <c r="O312" s="40">
        <v>0.31975867269984914</v>
      </c>
      <c r="P312" s="40"/>
      <c r="Q312" s="40"/>
      <c r="R312" s="40"/>
      <c r="S312" s="40">
        <v>0.20909090909090908</v>
      </c>
      <c r="T312" s="40"/>
      <c r="U312" s="40"/>
    </row>
    <row r="313" spans="1:21" x14ac:dyDescent="0.55000000000000004">
      <c r="A313" s="41" t="str">
        <f>'Population Definitions'!$A$5</f>
        <v>Gen 65+</v>
      </c>
      <c r="B313" s="41" t="s">
        <v>10</v>
      </c>
      <c r="C313" s="40">
        <f t="shared" si="22"/>
        <v>0.27</v>
      </c>
      <c r="D313" s="41" t="s">
        <v>16</v>
      </c>
      <c r="E313" s="40"/>
      <c r="F313" s="40"/>
      <c r="G313" s="40"/>
      <c r="H313" s="40"/>
      <c r="I313" s="40"/>
      <c r="J313" s="40"/>
      <c r="K313" s="40"/>
      <c r="L313" s="40"/>
      <c r="M313" s="40"/>
      <c r="N313" s="40"/>
      <c r="O313" s="40"/>
      <c r="P313" s="40"/>
      <c r="Q313" s="40"/>
      <c r="R313" s="40"/>
      <c r="S313" s="40"/>
      <c r="T313" s="40"/>
      <c r="U313" s="40"/>
    </row>
    <row r="314" spans="1:21" x14ac:dyDescent="0.55000000000000004">
      <c r="A314" s="41" t="str">
        <f>'Population Definitions'!$A$6</f>
        <v>PLHIV 15-64</v>
      </c>
      <c r="B314" s="41" t="s">
        <v>10</v>
      </c>
      <c r="C314" s="40" t="str">
        <f t="shared" si="22"/>
        <v>N.A.</v>
      </c>
      <c r="D314" s="41" t="s">
        <v>16</v>
      </c>
      <c r="E314" s="40"/>
      <c r="F314" s="40"/>
      <c r="G314" s="40"/>
      <c r="H314" s="40"/>
      <c r="I314" s="40"/>
      <c r="J314" s="40"/>
      <c r="K314" s="40"/>
      <c r="L314" s="40"/>
      <c r="M314" s="40"/>
      <c r="N314" s="40">
        <v>0.39233038348082594</v>
      </c>
      <c r="O314" s="40">
        <v>0.34262125902992774</v>
      </c>
      <c r="P314" s="40"/>
      <c r="Q314" s="40">
        <v>0.33333333333333331</v>
      </c>
      <c r="R314" s="40"/>
      <c r="S314" s="40">
        <v>0.25000000000000006</v>
      </c>
      <c r="T314" s="40"/>
      <c r="U314" s="40"/>
    </row>
    <row r="315" spans="1:21" x14ac:dyDescent="0.55000000000000004">
      <c r="A315" s="41" t="str">
        <f>'Population Definitions'!$A$7</f>
        <v>PLHIV 65+</v>
      </c>
      <c r="B315" s="41" t="s">
        <v>10</v>
      </c>
      <c r="C315" s="40">
        <f t="shared" si="22"/>
        <v>0.27</v>
      </c>
      <c r="D315" s="41" t="s">
        <v>16</v>
      </c>
      <c r="E315" s="40"/>
      <c r="F315" s="40"/>
      <c r="G315" s="40"/>
      <c r="H315" s="40"/>
      <c r="I315" s="40"/>
      <c r="J315" s="40"/>
      <c r="K315" s="40"/>
      <c r="L315" s="40"/>
      <c r="M315" s="40"/>
      <c r="N315" s="40"/>
      <c r="O315" s="40"/>
      <c r="P315" s="40"/>
      <c r="Q315" s="40"/>
      <c r="R315" s="40"/>
      <c r="S315" s="40"/>
      <c r="T315" s="40"/>
      <c r="U315" s="40"/>
    </row>
    <row r="316" spans="1:21" x14ac:dyDescent="0.55000000000000004">
      <c r="A316" s="41" t="str">
        <f>'Population Definitions'!$A$8</f>
        <v>Prisoners</v>
      </c>
      <c r="B316" s="41" t="s">
        <v>10</v>
      </c>
      <c r="C316" s="40">
        <f t="shared" si="22"/>
        <v>0.27</v>
      </c>
      <c r="D316" s="41" t="s">
        <v>16</v>
      </c>
      <c r="E316" s="40"/>
      <c r="F316" s="40"/>
      <c r="G316" s="40"/>
      <c r="H316" s="40"/>
      <c r="I316" s="40"/>
      <c r="J316" s="40"/>
      <c r="K316" s="40"/>
      <c r="L316" s="40"/>
      <c r="M316" s="40"/>
      <c r="N316" s="40"/>
      <c r="O316" s="40"/>
      <c r="P316" s="40"/>
      <c r="Q316" s="40"/>
      <c r="R316" s="40"/>
      <c r="S316" s="40"/>
      <c r="T316" s="40"/>
      <c r="U316" s="40"/>
    </row>
    <row r="317" spans="1:21" x14ac:dyDescent="0.55000000000000004">
      <c r="A317" s="41" t="str">
        <f>'Population Definitions'!$A$9</f>
        <v>PLHIV Prisoners</v>
      </c>
      <c r="B317" s="41" t="s">
        <v>10</v>
      </c>
      <c r="C317" s="40">
        <f t="shared" si="22"/>
        <v>0.27</v>
      </c>
      <c r="D317" s="41" t="s">
        <v>16</v>
      </c>
      <c r="E317" s="40"/>
      <c r="F317" s="40"/>
      <c r="G317" s="40"/>
      <c r="H317" s="40"/>
      <c r="I317" s="40"/>
      <c r="J317" s="40"/>
      <c r="K317" s="40"/>
      <c r="L317" s="40"/>
      <c r="M317" s="40"/>
      <c r="N317" s="40"/>
      <c r="O317" s="40"/>
      <c r="P317" s="40"/>
      <c r="Q317" s="40"/>
      <c r="R317" s="40"/>
      <c r="S317" s="40"/>
      <c r="T317" s="40"/>
      <c r="U317" s="40"/>
    </row>
    <row r="318" spans="1:21" x14ac:dyDescent="0.55000000000000004">
      <c r="A318" s="41" t="str">
        <f>'Population Definitions'!$A$10</f>
        <v>HCW</v>
      </c>
      <c r="B318" s="41" t="s">
        <v>10</v>
      </c>
      <c r="C318" s="40">
        <f t="shared" si="22"/>
        <v>0.27</v>
      </c>
      <c r="D318" s="41" t="s">
        <v>16</v>
      </c>
      <c r="E318" s="40"/>
      <c r="F318" s="40"/>
      <c r="G318" s="40"/>
      <c r="H318" s="40"/>
      <c r="I318" s="40"/>
      <c r="J318" s="40"/>
      <c r="K318" s="40"/>
      <c r="L318" s="40"/>
      <c r="M318" s="40"/>
      <c r="N318" s="40"/>
      <c r="O318" s="40"/>
      <c r="P318" s="40"/>
      <c r="Q318" s="40"/>
      <c r="R318" s="40"/>
      <c r="S318" s="40"/>
      <c r="T318" s="40"/>
      <c r="U318" s="40"/>
    </row>
    <row r="319" spans="1:21" x14ac:dyDescent="0.55000000000000004">
      <c r="A319" s="41" t="str">
        <f>'Population Definitions'!$A$11</f>
        <v>PLHIV HCW</v>
      </c>
      <c r="B319" s="41" t="s">
        <v>10</v>
      </c>
      <c r="C319" s="40">
        <f t="shared" si="22"/>
        <v>0.27</v>
      </c>
      <c r="D319" s="41" t="s">
        <v>16</v>
      </c>
      <c r="E319" s="40"/>
      <c r="F319" s="40"/>
      <c r="G319" s="40"/>
      <c r="H319" s="40"/>
      <c r="I319" s="40"/>
      <c r="J319" s="40"/>
      <c r="K319" s="40"/>
      <c r="L319" s="40"/>
      <c r="M319" s="40"/>
      <c r="N319" s="40"/>
      <c r="O319" s="40"/>
      <c r="P319" s="40"/>
      <c r="Q319" s="40"/>
      <c r="R319" s="40"/>
      <c r="S319" s="40"/>
      <c r="T319" s="40"/>
      <c r="U319" s="40"/>
    </row>
    <row r="320" spans="1:21" x14ac:dyDescent="0.55000000000000004">
      <c r="A320" s="41" t="str">
        <f>'Population Definitions'!$A$12</f>
        <v>Miners</v>
      </c>
      <c r="B320" s="41" t="s">
        <v>10</v>
      </c>
      <c r="C320" s="40">
        <f t="shared" si="22"/>
        <v>0.27</v>
      </c>
      <c r="D320" s="41" t="s">
        <v>16</v>
      </c>
      <c r="E320" s="40"/>
      <c r="F320" s="40"/>
      <c r="G320" s="40"/>
      <c r="H320" s="40"/>
      <c r="I320" s="40"/>
      <c r="J320" s="40"/>
      <c r="K320" s="40"/>
      <c r="L320" s="40"/>
      <c r="M320" s="40"/>
      <c r="N320" s="40"/>
      <c r="O320" s="40"/>
      <c r="P320" s="40"/>
      <c r="Q320" s="40"/>
      <c r="R320" s="40"/>
      <c r="S320" s="40"/>
      <c r="T320" s="40"/>
      <c r="U320" s="40"/>
    </row>
    <row r="321" spans="1:21" x14ac:dyDescent="0.55000000000000004">
      <c r="A321" s="41" t="str">
        <f>'Population Definitions'!$A$13</f>
        <v>PLHIV Miners</v>
      </c>
      <c r="B321" s="41" t="s">
        <v>10</v>
      </c>
      <c r="C321" s="40">
        <f t="shared" si="22"/>
        <v>0.27</v>
      </c>
      <c r="D321" s="41" t="s">
        <v>16</v>
      </c>
      <c r="E321" s="40"/>
      <c r="F321" s="40"/>
      <c r="G321" s="40"/>
      <c r="H321" s="40"/>
      <c r="I321" s="40"/>
      <c r="J321" s="40"/>
      <c r="K321" s="40"/>
      <c r="L321" s="40"/>
      <c r="M321" s="40"/>
      <c r="N321" s="40"/>
      <c r="O321" s="40"/>
      <c r="P321" s="40"/>
      <c r="Q321" s="40"/>
      <c r="R321" s="40"/>
      <c r="S321" s="40"/>
      <c r="T321" s="40"/>
      <c r="U321" s="40"/>
    </row>
    <row r="323" spans="1:21" x14ac:dyDescent="0.55000000000000004">
      <c r="A323" s="21" t="s">
        <v>167</v>
      </c>
      <c r="B323" s="41" t="s">
        <v>8</v>
      </c>
      <c r="C323" s="41" t="s">
        <v>9</v>
      </c>
      <c r="D323" s="41"/>
      <c r="E323" s="41">
        <v>2000</v>
      </c>
      <c r="F323" s="41">
        <v>2001</v>
      </c>
      <c r="G323" s="41">
        <v>2002</v>
      </c>
      <c r="H323" s="41">
        <v>2003</v>
      </c>
      <c r="I323" s="41">
        <v>2004</v>
      </c>
      <c r="J323" s="41">
        <v>2005</v>
      </c>
      <c r="K323" s="41">
        <v>2006</v>
      </c>
      <c r="L323" s="41">
        <v>2007</v>
      </c>
      <c r="M323" s="41">
        <v>2008</v>
      </c>
      <c r="N323" s="41">
        <v>2009</v>
      </c>
      <c r="O323" s="41">
        <v>2010</v>
      </c>
      <c r="P323" s="41">
        <v>2011</v>
      </c>
      <c r="Q323" s="41">
        <v>2012</v>
      </c>
      <c r="R323" s="41">
        <v>2013</v>
      </c>
      <c r="S323" s="41">
        <v>2014</v>
      </c>
      <c r="T323" s="41">
        <v>2015</v>
      </c>
      <c r="U323" s="41">
        <v>2016</v>
      </c>
    </row>
    <row r="324" spans="1:21" x14ac:dyDescent="0.55000000000000004">
      <c r="A324" s="41" t="str">
        <f>'Population Definitions'!$A$2</f>
        <v>Gen 0-4</v>
      </c>
      <c r="B324" s="41" t="s">
        <v>10</v>
      </c>
      <c r="C324" s="40">
        <f t="shared" ref="C324:C335" si="23">IF(SUMPRODUCT(--(E324:U324&lt;&gt;""))=0,0.27,"N.A.")</f>
        <v>0.27</v>
      </c>
      <c r="D324" s="41" t="s">
        <v>16</v>
      </c>
      <c r="E324" s="40"/>
      <c r="F324" s="40"/>
      <c r="G324" s="40"/>
      <c r="H324" s="40"/>
      <c r="I324" s="40"/>
      <c r="J324" s="40"/>
      <c r="K324" s="40"/>
      <c r="L324" s="40"/>
      <c r="M324" s="40"/>
      <c r="N324" s="40"/>
      <c r="O324" s="40"/>
      <c r="P324" s="40"/>
      <c r="Q324" s="40"/>
      <c r="R324" s="40"/>
      <c r="S324" s="40"/>
      <c r="T324" s="40"/>
      <c r="U324" s="40"/>
    </row>
    <row r="325" spans="1:21" x14ac:dyDescent="0.55000000000000004">
      <c r="A325" s="41" t="str">
        <f>'Population Definitions'!$A$3</f>
        <v>Gen 5-14</v>
      </c>
      <c r="B325" s="41" t="s">
        <v>10</v>
      </c>
      <c r="C325" s="40">
        <f t="shared" si="23"/>
        <v>0.27</v>
      </c>
      <c r="D325" s="41" t="s">
        <v>16</v>
      </c>
      <c r="E325" s="40"/>
      <c r="F325" s="40"/>
      <c r="G325" s="40"/>
      <c r="H325" s="40"/>
      <c r="I325" s="40"/>
      <c r="J325" s="40"/>
      <c r="K325" s="40"/>
      <c r="L325" s="40"/>
      <c r="M325" s="40"/>
      <c r="N325" s="40"/>
      <c r="O325" s="40"/>
      <c r="P325" s="40"/>
      <c r="Q325" s="40"/>
      <c r="R325" s="40"/>
      <c r="S325" s="40"/>
      <c r="T325" s="40"/>
      <c r="U325" s="40"/>
    </row>
    <row r="326" spans="1:21" x14ac:dyDescent="0.55000000000000004">
      <c r="A326" s="41" t="str">
        <f>'Population Definitions'!$A$4</f>
        <v>Gen 15-64</v>
      </c>
      <c r="B326" s="41" t="s">
        <v>10</v>
      </c>
      <c r="C326" s="40" t="str">
        <f t="shared" si="23"/>
        <v>N.A.</v>
      </c>
      <c r="D326" s="41" t="s">
        <v>16</v>
      </c>
      <c r="E326" s="40"/>
      <c r="F326" s="40"/>
      <c r="G326" s="40"/>
      <c r="H326" s="40"/>
      <c r="I326" s="40"/>
      <c r="J326" s="40"/>
      <c r="K326" s="40"/>
      <c r="L326" s="40"/>
      <c r="M326" s="40"/>
      <c r="N326" s="40">
        <v>0.41176470588235292</v>
      </c>
      <c r="O326" s="40">
        <v>0.31975867269984914</v>
      </c>
      <c r="P326" s="40"/>
      <c r="Q326" s="40"/>
      <c r="R326" s="40"/>
      <c r="S326" s="40">
        <v>0.20909090909090908</v>
      </c>
      <c r="T326" s="40"/>
      <c r="U326" s="40"/>
    </row>
    <row r="327" spans="1:21" x14ac:dyDescent="0.55000000000000004">
      <c r="A327" s="41" t="str">
        <f>'Population Definitions'!$A$5</f>
        <v>Gen 65+</v>
      </c>
      <c r="B327" s="41" t="s">
        <v>10</v>
      </c>
      <c r="C327" s="40">
        <f t="shared" si="23"/>
        <v>0.27</v>
      </c>
      <c r="D327" s="41" t="s">
        <v>16</v>
      </c>
      <c r="E327" s="40"/>
      <c r="F327" s="40"/>
      <c r="G327" s="40"/>
      <c r="H327" s="40"/>
      <c r="I327" s="40"/>
      <c r="J327" s="40"/>
      <c r="K327" s="40"/>
      <c r="L327" s="40"/>
      <c r="M327" s="40"/>
      <c r="N327" s="40"/>
      <c r="O327" s="40"/>
      <c r="P327" s="40"/>
      <c r="Q327" s="40"/>
      <c r="R327" s="40"/>
      <c r="S327" s="40"/>
      <c r="T327" s="40"/>
      <c r="U327" s="40"/>
    </row>
    <row r="328" spans="1:21" x14ac:dyDescent="0.55000000000000004">
      <c r="A328" s="41" t="str">
        <f>'Population Definitions'!$A$6</f>
        <v>PLHIV 15-64</v>
      </c>
      <c r="B328" s="41" t="s">
        <v>10</v>
      </c>
      <c r="C328" s="40" t="str">
        <f t="shared" si="23"/>
        <v>N.A.</v>
      </c>
      <c r="D328" s="41" t="s">
        <v>16</v>
      </c>
      <c r="E328" s="40"/>
      <c r="F328" s="40"/>
      <c r="G328" s="40"/>
      <c r="H328" s="40"/>
      <c r="I328" s="40"/>
      <c r="J328" s="40"/>
      <c r="K328" s="40"/>
      <c r="L328" s="40"/>
      <c r="M328" s="40"/>
      <c r="N328" s="40">
        <v>0.39233038348082594</v>
      </c>
      <c r="O328" s="40">
        <v>0.34262125902992774</v>
      </c>
      <c r="P328" s="40"/>
      <c r="Q328" s="40">
        <v>0.33333333333333331</v>
      </c>
      <c r="R328" s="40"/>
      <c r="S328" s="40">
        <v>0.25000000000000006</v>
      </c>
      <c r="T328" s="40"/>
      <c r="U328" s="40"/>
    </row>
    <row r="329" spans="1:21" x14ac:dyDescent="0.55000000000000004">
      <c r="A329" s="41" t="str">
        <f>'Population Definitions'!$A$7</f>
        <v>PLHIV 65+</v>
      </c>
      <c r="B329" s="41" t="s">
        <v>10</v>
      </c>
      <c r="C329" s="40">
        <f t="shared" si="23"/>
        <v>0.27</v>
      </c>
      <c r="D329" s="41" t="s">
        <v>16</v>
      </c>
      <c r="E329" s="40"/>
      <c r="F329" s="40"/>
      <c r="G329" s="40"/>
      <c r="H329" s="40"/>
      <c r="I329" s="40"/>
      <c r="J329" s="40"/>
      <c r="K329" s="40"/>
      <c r="L329" s="40"/>
      <c r="M329" s="40"/>
      <c r="N329" s="40"/>
      <c r="O329" s="40"/>
      <c r="P329" s="40"/>
      <c r="Q329" s="40"/>
      <c r="R329" s="40"/>
      <c r="S329" s="40"/>
      <c r="T329" s="40"/>
      <c r="U329" s="40"/>
    </row>
    <row r="330" spans="1:21" x14ac:dyDescent="0.55000000000000004">
      <c r="A330" s="41" t="str">
        <f>'Population Definitions'!$A$8</f>
        <v>Prisoners</v>
      </c>
      <c r="B330" s="41" t="s">
        <v>10</v>
      </c>
      <c r="C330" s="40">
        <f t="shared" si="23"/>
        <v>0.27</v>
      </c>
      <c r="D330" s="41" t="s">
        <v>16</v>
      </c>
      <c r="E330" s="40"/>
      <c r="F330" s="40"/>
      <c r="G330" s="40"/>
      <c r="H330" s="40"/>
      <c r="I330" s="40"/>
      <c r="J330" s="40"/>
      <c r="K330" s="40"/>
      <c r="L330" s="40"/>
      <c r="M330" s="40"/>
      <c r="N330" s="40"/>
      <c r="O330" s="40"/>
      <c r="P330" s="40"/>
      <c r="Q330" s="40"/>
      <c r="R330" s="40"/>
      <c r="S330" s="40"/>
      <c r="T330" s="40"/>
      <c r="U330" s="40"/>
    </row>
    <row r="331" spans="1:21" x14ac:dyDescent="0.55000000000000004">
      <c r="A331" s="41" t="str">
        <f>'Population Definitions'!$A$9</f>
        <v>PLHIV Prisoners</v>
      </c>
      <c r="B331" s="41" t="s">
        <v>10</v>
      </c>
      <c r="C331" s="40">
        <f t="shared" si="23"/>
        <v>0.27</v>
      </c>
      <c r="D331" s="41" t="s">
        <v>16</v>
      </c>
      <c r="E331" s="40"/>
      <c r="F331" s="40"/>
      <c r="G331" s="40"/>
      <c r="H331" s="40"/>
      <c r="I331" s="40"/>
      <c r="J331" s="40"/>
      <c r="K331" s="40"/>
      <c r="L331" s="40"/>
      <c r="M331" s="40"/>
      <c r="N331" s="40"/>
      <c r="O331" s="40"/>
      <c r="P331" s="40"/>
      <c r="Q331" s="40"/>
      <c r="R331" s="40"/>
      <c r="S331" s="40"/>
      <c r="T331" s="40"/>
      <c r="U331" s="40"/>
    </row>
    <row r="332" spans="1:21" x14ac:dyDescent="0.55000000000000004">
      <c r="A332" s="41" t="str">
        <f>'Population Definitions'!$A$10</f>
        <v>HCW</v>
      </c>
      <c r="B332" s="41" t="s">
        <v>10</v>
      </c>
      <c r="C332" s="40">
        <f t="shared" si="23"/>
        <v>0.27</v>
      </c>
      <c r="D332" s="41" t="s">
        <v>16</v>
      </c>
      <c r="E332" s="40"/>
      <c r="F332" s="40"/>
      <c r="G332" s="40"/>
      <c r="H332" s="40"/>
      <c r="I332" s="40"/>
      <c r="J332" s="40"/>
      <c r="K332" s="40"/>
      <c r="L332" s="40"/>
      <c r="M332" s="40"/>
      <c r="N332" s="40"/>
      <c r="O332" s="40"/>
      <c r="P332" s="40"/>
      <c r="Q332" s="40"/>
      <c r="R332" s="40"/>
      <c r="S332" s="40"/>
      <c r="T332" s="40"/>
      <c r="U332" s="40"/>
    </row>
    <row r="333" spans="1:21" x14ac:dyDescent="0.55000000000000004">
      <c r="A333" s="41" t="str">
        <f>'Population Definitions'!$A$11</f>
        <v>PLHIV HCW</v>
      </c>
      <c r="B333" s="41" t="s">
        <v>10</v>
      </c>
      <c r="C333" s="40">
        <f t="shared" si="23"/>
        <v>0.27</v>
      </c>
      <c r="D333" s="41" t="s">
        <v>16</v>
      </c>
      <c r="E333" s="40"/>
      <c r="F333" s="40"/>
      <c r="G333" s="40"/>
      <c r="H333" s="40"/>
      <c r="I333" s="40"/>
      <c r="J333" s="40"/>
      <c r="K333" s="40"/>
      <c r="L333" s="40"/>
      <c r="M333" s="40"/>
      <c r="N333" s="40"/>
      <c r="O333" s="40"/>
      <c r="P333" s="40"/>
      <c r="Q333" s="40"/>
      <c r="R333" s="40"/>
      <c r="S333" s="40"/>
      <c r="T333" s="40"/>
      <c r="U333" s="40"/>
    </row>
    <row r="334" spans="1:21" x14ac:dyDescent="0.55000000000000004">
      <c r="A334" s="41" t="str">
        <f>'Population Definitions'!$A$12</f>
        <v>Miners</v>
      </c>
      <c r="B334" s="41" t="s">
        <v>10</v>
      </c>
      <c r="C334" s="40">
        <f t="shared" si="23"/>
        <v>0.27</v>
      </c>
      <c r="D334" s="41" t="s">
        <v>16</v>
      </c>
      <c r="E334" s="40"/>
      <c r="F334" s="40"/>
      <c r="G334" s="40"/>
      <c r="H334" s="40"/>
      <c r="I334" s="40"/>
      <c r="J334" s="40"/>
      <c r="K334" s="40"/>
      <c r="L334" s="40"/>
      <c r="M334" s="40"/>
      <c r="N334" s="40"/>
      <c r="O334" s="40"/>
      <c r="P334" s="40"/>
      <c r="Q334" s="40"/>
      <c r="R334" s="40"/>
      <c r="S334" s="40"/>
      <c r="T334" s="40"/>
      <c r="U334" s="40"/>
    </row>
    <row r="335" spans="1:21" x14ac:dyDescent="0.55000000000000004">
      <c r="A335" s="41" t="str">
        <f>'Population Definitions'!$A$13</f>
        <v>PLHIV Miners</v>
      </c>
      <c r="B335" s="41" t="s">
        <v>10</v>
      </c>
      <c r="C335" s="40">
        <f t="shared" si="23"/>
        <v>0.27</v>
      </c>
      <c r="D335" s="41" t="s">
        <v>16</v>
      </c>
      <c r="E335" s="40"/>
      <c r="F335" s="40"/>
      <c r="G335" s="40"/>
      <c r="H335" s="40"/>
      <c r="I335" s="40"/>
      <c r="J335" s="40"/>
      <c r="K335" s="40"/>
      <c r="L335" s="40"/>
      <c r="M335" s="40"/>
      <c r="N335" s="40"/>
      <c r="O335" s="40"/>
      <c r="P335" s="40"/>
      <c r="Q335" s="40"/>
      <c r="R335" s="40"/>
      <c r="S335" s="40"/>
      <c r="T335" s="40"/>
      <c r="U335" s="40"/>
    </row>
  </sheetData>
  <dataValidations count="1">
    <dataValidation type="list" showInputMessage="1" showErrorMessage="1" sqref="B324:B335 B310:B321 B296:B307 B282:B293 B268:B279 B254:B265 B240:B251 B226:B237 B212:B223 B198:B209 B184:B195 B170:B181 B156:B167 B142:B153 B128:B139 B114:B125 B100:B111 B86:B97 B72:B83 B58:B69 B44:B55 B30:B41 B16:B27 B2:B13">
      <formula1>"Fraction,Number"</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I9" sqref="I9"/>
    </sheetView>
  </sheetViews>
  <sheetFormatPr defaultColWidth="8.83984375" defaultRowHeight="14.4" x14ac:dyDescent="0.55000000000000004"/>
  <cols>
    <col min="1" max="1" width="23" bestFit="1" customWidth="1"/>
    <col min="2" max="13" width="11.47265625" customWidth="1"/>
  </cols>
  <sheetData>
    <row r="1" spans="1:13" x14ac:dyDescent="0.55000000000000004">
      <c r="A1" s="1" t="s">
        <v>4</v>
      </c>
      <c r="B1" s="3" t="str">
        <f>'Population Definitions'!$B$2</f>
        <v>0-4</v>
      </c>
      <c r="C1" s="3" t="str">
        <f>'Population Definitions'!$B$3</f>
        <v>5-14</v>
      </c>
      <c r="D1" s="3" t="str">
        <f>'Population Definitions'!$B$4</f>
        <v>15-64</v>
      </c>
      <c r="E1" s="3" t="str">
        <f>'Population Definitions'!$B$5</f>
        <v>65+</v>
      </c>
      <c r="F1" s="3" t="str">
        <f>'Population Definitions'!$B$6</f>
        <v>15-64 (HIV+)</v>
      </c>
      <c r="G1" s="3" t="str">
        <f>'Population Definitions'!$B$7</f>
        <v>65+ (HIV+)</v>
      </c>
      <c r="H1" s="3" t="str">
        <f>'Population Definitions'!$B$8</f>
        <v>Prisoners</v>
      </c>
      <c r="I1" s="3" t="str">
        <f>'Population Definitions'!$B$9</f>
        <v>Prisoners (HIV+)</v>
      </c>
      <c r="J1" s="3" t="str">
        <f>'Population Definitions'!$B$10</f>
        <v>HCW</v>
      </c>
      <c r="K1" s="3" t="str">
        <f>'Population Definitions'!$B$11</f>
        <v>HCW (HIV+)</v>
      </c>
      <c r="L1" s="3" t="str">
        <f>'Population Definitions'!$B$12</f>
        <v>Miners</v>
      </c>
      <c r="M1" s="3" t="str">
        <f>'Population Definitions'!$B$13</f>
        <v>Miners (HIV+)</v>
      </c>
    </row>
    <row r="2" spans="1:13" x14ac:dyDescent="0.55000000000000004">
      <c r="A2" s="1" t="str">
        <f>'Population Definitions'!$B$2</f>
        <v>0-4</v>
      </c>
      <c r="B2" s="27">
        <v>5</v>
      </c>
      <c r="C2" s="27">
        <v>1</v>
      </c>
      <c r="D2" s="27">
        <v>3</v>
      </c>
      <c r="E2" s="27"/>
      <c r="F2" s="27">
        <v>1</v>
      </c>
      <c r="G2" s="27"/>
      <c r="H2" s="27"/>
      <c r="I2" s="27"/>
      <c r="J2" s="27"/>
      <c r="K2" s="27"/>
      <c r="L2" s="27"/>
      <c r="M2" s="27"/>
    </row>
    <row r="3" spans="1:13" x14ac:dyDescent="0.55000000000000004">
      <c r="A3" s="1" t="str">
        <f>'Population Definitions'!$B$3</f>
        <v>5-14</v>
      </c>
      <c r="B3" s="27">
        <v>1</v>
      </c>
      <c r="C3" s="27">
        <v>5</v>
      </c>
      <c r="D3" s="27">
        <v>3</v>
      </c>
      <c r="E3" s="27">
        <v>1</v>
      </c>
      <c r="F3" s="27"/>
      <c r="G3" s="27"/>
      <c r="H3" s="27"/>
      <c r="I3" s="27"/>
      <c r="J3" s="27"/>
      <c r="K3" s="27"/>
      <c r="L3" s="27"/>
      <c r="M3" s="27"/>
    </row>
    <row r="4" spans="1:13" x14ac:dyDescent="0.55000000000000004">
      <c r="A4" s="1" t="str">
        <f>'Population Definitions'!$B$4</f>
        <v>15-64</v>
      </c>
      <c r="B4" s="27">
        <v>1</v>
      </c>
      <c r="C4" s="27">
        <v>1</v>
      </c>
      <c r="D4" s="27">
        <v>5</v>
      </c>
      <c r="E4" s="27">
        <v>1</v>
      </c>
      <c r="F4" s="27">
        <v>1</v>
      </c>
      <c r="G4" s="27">
        <v>1</v>
      </c>
      <c r="H4" s="27"/>
      <c r="I4" s="27"/>
      <c r="J4" s="27"/>
      <c r="K4" s="27"/>
      <c r="L4" s="27"/>
      <c r="M4" s="27"/>
    </row>
    <row r="5" spans="1:13" x14ac:dyDescent="0.55000000000000004">
      <c r="A5" s="1" t="str">
        <f>'Population Definitions'!$B$5</f>
        <v>65+</v>
      </c>
      <c r="B5" s="27"/>
      <c r="C5" s="27">
        <v>1</v>
      </c>
      <c r="D5" s="27">
        <v>1</v>
      </c>
      <c r="E5" s="27">
        <v>10</v>
      </c>
      <c r="F5" s="27">
        <v>1</v>
      </c>
      <c r="G5" s="27">
        <v>1</v>
      </c>
      <c r="H5" s="27"/>
      <c r="I5" s="27"/>
      <c r="J5" s="27"/>
      <c r="K5" s="27"/>
      <c r="L5" s="27"/>
      <c r="M5" s="27"/>
    </row>
    <row r="6" spans="1:13" x14ac:dyDescent="0.55000000000000004">
      <c r="A6" s="1" t="str">
        <f>'Population Definitions'!$B$6</f>
        <v>15-64 (HIV+)</v>
      </c>
      <c r="B6" s="27">
        <v>1</v>
      </c>
      <c r="C6" s="27"/>
      <c r="D6" s="27">
        <v>1</v>
      </c>
      <c r="E6" s="27">
        <v>1</v>
      </c>
      <c r="F6" s="27">
        <v>5</v>
      </c>
      <c r="G6" s="27">
        <v>2</v>
      </c>
      <c r="H6" s="27"/>
      <c r="I6" s="27"/>
      <c r="J6" s="27"/>
      <c r="K6" s="27"/>
      <c r="L6" s="27"/>
      <c r="M6" s="27"/>
    </row>
    <row r="7" spans="1:13" x14ac:dyDescent="0.55000000000000004">
      <c r="A7" s="1" t="str">
        <f>'Population Definitions'!$B$7</f>
        <v>65+ (HIV+)</v>
      </c>
      <c r="B7" s="27"/>
      <c r="C7" s="27"/>
      <c r="D7" s="27">
        <v>1</v>
      </c>
      <c r="E7" s="27">
        <v>1</v>
      </c>
      <c r="F7" s="27">
        <v>1</v>
      </c>
      <c r="G7" s="27">
        <v>10</v>
      </c>
      <c r="H7" s="27"/>
      <c r="I7" s="27"/>
      <c r="J7" s="27"/>
      <c r="K7" s="27"/>
      <c r="L7" s="27"/>
      <c r="M7" s="27"/>
    </row>
    <row r="8" spans="1:13" x14ac:dyDescent="0.55000000000000004">
      <c r="A8" s="1" t="str">
        <f>'Population Definitions'!$B$8</f>
        <v>Prisoners</v>
      </c>
      <c r="B8" s="27"/>
      <c r="C8" s="27"/>
      <c r="D8" s="27"/>
      <c r="E8" s="27"/>
      <c r="F8" s="27"/>
      <c r="G8" s="27"/>
      <c r="H8" s="27">
        <v>1</v>
      </c>
      <c r="I8" s="27">
        <v>1</v>
      </c>
      <c r="J8" s="27"/>
      <c r="K8" s="27"/>
      <c r="L8" s="27"/>
      <c r="M8" s="27"/>
    </row>
    <row r="9" spans="1:13" x14ac:dyDescent="0.55000000000000004">
      <c r="A9" s="1" t="str">
        <f>'Population Definitions'!$B$9</f>
        <v>Prisoners (HIV+)</v>
      </c>
      <c r="B9" s="27"/>
      <c r="C9" s="27"/>
      <c r="D9" s="27"/>
      <c r="E9" s="27"/>
      <c r="F9" s="27"/>
      <c r="G9" s="27"/>
      <c r="H9" s="27">
        <v>1</v>
      </c>
      <c r="I9" s="27">
        <v>1</v>
      </c>
      <c r="J9" s="27"/>
      <c r="K9" s="27"/>
      <c r="L9" s="27"/>
      <c r="M9" s="27"/>
    </row>
    <row r="10" spans="1:13" x14ac:dyDescent="0.55000000000000004">
      <c r="A10" s="1" t="str">
        <f>'Population Definitions'!$B$10</f>
        <v>HCW</v>
      </c>
      <c r="B10" s="27"/>
      <c r="C10" s="27"/>
      <c r="D10" s="27">
        <v>1</v>
      </c>
      <c r="E10" s="27">
        <v>3</v>
      </c>
      <c r="F10" s="27">
        <v>5</v>
      </c>
      <c r="G10" s="27">
        <v>5</v>
      </c>
      <c r="H10" s="27" t="s">
        <v>170</v>
      </c>
      <c r="I10" s="27" t="s">
        <v>170</v>
      </c>
      <c r="J10" s="27">
        <v>10</v>
      </c>
      <c r="K10" s="27">
        <v>10</v>
      </c>
      <c r="L10" s="27"/>
      <c r="M10" s="27"/>
    </row>
    <row r="11" spans="1:13" x14ac:dyDescent="0.55000000000000004">
      <c r="A11" s="1" t="str">
        <f>'Population Definitions'!$B$11</f>
        <v>HCW (HIV+)</v>
      </c>
      <c r="B11" s="27"/>
      <c r="C11" s="27"/>
      <c r="D11" s="27">
        <v>1</v>
      </c>
      <c r="E11" s="27">
        <v>3</v>
      </c>
      <c r="F11" s="27">
        <v>5</v>
      </c>
      <c r="G11" s="27">
        <v>5</v>
      </c>
      <c r="H11" s="27" t="s">
        <v>170</v>
      </c>
      <c r="I11" s="27" t="s">
        <v>170</v>
      </c>
      <c r="J11" s="27">
        <v>10</v>
      </c>
      <c r="K11" s="27">
        <v>10</v>
      </c>
      <c r="L11" s="27"/>
      <c r="M11" s="27"/>
    </row>
    <row r="12" spans="1:13" x14ac:dyDescent="0.55000000000000004">
      <c r="A12" s="1" t="str">
        <f>'Population Definitions'!$B$12</f>
        <v>Miners</v>
      </c>
      <c r="B12" s="27"/>
      <c r="C12" s="27"/>
      <c r="D12" s="27"/>
      <c r="E12" s="27"/>
      <c r="F12" s="27"/>
      <c r="G12" s="27"/>
      <c r="H12" s="27" t="s">
        <v>170</v>
      </c>
      <c r="I12" s="27" t="s">
        <v>170</v>
      </c>
      <c r="J12" s="27"/>
      <c r="K12" s="27"/>
      <c r="L12" s="27">
        <v>1</v>
      </c>
      <c r="M12" s="27">
        <v>1</v>
      </c>
    </row>
    <row r="13" spans="1:13" x14ac:dyDescent="0.55000000000000004">
      <c r="A13" s="1" t="str">
        <f>'Population Definitions'!$B$13</f>
        <v>Miners (HIV+)</v>
      </c>
      <c r="B13" s="27"/>
      <c r="C13" s="27"/>
      <c r="D13" s="27"/>
      <c r="E13" s="27"/>
      <c r="F13" s="27"/>
      <c r="G13" s="27"/>
      <c r="H13" s="27" t="s">
        <v>170</v>
      </c>
      <c r="I13" s="27" t="s">
        <v>170</v>
      </c>
      <c r="J13" s="27"/>
      <c r="K13" s="27"/>
      <c r="L13" s="27">
        <v>1</v>
      </c>
      <c r="M13" s="27">
        <v>1</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workbookViewId="0">
      <selection activeCell="B2" sqref="B2"/>
    </sheetView>
  </sheetViews>
  <sheetFormatPr defaultColWidth="8.83984375" defaultRowHeight="14.4" x14ac:dyDescent="0.55000000000000004"/>
  <cols>
    <col min="1" max="1" width="18.15625" bestFit="1" customWidth="1"/>
    <col min="2" max="13" width="11.47265625" customWidth="1"/>
  </cols>
  <sheetData>
    <row r="1" spans="1:14" x14ac:dyDescent="0.55000000000000004">
      <c r="A1" s="1" t="s">
        <v>5</v>
      </c>
      <c r="B1" s="3" t="str">
        <f>'Population Definitions'!$B$2</f>
        <v>0-4</v>
      </c>
      <c r="C1" s="3" t="str">
        <f>'Population Definitions'!$B$3</f>
        <v>5-14</v>
      </c>
      <c r="D1" s="3" t="str">
        <f>'Population Definitions'!$B$4</f>
        <v>15-64</v>
      </c>
      <c r="E1" s="3" t="str">
        <f>'Population Definitions'!$B$5</f>
        <v>65+</v>
      </c>
      <c r="F1" s="3" t="str">
        <f>'Population Definitions'!$B$6</f>
        <v>15-64 (HIV+)</v>
      </c>
      <c r="G1" s="3" t="str">
        <f>'Population Definitions'!$B$7</f>
        <v>65+ (HIV+)</v>
      </c>
      <c r="H1" s="3" t="str">
        <f>'Population Definitions'!$B$8</f>
        <v>Prisoners</v>
      </c>
      <c r="I1" s="3" t="str">
        <f>'Population Definitions'!$B$9</f>
        <v>Prisoners (HIV+)</v>
      </c>
      <c r="J1" s="3" t="str">
        <f>'Population Definitions'!$B$10</f>
        <v>HCW</v>
      </c>
      <c r="K1" s="3" t="str">
        <f>'Population Definitions'!$B$11</f>
        <v>HCW (HIV+)</v>
      </c>
      <c r="L1" s="3" t="str">
        <f>'Population Definitions'!$B$12</f>
        <v>Miners</v>
      </c>
      <c r="M1" s="3" t="str">
        <f>'Population Definitions'!$B$13</f>
        <v>Miners (HIV+)</v>
      </c>
      <c r="N1" s="1"/>
    </row>
    <row r="2" spans="1:14" x14ac:dyDescent="0.55000000000000004">
      <c r="A2" s="1" t="str">
        <f>'Population Definitions'!$B$2</f>
        <v>0-4</v>
      </c>
      <c r="B2" s="28"/>
      <c r="C2" s="28" t="s">
        <v>135</v>
      </c>
      <c r="D2" s="28" t="s">
        <v>6</v>
      </c>
      <c r="E2" s="28" t="s">
        <v>6</v>
      </c>
      <c r="F2" s="28" t="s">
        <v>6</v>
      </c>
      <c r="G2" s="28" t="s">
        <v>6</v>
      </c>
      <c r="H2" s="28" t="s">
        <v>6</v>
      </c>
      <c r="I2" s="28" t="s">
        <v>6</v>
      </c>
      <c r="J2" s="28" t="s">
        <v>6</v>
      </c>
      <c r="K2" s="28" t="s">
        <v>6</v>
      </c>
      <c r="L2" s="28" t="s">
        <v>6</v>
      </c>
      <c r="M2" s="28" t="s">
        <v>6</v>
      </c>
      <c r="N2" s="1"/>
    </row>
    <row r="3" spans="1:14" x14ac:dyDescent="0.55000000000000004">
      <c r="A3" s="1" t="str">
        <f>'Population Definitions'!$B$3</f>
        <v>5-14</v>
      </c>
      <c r="B3" s="28" t="s">
        <v>6</v>
      </c>
      <c r="C3" s="28"/>
      <c r="D3" s="28" t="s">
        <v>135</v>
      </c>
      <c r="E3" s="28" t="s">
        <v>6</v>
      </c>
      <c r="F3" s="28" t="s">
        <v>6</v>
      </c>
      <c r="G3" s="28" t="s">
        <v>6</v>
      </c>
      <c r="H3" s="28" t="s">
        <v>6</v>
      </c>
      <c r="I3" s="28" t="s">
        <v>6</v>
      </c>
      <c r="J3" s="28" t="s">
        <v>6</v>
      </c>
      <c r="K3" s="28" t="s">
        <v>6</v>
      </c>
      <c r="L3" s="28" t="s">
        <v>6</v>
      </c>
      <c r="M3" s="28" t="s">
        <v>6</v>
      </c>
      <c r="N3" s="1"/>
    </row>
    <row r="4" spans="1:14" x14ac:dyDescent="0.55000000000000004">
      <c r="A4" s="1" t="str">
        <f>'Population Definitions'!$B$4</f>
        <v>15-64</v>
      </c>
      <c r="B4" s="28" t="s">
        <v>6</v>
      </c>
      <c r="C4" s="28" t="s">
        <v>6</v>
      </c>
      <c r="D4" s="28"/>
      <c r="E4" s="28" t="s">
        <v>135</v>
      </c>
      <c r="F4" s="28" t="s">
        <v>6</v>
      </c>
      <c r="G4" s="28" t="s">
        <v>6</v>
      </c>
      <c r="H4" s="28" t="s">
        <v>6</v>
      </c>
      <c r="I4" s="28" t="s">
        <v>6</v>
      </c>
      <c r="J4" s="28" t="s">
        <v>6</v>
      </c>
      <c r="K4" s="28" t="s">
        <v>6</v>
      </c>
      <c r="L4" s="28" t="s">
        <v>6</v>
      </c>
      <c r="M4" s="28" t="s">
        <v>6</v>
      </c>
      <c r="N4" s="1"/>
    </row>
    <row r="5" spans="1:14" x14ac:dyDescent="0.55000000000000004">
      <c r="A5" s="1" t="str">
        <f>'Population Definitions'!$B$5</f>
        <v>65+</v>
      </c>
      <c r="B5" s="28" t="s">
        <v>6</v>
      </c>
      <c r="C5" s="28" t="s">
        <v>6</v>
      </c>
      <c r="D5" s="28" t="s">
        <v>6</v>
      </c>
      <c r="E5" s="28"/>
      <c r="F5" s="28" t="s">
        <v>6</v>
      </c>
      <c r="G5" s="28" t="s">
        <v>6</v>
      </c>
      <c r="H5" s="28" t="s">
        <v>6</v>
      </c>
      <c r="I5" s="28" t="s">
        <v>6</v>
      </c>
      <c r="J5" s="28" t="s">
        <v>6</v>
      </c>
      <c r="K5" s="28" t="s">
        <v>6</v>
      </c>
      <c r="L5" s="28" t="s">
        <v>6</v>
      </c>
      <c r="M5" s="28" t="s">
        <v>6</v>
      </c>
      <c r="N5" s="1"/>
    </row>
    <row r="6" spans="1:14" x14ac:dyDescent="0.55000000000000004">
      <c r="A6" s="1" t="str">
        <f>'Population Definitions'!$B$6</f>
        <v>15-64 (HIV+)</v>
      </c>
      <c r="B6" s="28" t="s">
        <v>6</v>
      </c>
      <c r="C6" s="28" t="s">
        <v>6</v>
      </c>
      <c r="D6" s="28" t="s">
        <v>6</v>
      </c>
      <c r="E6" s="28" t="s">
        <v>6</v>
      </c>
      <c r="F6" s="28"/>
      <c r="G6" s="28" t="s">
        <v>135</v>
      </c>
      <c r="H6" s="28" t="s">
        <v>6</v>
      </c>
      <c r="I6" s="28" t="s">
        <v>6</v>
      </c>
      <c r="J6" s="28" t="s">
        <v>6</v>
      </c>
      <c r="K6" s="28" t="s">
        <v>6</v>
      </c>
      <c r="L6" s="28" t="s">
        <v>6</v>
      </c>
      <c r="M6" s="28" t="s">
        <v>6</v>
      </c>
      <c r="N6" s="1"/>
    </row>
    <row r="7" spans="1:14" x14ac:dyDescent="0.55000000000000004">
      <c r="A7" s="1" t="str">
        <f>'Population Definitions'!$B$7</f>
        <v>65+ (HIV+)</v>
      </c>
      <c r="B7" s="28" t="s">
        <v>6</v>
      </c>
      <c r="C7" s="28" t="s">
        <v>6</v>
      </c>
      <c r="D7" s="28" t="s">
        <v>6</v>
      </c>
      <c r="E7" s="28" t="s">
        <v>6</v>
      </c>
      <c r="F7" s="28" t="s">
        <v>6</v>
      </c>
      <c r="G7" s="28"/>
      <c r="H7" s="28" t="s">
        <v>6</v>
      </c>
      <c r="I7" s="28" t="s">
        <v>6</v>
      </c>
      <c r="J7" s="28" t="s">
        <v>6</v>
      </c>
      <c r="K7" s="28" t="s">
        <v>6</v>
      </c>
      <c r="L7" s="28" t="s">
        <v>6</v>
      </c>
      <c r="M7" s="28" t="s">
        <v>6</v>
      </c>
      <c r="N7" s="1"/>
    </row>
    <row r="8" spans="1:14" x14ac:dyDescent="0.55000000000000004">
      <c r="A8" s="1" t="str">
        <f>'Population Definitions'!$B$8</f>
        <v>Prisoners</v>
      </c>
      <c r="B8" s="28" t="s">
        <v>6</v>
      </c>
      <c r="C8" s="28" t="s">
        <v>6</v>
      </c>
      <c r="D8" s="28" t="s">
        <v>6</v>
      </c>
      <c r="E8" s="28" t="s">
        <v>6</v>
      </c>
      <c r="F8" s="28" t="s">
        <v>6</v>
      </c>
      <c r="G8" s="28" t="s">
        <v>6</v>
      </c>
      <c r="H8" s="28"/>
      <c r="I8" s="28" t="s">
        <v>6</v>
      </c>
      <c r="J8" s="28" t="s">
        <v>6</v>
      </c>
      <c r="K8" s="28" t="s">
        <v>6</v>
      </c>
      <c r="L8" s="28" t="s">
        <v>6</v>
      </c>
      <c r="M8" s="28" t="s">
        <v>6</v>
      </c>
      <c r="N8" s="1"/>
    </row>
    <row r="9" spans="1:14" x14ac:dyDescent="0.55000000000000004">
      <c r="A9" s="1" t="str">
        <f>'Population Definitions'!$B$9</f>
        <v>Prisoners (HIV+)</v>
      </c>
      <c r="B9" s="28" t="s">
        <v>6</v>
      </c>
      <c r="C9" s="28" t="s">
        <v>6</v>
      </c>
      <c r="D9" s="28" t="s">
        <v>6</v>
      </c>
      <c r="E9" s="28" t="s">
        <v>6</v>
      </c>
      <c r="F9" s="28" t="s">
        <v>6</v>
      </c>
      <c r="G9" s="28" t="s">
        <v>6</v>
      </c>
      <c r="H9" s="28" t="s">
        <v>6</v>
      </c>
      <c r="I9" s="28"/>
      <c r="J9" s="28" t="s">
        <v>6</v>
      </c>
      <c r="K9" s="28" t="s">
        <v>6</v>
      </c>
      <c r="L9" s="28" t="s">
        <v>6</v>
      </c>
      <c r="M9" s="28" t="s">
        <v>6</v>
      </c>
      <c r="N9" s="1"/>
    </row>
    <row r="10" spans="1:14" x14ac:dyDescent="0.55000000000000004">
      <c r="A10" s="1" t="str">
        <f>'Population Definitions'!$B$10</f>
        <v>HCW</v>
      </c>
      <c r="B10" s="28" t="s">
        <v>6</v>
      </c>
      <c r="C10" s="28" t="s">
        <v>6</v>
      </c>
      <c r="D10" s="28" t="s">
        <v>6</v>
      </c>
      <c r="E10" s="28" t="s">
        <v>6</v>
      </c>
      <c r="F10" s="28" t="s">
        <v>6</v>
      </c>
      <c r="G10" s="28" t="s">
        <v>6</v>
      </c>
      <c r="H10" s="28" t="s">
        <v>6</v>
      </c>
      <c r="I10" s="28" t="s">
        <v>6</v>
      </c>
      <c r="J10" s="28"/>
      <c r="K10" s="28" t="s">
        <v>6</v>
      </c>
      <c r="L10" s="28" t="s">
        <v>6</v>
      </c>
      <c r="M10" s="28" t="s">
        <v>6</v>
      </c>
      <c r="N10" s="1"/>
    </row>
    <row r="11" spans="1:14" x14ac:dyDescent="0.55000000000000004">
      <c r="A11" s="1" t="str">
        <f>'Population Definitions'!$B$11</f>
        <v>HCW (HIV+)</v>
      </c>
      <c r="B11" s="28" t="s">
        <v>6</v>
      </c>
      <c r="C11" s="28" t="s">
        <v>6</v>
      </c>
      <c r="D11" s="28" t="s">
        <v>6</v>
      </c>
      <c r="E11" s="28" t="s">
        <v>6</v>
      </c>
      <c r="F11" s="28" t="s">
        <v>6</v>
      </c>
      <c r="G11" s="28" t="s">
        <v>6</v>
      </c>
      <c r="H11" s="28" t="s">
        <v>6</v>
      </c>
      <c r="I11" s="28" t="s">
        <v>6</v>
      </c>
      <c r="J11" s="28" t="s">
        <v>6</v>
      </c>
      <c r="K11" s="28"/>
      <c r="L11" s="28" t="s">
        <v>6</v>
      </c>
      <c r="M11" s="28" t="s">
        <v>6</v>
      </c>
      <c r="N11" s="1"/>
    </row>
    <row r="12" spans="1:14" x14ac:dyDescent="0.55000000000000004">
      <c r="A12" s="1" t="str">
        <f>'Population Definitions'!$B$12</f>
        <v>Miners</v>
      </c>
      <c r="B12" s="28" t="s">
        <v>6</v>
      </c>
      <c r="C12" s="28" t="s">
        <v>6</v>
      </c>
      <c r="D12" s="28" t="s">
        <v>6</v>
      </c>
      <c r="E12" s="28" t="s">
        <v>6</v>
      </c>
      <c r="F12" s="28" t="s">
        <v>6</v>
      </c>
      <c r="G12" s="28" t="s">
        <v>6</v>
      </c>
      <c r="H12" s="28" t="s">
        <v>6</v>
      </c>
      <c r="I12" s="28" t="s">
        <v>6</v>
      </c>
      <c r="J12" s="28" t="s">
        <v>6</v>
      </c>
      <c r="K12" s="28" t="s">
        <v>6</v>
      </c>
      <c r="L12" s="28"/>
      <c r="M12" s="28" t="s">
        <v>6</v>
      </c>
      <c r="N12" s="1"/>
    </row>
    <row r="13" spans="1:14" x14ac:dyDescent="0.55000000000000004">
      <c r="A13" s="1" t="str">
        <f>'Population Definitions'!$B$13</f>
        <v>Miners (HIV+)</v>
      </c>
      <c r="B13" s="28" t="s">
        <v>6</v>
      </c>
      <c r="C13" s="28" t="s">
        <v>6</v>
      </c>
      <c r="D13" s="28" t="s">
        <v>6</v>
      </c>
      <c r="E13" s="28" t="s">
        <v>6</v>
      </c>
      <c r="F13" s="28" t="s">
        <v>6</v>
      </c>
      <c r="G13" s="28" t="s">
        <v>6</v>
      </c>
      <c r="H13" s="28" t="s">
        <v>6</v>
      </c>
      <c r="I13" s="28" t="s">
        <v>6</v>
      </c>
      <c r="J13" s="28" t="s">
        <v>6</v>
      </c>
      <c r="K13" s="28" t="s">
        <v>6</v>
      </c>
      <c r="L13" s="28" t="s">
        <v>6</v>
      </c>
      <c r="M13" s="28"/>
      <c r="N13" s="1"/>
    </row>
    <row r="15" spans="1:14" x14ac:dyDescent="0.55000000000000004">
      <c r="A15" s="1" t="s">
        <v>134</v>
      </c>
      <c r="B15" s="3" t="str">
        <f>'Population Definitions'!$B$2</f>
        <v>0-4</v>
      </c>
      <c r="C15" s="3" t="str">
        <f>'Population Definitions'!$B$3</f>
        <v>5-14</v>
      </c>
      <c r="D15" s="3" t="str">
        <f>'Population Definitions'!$B$4</f>
        <v>15-64</v>
      </c>
      <c r="E15" s="3" t="str">
        <f>'Population Definitions'!$B$5</f>
        <v>65+</v>
      </c>
      <c r="F15" s="3" t="str">
        <f>'Population Definitions'!$B$6</f>
        <v>15-64 (HIV+)</v>
      </c>
      <c r="G15" s="3" t="str">
        <f>'Population Definitions'!$B$7</f>
        <v>65+ (HIV+)</v>
      </c>
      <c r="H15" s="3" t="str">
        <f>'Population Definitions'!$B$8</f>
        <v>Prisoners</v>
      </c>
      <c r="I15" s="3" t="str">
        <f>'Population Definitions'!$B$9</f>
        <v>Prisoners (HIV+)</v>
      </c>
      <c r="J15" s="3" t="str">
        <f>'Population Definitions'!$B$10</f>
        <v>HCW</v>
      </c>
      <c r="K15" s="3" t="str">
        <f>'Population Definitions'!$B$11</f>
        <v>HCW (HIV+)</v>
      </c>
      <c r="L15" s="3" t="str">
        <f>'Population Definitions'!$B$12</f>
        <v>Miners</v>
      </c>
      <c r="M15" s="3" t="str">
        <f>'Population Definitions'!$B$13</f>
        <v>Miners (HIV+)</v>
      </c>
    </row>
    <row r="16" spans="1:14" x14ac:dyDescent="0.55000000000000004">
      <c r="A16" s="1" t="str">
        <f>'Population Definitions'!$B$2</f>
        <v>0-4</v>
      </c>
      <c r="B16" s="29"/>
      <c r="C16" s="29" t="s">
        <v>6</v>
      </c>
      <c r="D16" s="29" t="s">
        <v>6</v>
      </c>
      <c r="E16" s="29" t="s">
        <v>6</v>
      </c>
      <c r="F16" s="29" t="s">
        <v>6</v>
      </c>
      <c r="G16" s="29" t="s">
        <v>6</v>
      </c>
      <c r="H16" s="29" t="s">
        <v>6</v>
      </c>
      <c r="I16" s="29" t="s">
        <v>6</v>
      </c>
      <c r="J16" s="29" t="s">
        <v>6</v>
      </c>
      <c r="K16" s="29" t="s">
        <v>6</v>
      </c>
      <c r="L16" s="29" t="s">
        <v>6</v>
      </c>
      <c r="M16" s="29" t="s">
        <v>6</v>
      </c>
    </row>
    <row r="17" spans="1:13" x14ac:dyDescent="0.55000000000000004">
      <c r="A17" s="1" t="str">
        <f>'Population Definitions'!$B$3</f>
        <v>5-14</v>
      </c>
      <c r="B17" s="29" t="s">
        <v>6</v>
      </c>
      <c r="C17" s="29"/>
      <c r="D17" s="29" t="s">
        <v>6</v>
      </c>
      <c r="E17" s="29" t="s">
        <v>6</v>
      </c>
      <c r="F17" s="29" t="s">
        <v>6</v>
      </c>
      <c r="G17" s="29" t="s">
        <v>6</v>
      </c>
      <c r="H17" s="29" t="s">
        <v>6</v>
      </c>
      <c r="I17" s="29" t="s">
        <v>6</v>
      </c>
      <c r="J17" s="29" t="s">
        <v>6</v>
      </c>
      <c r="K17" s="29" t="s">
        <v>6</v>
      </c>
      <c r="L17" s="29" t="s">
        <v>6</v>
      </c>
      <c r="M17" s="29" t="s">
        <v>6</v>
      </c>
    </row>
    <row r="18" spans="1:13" x14ac:dyDescent="0.55000000000000004">
      <c r="A18" s="1" t="str">
        <f>'Population Definitions'!$B$4</f>
        <v>15-64</v>
      </c>
      <c r="B18" s="29" t="s">
        <v>6</v>
      </c>
      <c r="C18" s="29" t="s">
        <v>6</v>
      </c>
      <c r="D18" s="29"/>
      <c r="E18" s="29" t="s">
        <v>6</v>
      </c>
      <c r="F18" s="29" t="s">
        <v>135</v>
      </c>
      <c r="G18" s="29" t="s">
        <v>6</v>
      </c>
      <c r="H18" s="29" t="s">
        <v>6</v>
      </c>
      <c r="I18" s="29" t="s">
        <v>6</v>
      </c>
      <c r="J18" s="29" t="s">
        <v>6</v>
      </c>
      <c r="K18" s="29" t="s">
        <v>6</v>
      </c>
      <c r="L18" s="29" t="s">
        <v>6</v>
      </c>
      <c r="M18" s="29" t="s">
        <v>6</v>
      </c>
    </row>
    <row r="19" spans="1:13" x14ac:dyDescent="0.55000000000000004">
      <c r="A19" s="1" t="str">
        <f>'Population Definitions'!$B$5</f>
        <v>65+</v>
      </c>
      <c r="B19" s="29" t="s">
        <v>6</v>
      </c>
      <c r="C19" s="29" t="s">
        <v>6</v>
      </c>
      <c r="D19" s="29" t="s">
        <v>6</v>
      </c>
      <c r="E19" s="29"/>
      <c r="F19" s="29" t="s">
        <v>6</v>
      </c>
      <c r="G19" s="29" t="s">
        <v>135</v>
      </c>
      <c r="H19" s="29" t="s">
        <v>6</v>
      </c>
      <c r="I19" s="29" t="s">
        <v>6</v>
      </c>
      <c r="J19" s="29" t="s">
        <v>6</v>
      </c>
      <c r="K19" s="29" t="s">
        <v>6</v>
      </c>
      <c r="L19" s="29" t="s">
        <v>6</v>
      </c>
      <c r="M19" s="29" t="s">
        <v>6</v>
      </c>
    </row>
    <row r="20" spans="1:13" x14ac:dyDescent="0.55000000000000004">
      <c r="A20" s="1" t="str">
        <f>'Population Definitions'!$B$6</f>
        <v>15-64 (HIV+)</v>
      </c>
      <c r="B20" s="29" t="s">
        <v>6</v>
      </c>
      <c r="C20" s="29" t="s">
        <v>6</v>
      </c>
      <c r="D20" s="29" t="s">
        <v>6</v>
      </c>
      <c r="E20" s="29" t="s">
        <v>6</v>
      </c>
      <c r="F20" s="29"/>
      <c r="G20" s="29" t="s">
        <v>6</v>
      </c>
      <c r="H20" s="29" t="s">
        <v>6</v>
      </c>
      <c r="I20" s="29" t="s">
        <v>6</v>
      </c>
      <c r="J20" s="29" t="s">
        <v>6</v>
      </c>
      <c r="K20" s="29" t="s">
        <v>6</v>
      </c>
      <c r="L20" s="29" t="s">
        <v>6</v>
      </c>
      <c r="M20" s="29" t="s">
        <v>6</v>
      </c>
    </row>
    <row r="21" spans="1:13" x14ac:dyDescent="0.55000000000000004">
      <c r="A21" s="1" t="str">
        <f>'Population Definitions'!$B$7</f>
        <v>65+ (HIV+)</v>
      </c>
      <c r="B21" s="29" t="s">
        <v>6</v>
      </c>
      <c r="C21" s="29" t="s">
        <v>6</v>
      </c>
      <c r="D21" s="29" t="s">
        <v>6</v>
      </c>
      <c r="E21" s="29" t="s">
        <v>6</v>
      </c>
      <c r="F21" s="29" t="s">
        <v>6</v>
      </c>
      <c r="G21" s="29"/>
      <c r="H21" s="29" t="s">
        <v>6</v>
      </c>
      <c r="I21" s="29" t="s">
        <v>6</v>
      </c>
      <c r="J21" s="29" t="s">
        <v>6</v>
      </c>
      <c r="K21" s="29" t="s">
        <v>6</v>
      </c>
      <c r="L21" s="29" t="s">
        <v>6</v>
      </c>
      <c r="M21" s="29" t="s">
        <v>6</v>
      </c>
    </row>
    <row r="22" spans="1:13" x14ac:dyDescent="0.55000000000000004">
      <c r="A22" s="1" t="str">
        <f>'Population Definitions'!$B$8</f>
        <v>Prisoners</v>
      </c>
      <c r="B22" s="29" t="s">
        <v>6</v>
      </c>
      <c r="C22" s="29" t="s">
        <v>6</v>
      </c>
      <c r="D22" s="29" t="s">
        <v>6</v>
      </c>
      <c r="E22" s="29" t="s">
        <v>6</v>
      </c>
      <c r="F22" s="29" t="s">
        <v>6</v>
      </c>
      <c r="G22" s="29" t="s">
        <v>6</v>
      </c>
      <c r="H22" s="29"/>
      <c r="I22" s="29" t="s">
        <v>135</v>
      </c>
      <c r="J22" s="29" t="s">
        <v>6</v>
      </c>
      <c r="K22" s="29" t="s">
        <v>6</v>
      </c>
      <c r="L22" s="29" t="s">
        <v>6</v>
      </c>
      <c r="M22" s="29" t="s">
        <v>6</v>
      </c>
    </row>
    <row r="23" spans="1:13" x14ac:dyDescent="0.55000000000000004">
      <c r="A23" s="1" t="str">
        <f>'Population Definitions'!$B$9</f>
        <v>Prisoners (HIV+)</v>
      </c>
      <c r="B23" s="29" t="s">
        <v>6</v>
      </c>
      <c r="C23" s="29" t="s">
        <v>6</v>
      </c>
      <c r="D23" s="29" t="s">
        <v>6</v>
      </c>
      <c r="E23" s="29" t="s">
        <v>6</v>
      </c>
      <c r="F23" s="29" t="s">
        <v>6</v>
      </c>
      <c r="G23" s="29" t="s">
        <v>6</v>
      </c>
      <c r="H23" s="29" t="s">
        <v>6</v>
      </c>
      <c r="I23" s="29"/>
      <c r="J23" s="29" t="s">
        <v>6</v>
      </c>
      <c r="K23" s="29" t="s">
        <v>6</v>
      </c>
      <c r="L23" s="29" t="s">
        <v>6</v>
      </c>
      <c r="M23" s="29" t="s">
        <v>6</v>
      </c>
    </row>
    <row r="24" spans="1:13" x14ac:dyDescent="0.55000000000000004">
      <c r="A24" s="1" t="str">
        <f>'Population Definitions'!$B$10</f>
        <v>HCW</v>
      </c>
      <c r="B24" s="29" t="s">
        <v>6</v>
      </c>
      <c r="C24" s="29" t="s">
        <v>6</v>
      </c>
      <c r="D24" s="29" t="s">
        <v>6</v>
      </c>
      <c r="E24" s="29" t="s">
        <v>6</v>
      </c>
      <c r="F24" s="29" t="s">
        <v>6</v>
      </c>
      <c r="G24" s="29" t="s">
        <v>6</v>
      </c>
      <c r="H24" s="29" t="s">
        <v>6</v>
      </c>
      <c r="I24" s="29" t="s">
        <v>6</v>
      </c>
      <c r="J24" s="29"/>
      <c r="K24" s="29" t="s">
        <v>135</v>
      </c>
      <c r="L24" s="29" t="s">
        <v>6</v>
      </c>
      <c r="M24" s="29" t="s">
        <v>6</v>
      </c>
    </row>
    <row r="25" spans="1:13" x14ac:dyDescent="0.55000000000000004">
      <c r="A25" s="1" t="str">
        <f>'Population Definitions'!$B$11</f>
        <v>HCW (HIV+)</v>
      </c>
      <c r="B25" s="29" t="s">
        <v>6</v>
      </c>
      <c r="C25" s="29" t="s">
        <v>6</v>
      </c>
      <c r="D25" s="29" t="s">
        <v>6</v>
      </c>
      <c r="E25" s="29" t="s">
        <v>6</v>
      </c>
      <c r="F25" s="29" t="s">
        <v>6</v>
      </c>
      <c r="G25" s="29" t="s">
        <v>6</v>
      </c>
      <c r="H25" s="29" t="s">
        <v>6</v>
      </c>
      <c r="I25" s="29" t="s">
        <v>6</v>
      </c>
      <c r="J25" s="29" t="s">
        <v>6</v>
      </c>
      <c r="K25" s="29"/>
      <c r="L25" s="29" t="s">
        <v>6</v>
      </c>
      <c r="M25" s="29" t="s">
        <v>6</v>
      </c>
    </row>
    <row r="26" spans="1:13" x14ac:dyDescent="0.55000000000000004">
      <c r="A26" s="1" t="str">
        <f>'Population Definitions'!$B$12</f>
        <v>Miners</v>
      </c>
      <c r="B26" s="29" t="s">
        <v>6</v>
      </c>
      <c r="C26" s="29" t="s">
        <v>6</v>
      </c>
      <c r="D26" s="29" t="s">
        <v>6</v>
      </c>
      <c r="E26" s="29" t="s">
        <v>6</v>
      </c>
      <c r="F26" s="29" t="s">
        <v>6</v>
      </c>
      <c r="G26" s="29" t="s">
        <v>6</v>
      </c>
      <c r="H26" s="29" t="s">
        <v>6</v>
      </c>
      <c r="I26" s="29" t="s">
        <v>6</v>
      </c>
      <c r="J26" s="29" t="s">
        <v>6</v>
      </c>
      <c r="K26" s="29" t="s">
        <v>6</v>
      </c>
      <c r="L26" s="29"/>
      <c r="M26" s="29" t="s">
        <v>135</v>
      </c>
    </row>
    <row r="27" spans="1:13" x14ac:dyDescent="0.55000000000000004">
      <c r="A27" s="1" t="str">
        <f>'Population Definitions'!$B$13</f>
        <v>Miners (HIV+)</v>
      </c>
      <c r="B27" s="29" t="s">
        <v>6</v>
      </c>
      <c r="C27" s="29" t="s">
        <v>6</v>
      </c>
      <c r="D27" s="29" t="s">
        <v>6</v>
      </c>
      <c r="E27" s="29" t="s">
        <v>6</v>
      </c>
      <c r="F27" s="29" t="s">
        <v>6</v>
      </c>
      <c r="G27" s="29" t="s">
        <v>6</v>
      </c>
      <c r="H27" s="29" t="s">
        <v>6</v>
      </c>
      <c r="I27" s="29" t="s">
        <v>6</v>
      </c>
      <c r="J27" s="29" t="s">
        <v>6</v>
      </c>
      <c r="K27" s="29" t="s">
        <v>6</v>
      </c>
      <c r="L27" s="29" t="s">
        <v>6</v>
      </c>
      <c r="M27" s="29"/>
    </row>
    <row r="29" spans="1:13" x14ac:dyDescent="0.55000000000000004">
      <c r="A29" s="1" t="s">
        <v>136</v>
      </c>
      <c r="B29" s="3" t="str">
        <f>'Population Definitions'!$B$2</f>
        <v>0-4</v>
      </c>
      <c r="C29" s="3" t="str">
        <f>'Population Definitions'!$B$3</f>
        <v>5-14</v>
      </c>
      <c r="D29" s="3" t="str">
        <f>'Population Definitions'!$B$4</f>
        <v>15-64</v>
      </c>
      <c r="E29" s="3" t="str">
        <f>'Population Definitions'!$B$5</f>
        <v>65+</v>
      </c>
      <c r="F29" s="3" t="str">
        <f>'Population Definitions'!$B$6</f>
        <v>15-64 (HIV+)</v>
      </c>
      <c r="G29" s="3" t="str">
        <f>'Population Definitions'!$B$7</f>
        <v>65+ (HIV+)</v>
      </c>
      <c r="H29" s="3" t="str">
        <f>'Population Definitions'!$B$8</f>
        <v>Prisoners</v>
      </c>
      <c r="I29" s="3" t="str">
        <f>'Population Definitions'!$B$9</f>
        <v>Prisoners (HIV+)</v>
      </c>
      <c r="J29" s="3" t="str">
        <f>'Population Definitions'!$B$10</f>
        <v>HCW</v>
      </c>
      <c r="K29" s="3" t="str">
        <f>'Population Definitions'!$B$11</f>
        <v>HCW (HIV+)</v>
      </c>
      <c r="L29" s="3" t="str">
        <f>'Population Definitions'!$B$12</f>
        <v>Miners</v>
      </c>
      <c r="M29" s="3" t="str">
        <f>'Population Definitions'!$B$13</f>
        <v>Miners (HIV+)</v>
      </c>
    </row>
    <row r="30" spans="1:13" x14ac:dyDescent="0.55000000000000004">
      <c r="A30" s="1" t="str">
        <f>'Population Definitions'!$B$2</f>
        <v>0-4</v>
      </c>
      <c r="B30" s="30"/>
      <c r="C30" s="30" t="s">
        <v>6</v>
      </c>
      <c r="D30" s="30" t="s">
        <v>6</v>
      </c>
      <c r="E30" s="30" t="s">
        <v>6</v>
      </c>
      <c r="F30" s="30" t="s">
        <v>6</v>
      </c>
      <c r="G30" s="30" t="s">
        <v>6</v>
      </c>
      <c r="H30" s="30" t="s">
        <v>6</v>
      </c>
      <c r="I30" s="30" t="s">
        <v>6</v>
      </c>
      <c r="J30" s="30" t="s">
        <v>6</v>
      </c>
      <c r="K30" s="30" t="s">
        <v>6</v>
      </c>
      <c r="L30" s="30" t="s">
        <v>6</v>
      </c>
      <c r="M30" s="30" t="s">
        <v>6</v>
      </c>
    </row>
    <row r="31" spans="1:13" x14ac:dyDescent="0.55000000000000004">
      <c r="A31" s="1" t="str">
        <f>'Population Definitions'!$B$3</f>
        <v>5-14</v>
      </c>
      <c r="B31" s="30" t="s">
        <v>6</v>
      </c>
      <c r="C31" s="30"/>
      <c r="D31" s="30" t="s">
        <v>6</v>
      </c>
      <c r="E31" s="30" t="s">
        <v>6</v>
      </c>
      <c r="F31" s="30" t="s">
        <v>6</v>
      </c>
      <c r="G31" s="30" t="s">
        <v>6</v>
      </c>
      <c r="H31" s="30" t="s">
        <v>6</v>
      </c>
      <c r="I31" s="30" t="s">
        <v>6</v>
      </c>
      <c r="J31" s="30" t="s">
        <v>6</v>
      </c>
      <c r="K31" s="30" t="s">
        <v>6</v>
      </c>
      <c r="L31" s="30" t="s">
        <v>6</v>
      </c>
      <c r="M31" s="30" t="s">
        <v>6</v>
      </c>
    </row>
    <row r="32" spans="1:13" x14ac:dyDescent="0.55000000000000004">
      <c r="A32" s="1" t="str">
        <f>'Population Definitions'!$B$4</f>
        <v>15-64</v>
      </c>
      <c r="B32" s="30" t="s">
        <v>6</v>
      </c>
      <c r="C32" s="30" t="s">
        <v>6</v>
      </c>
      <c r="D32" s="30"/>
      <c r="E32" s="30" t="s">
        <v>6</v>
      </c>
      <c r="F32" s="30" t="s">
        <v>6</v>
      </c>
      <c r="G32" s="30" t="s">
        <v>6</v>
      </c>
      <c r="H32" s="30" t="s">
        <v>135</v>
      </c>
      <c r="I32" s="30" t="s">
        <v>6</v>
      </c>
      <c r="J32" s="30" t="s">
        <v>135</v>
      </c>
      <c r="K32" s="30" t="s">
        <v>6</v>
      </c>
      <c r="L32" s="30" t="s">
        <v>135</v>
      </c>
      <c r="M32" s="30" t="s">
        <v>6</v>
      </c>
    </row>
    <row r="33" spans="1:13" x14ac:dyDescent="0.55000000000000004">
      <c r="A33" s="1" t="str">
        <f>'Population Definitions'!$B$5</f>
        <v>65+</v>
      </c>
      <c r="B33" s="30" t="s">
        <v>6</v>
      </c>
      <c r="C33" s="30" t="s">
        <v>6</v>
      </c>
      <c r="D33" s="30" t="s">
        <v>6</v>
      </c>
      <c r="E33" s="30"/>
      <c r="F33" s="30" t="s">
        <v>6</v>
      </c>
      <c r="G33" s="30" t="s">
        <v>6</v>
      </c>
      <c r="H33" s="30" t="s">
        <v>6</v>
      </c>
      <c r="I33" s="30" t="s">
        <v>6</v>
      </c>
      <c r="J33" s="30" t="s">
        <v>6</v>
      </c>
      <c r="K33" s="30" t="s">
        <v>6</v>
      </c>
      <c r="L33" s="30" t="s">
        <v>6</v>
      </c>
      <c r="M33" s="30" t="s">
        <v>6</v>
      </c>
    </row>
    <row r="34" spans="1:13" x14ac:dyDescent="0.55000000000000004">
      <c r="A34" s="1" t="str">
        <f>'Population Definitions'!$B$6</f>
        <v>15-64 (HIV+)</v>
      </c>
      <c r="B34" s="30" t="s">
        <v>6</v>
      </c>
      <c r="C34" s="30" t="s">
        <v>6</v>
      </c>
      <c r="D34" s="30" t="s">
        <v>6</v>
      </c>
      <c r="E34" s="30" t="s">
        <v>6</v>
      </c>
      <c r="F34" s="30"/>
      <c r="G34" s="30" t="s">
        <v>6</v>
      </c>
      <c r="H34" s="30" t="s">
        <v>6</v>
      </c>
      <c r="I34" s="30" t="s">
        <v>135</v>
      </c>
      <c r="J34" s="30" t="s">
        <v>6</v>
      </c>
      <c r="K34" s="30" t="s">
        <v>135</v>
      </c>
      <c r="L34" s="30" t="s">
        <v>6</v>
      </c>
      <c r="M34" s="30" t="s">
        <v>135</v>
      </c>
    </row>
    <row r="35" spans="1:13" x14ac:dyDescent="0.55000000000000004">
      <c r="A35" s="1" t="str">
        <f>'Population Definitions'!$B$7</f>
        <v>65+ (HIV+)</v>
      </c>
      <c r="B35" s="30" t="s">
        <v>6</v>
      </c>
      <c r="C35" s="30" t="s">
        <v>6</v>
      </c>
      <c r="D35" s="30" t="s">
        <v>6</v>
      </c>
      <c r="E35" s="30" t="s">
        <v>6</v>
      </c>
      <c r="F35" s="30" t="s">
        <v>6</v>
      </c>
      <c r="G35" s="30"/>
      <c r="H35" s="30" t="s">
        <v>6</v>
      </c>
      <c r="I35" s="30" t="s">
        <v>6</v>
      </c>
      <c r="J35" s="30" t="s">
        <v>6</v>
      </c>
      <c r="K35" s="30" t="s">
        <v>6</v>
      </c>
      <c r="L35" s="30" t="s">
        <v>6</v>
      </c>
      <c r="M35" s="30" t="s">
        <v>6</v>
      </c>
    </row>
    <row r="36" spans="1:13" x14ac:dyDescent="0.55000000000000004">
      <c r="A36" s="1" t="str">
        <f>'Population Definitions'!$B$8</f>
        <v>Prisoners</v>
      </c>
      <c r="B36" s="30" t="s">
        <v>6</v>
      </c>
      <c r="C36" s="30" t="s">
        <v>6</v>
      </c>
      <c r="D36" s="30" t="s">
        <v>135</v>
      </c>
      <c r="E36" s="30" t="s">
        <v>6</v>
      </c>
      <c r="F36" s="30" t="s">
        <v>6</v>
      </c>
      <c r="G36" s="30" t="s">
        <v>6</v>
      </c>
      <c r="H36" s="30"/>
      <c r="I36" s="30" t="s">
        <v>6</v>
      </c>
      <c r="J36" s="30" t="s">
        <v>6</v>
      </c>
      <c r="K36" s="30" t="s">
        <v>6</v>
      </c>
      <c r="L36" s="30" t="s">
        <v>6</v>
      </c>
      <c r="M36" s="30" t="s">
        <v>6</v>
      </c>
    </row>
    <row r="37" spans="1:13" x14ac:dyDescent="0.55000000000000004">
      <c r="A37" s="1" t="str">
        <f>'Population Definitions'!$B$9</f>
        <v>Prisoners (HIV+)</v>
      </c>
      <c r="B37" s="30" t="s">
        <v>6</v>
      </c>
      <c r="C37" s="30" t="s">
        <v>6</v>
      </c>
      <c r="D37" s="30" t="s">
        <v>6</v>
      </c>
      <c r="E37" s="30" t="s">
        <v>6</v>
      </c>
      <c r="F37" s="30" t="s">
        <v>135</v>
      </c>
      <c r="G37" s="30" t="s">
        <v>6</v>
      </c>
      <c r="H37" s="30" t="s">
        <v>6</v>
      </c>
      <c r="I37" s="30"/>
      <c r="J37" s="30" t="s">
        <v>6</v>
      </c>
      <c r="K37" s="30" t="s">
        <v>6</v>
      </c>
      <c r="L37" s="30" t="s">
        <v>6</v>
      </c>
      <c r="M37" s="30" t="s">
        <v>6</v>
      </c>
    </row>
    <row r="38" spans="1:13" x14ac:dyDescent="0.55000000000000004">
      <c r="A38" s="1" t="str">
        <f>'Population Definitions'!$B$10</f>
        <v>HCW</v>
      </c>
      <c r="B38" s="30" t="s">
        <v>6</v>
      </c>
      <c r="C38" s="30" t="s">
        <v>6</v>
      </c>
      <c r="D38" s="30" t="s">
        <v>6</v>
      </c>
      <c r="E38" s="30" t="s">
        <v>6</v>
      </c>
      <c r="F38" s="30" t="s">
        <v>6</v>
      </c>
      <c r="G38" s="30" t="s">
        <v>6</v>
      </c>
      <c r="H38" s="30" t="s">
        <v>6</v>
      </c>
      <c r="I38" s="30" t="s">
        <v>6</v>
      </c>
      <c r="J38" s="30"/>
      <c r="K38" s="30" t="s">
        <v>6</v>
      </c>
      <c r="L38" s="30" t="s">
        <v>6</v>
      </c>
      <c r="M38" s="30" t="s">
        <v>6</v>
      </c>
    </row>
    <row r="39" spans="1:13" x14ac:dyDescent="0.55000000000000004">
      <c r="A39" s="1" t="str">
        <f>'Population Definitions'!$B$11</f>
        <v>HCW (HIV+)</v>
      </c>
      <c r="B39" s="30" t="s">
        <v>6</v>
      </c>
      <c r="C39" s="30" t="s">
        <v>6</v>
      </c>
      <c r="D39" s="30" t="s">
        <v>6</v>
      </c>
      <c r="E39" s="30" t="s">
        <v>6</v>
      </c>
      <c r="F39" s="30" t="s">
        <v>135</v>
      </c>
      <c r="G39" s="30" t="s">
        <v>6</v>
      </c>
      <c r="H39" s="30" t="s">
        <v>6</v>
      </c>
      <c r="I39" s="30" t="s">
        <v>6</v>
      </c>
      <c r="J39" s="30" t="s">
        <v>6</v>
      </c>
      <c r="K39" s="30"/>
      <c r="L39" s="30" t="s">
        <v>6</v>
      </c>
      <c r="M39" s="30" t="s">
        <v>6</v>
      </c>
    </row>
    <row r="40" spans="1:13" x14ac:dyDescent="0.55000000000000004">
      <c r="A40" s="1" t="str">
        <f>'Population Definitions'!$B$12</f>
        <v>Miners</v>
      </c>
      <c r="B40" s="30" t="s">
        <v>6</v>
      </c>
      <c r="C40" s="30" t="s">
        <v>6</v>
      </c>
      <c r="D40" s="30" t="s">
        <v>135</v>
      </c>
      <c r="E40" s="30" t="s">
        <v>6</v>
      </c>
      <c r="F40" s="30" t="s">
        <v>6</v>
      </c>
      <c r="G40" s="30" t="s">
        <v>6</v>
      </c>
      <c r="H40" s="30" t="s">
        <v>6</v>
      </c>
      <c r="I40" s="30" t="s">
        <v>6</v>
      </c>
      <c r="J40" s="30" t="s">
        <v>6</v>
      </c>
      <c r="K40" s="30" t="s">
        <v>6</v>
      </c>
      <c r="L40" s="30"/>
      <c r="M40" s="30" t="s">
        <v>6</v>
      </c>
    </row>
    <row r="41" spans="1:13" x14ac:dyDescent="0.55000000000000004">
      <c r="A41" s="1" t="str">
        <f>'Population Definitions'!$B$13</f>
        <v>Miners (HIV+)</v>
      </c>
      <c r="B41" s="30" t="s">
        <v>6</v>
      </c>
      <c r="C41" s="30" t="s">
        <v>6</v>
      </c>
      <c r="D41" s="30" t="s">
        <v>6</v>
      </c>
      <c r="E41" s="30" t="s">
        <v>6</v>
      </c>
      <c r="F41" s="30" t="s">
        <v>135</v>
      </c>
      <c r="G41" s="30" t="s">
        <v>6</v>
      </c>
      <c r="H41" s="30" t="s">
        <v>6</v>
      </c>
      <c r="I41" s="30" t="s">
        <v>6</v>
      </c>
      <c r="J41" s="30" t="s">
        <v>6</v>
      </c>
      <c r="K41" s="30" t="s">
        <v>6</v>
      </c>
      <c r="L41" s="30" t="s">
        <v>6</v>
      </c>
      <c r="M41" s="30"/>
    </row>
    <row r="43" spans="1:13" x14ac:dyDescent="0.55000000000000004">
      <c r="A43" s="1" t="s">
        <v>7</v>
      </c>
      <c r="B43" s="3" t="str">
        <f>'Population Definitions'!$B$2</f>
        <v>0-4</v>
      </c>
      <c r="C43" s="3" t="str">
        <f>'Population Definitions'!$B$3</f>
        <v>5-14</v>
      </c>
      <c r="D43" s="3" t="str">
        <f>'Population Definitions'!$B$4</f>
        <v>15-64</v>
      </c>
      <c r="E43" s="3" t="str">
        <f>'Population Definitions'!$B$5</f>
        <v>65+</v>
      </c>
      <c r="F43" s="3" t="str">
        <f>'Population Definitions'!$B$6</f>
        <v>15-64 (HIV+)</v>
      </c>
      <c r="G43" s="3" t="str">
        <f>'Population Definitions'!$B$7</f>
        <v>65+ (HIV+)</v>
      </c>
      <c r="H43" s="3" t="str">
        <f>'Population Definitions'!$B$8</f>
        <v>Prisoners</v>
      </c>
      <c r="I43" s="3" t="str">
        <f>'Population Definitions'!$B$9</f>
        <v>Prisoners (HIV+)</v>
      </c>
      <c r="J43" s="3" t="str">
        <f>'Population Definitions'!$B$10</f>
        <v>HCW</v>
      </c>
      <c r="K43" s="3" t="str">
        <f>'Population Definitions'!$B$11</f>
        <v>HCW (HIV+)</v>
      </c>
      <c r="L43" s="3" t="str">
        <f>'Population Definitions'!$B$12</f>
        <v>Miners</v>
      </c>
      <c r="M43" s="3" t="str">
        <f>'Population Definitions'!$B$13</f>
        <v>Miners (HIV+)</v>
      </c>
    </row>
    <row r="44" spans="1:13" x14ac:dyDescent="0.55000000000000004">
      <c r="A44" s="1" t="str">
        <f>'Population Definitions'!$B$2</f>
        <v>0-4</v>
      </c>
      <c r="B44" s="2"/>
      <c r="C44" s="2" t="s">
        <v>6</v>
      </c>
      <c r="D44" s="2" t="s">
        <v>6</v>
      </c>
      <c r="E44" s="2" t="s">
        <v>6</v>
      </c>
      <c r="F44" s="2" t="s">
        <v>6</v>
      </c>
      <c r="G44" s="2" t="s">
        <v>6</v>
      </c>
      <c r="H44" s="2" t="s">
        <v>6</v>
      </c>
      <c r="I44" s="2" t="s">
        <v>6</v>
      </c>
      <c r="J44" s="2" t="s">
        <v>6</v>
      </c>
      <c r="K44" s="2" t="s">
        <v>6</v>
      </c>
      <c r="L44" s="2" t="s">
        <v>6</v>
      </c>
      <c r="M44" s="2" t="s">
        <v>6</v>
      </c>
    </row>
    <row r="45" spans="1:13" x14ac:dyDescent="0.55000000000000004">
      <c r="A45" s="1" t="str">
        <f>'Population Definitions'!$B$3</f>
        <v>5-14</v>
      </c>
      <c r="B45" s="2" t="s">
        <v>6</v>
      </c>
      <c r="C45" s="2"/>
      <c r="D45" s="2" t="s">
        <v>6</v>
      </c>
      <c r="E45" s="2" t="s">
        <v>6</v>
      </c>
      <c r="F45" s="2" t="s">
        <v>6</v>
      </c>
      <c r="G45" s="2" t="s">
        <v>6</v>
      </c>
      <c r="H45" s="2" t="s">
        <v>6</v>
      </c>
      <c r="I45" s="2" t="s">
        <v>6</v>
      </c>
      <c r="J45" s="2" t="s">
        <v>6</v>
      </c>
      <c r="K45" s="2" t="s">
        <v>6</v>
      </c>
      <c r="L45" s="2" t="s">
        <v>6</v>
      </c>
      <c r="M45" s="2" t="s">
        <v>6</v>
      </c>
    </row>
    <row r="46" spans="1:13" x14ac:dyDescent="0.55000000000000004">
      <c r="A46" s="1" t="str">
        <f>'Population Definitions'!$B$4</f>
        <v>15-64</v>
      </c>
      <c r="B46" s="2" t="s">
        <v>6</v>
      </c>
      <c r="C46" s="2" t="s">
        <v>6</v>
      </c>
      <c r="D46" s="2"/>
      <c r="E46" s="2" t="s">
        <v>6</v>
      </c>
      <c r="F46" s="2" t="s">
        <v>6</v>
      </c>
      <c r="G46" s="2" t="s">
        <v>6</v>
      </c>
      <c r="H46" s="2" t="s">
        <v>6</v>
      </c>
      <c r="I46" s="2" t="s">
        <v>6</v>
      </c>
      <c r="J46" s="2" t="s">
        <v>6</v>
      </c>
      <c r="K46" s="2" t="s">
        <v>6</v>
      </c>
      <c r="L46" s="2" t="s">
        <v>6</v>
      </c>
      <c r="M46" s="2" t="s">
        <v>6</v>
      </c>
    </row>
    <row r="47" spans="1:13" x14ac:dyDescent="0.55000000000000004">
      <c r="A47" s="1" t="str">
        <f>'Population Definitions'!$B$5</f>
        <v>65+</v>
      </c>
      <c r="B47" s="2" t="s">
        <v>6</v>
      </c>
      <c r="C47" s="2" t="s">
        <v>6</v>
      </c>
      <c r="D47" s="2" t="s">
        <v>6</v>
      </c>
      <c r="E47" s="2"/>
      <c r="F47" s="2" t="s">
        <v>6</v>
      </c>
      <c r="G47" s="2" t="s">
        <v>6</v>
      </c>
      <c r="H47" s="2" t="s">
        <v>6</v>
      </c>
      <c r="I47" s="2" t="s">
        <v>6</v>
      </c>
      <c r="J47" s="2" t="s">
        <v>6</v>
      </c>
      <c r="K47" s="2" t="s">
        <v>6</v>
      </c>
      <c r="L47" s="2" t="s">
        <v>6</v>
      </c>
      <c r="M47" s="2" t="s">
        <v>6</v>
      </c>
    </row>
    <row r="48" spans="1:13" x14ac:dyDescent="0.55000000000000004">
      <c r="A48" s="1" t="str">
        <f>'Population Definitions'!$B$6</f>
        <v>15-64 (HIV+)</v>
      </c>
      <c r="B48" s="2" t="s">
        <v>6</v>
      </c>
      <c r="C48" s="2" t="s">
        <v>6</v>
      </c>
      <c r="D48" s="2" t="s">
        <v>6</v>
      </c>
      <c r="E48" s="2" t="s">
        <v>6</v>
      </c>
      <c r="F48" s="2"/>
      <c r="G48" s="2" t="s">
        <v>6</v>
      </c>
      <c r="H48" s="2" t="s">
        <v>6</v>
      </c>
      <c r="I48" s="2" t="s">
        <v>6</v>
      </c>
      <c r="J48" s="2" t="s">
        <v>6</v>
      </c>
      <c r="K48" s="2" t="s">
        <v>6</v>
      </c>
      <c r="L48" s="2" t="s">
        <v>6</v>
      </c>
      <c r="M48" s="2" t="s">
        <v>6</v>
      </c>
    </row>
    <row r="49" spans="1:13" x14ac:dyDescent="0.55000000000000004">
      <c r="A49" s="1" t="str">
        <f>'Population Definitions'!$B$7</f>
        <v>65+ (HIV+)</v>
      </c>
      <c r="B49" s="2" t="s">
        <v>6</v>
      </c>
      <c r="C49" s="2" t="s">
        <v>6</v>
      </c>
      <c r="D49" s="2" t="s">
        <v>6</v>
      </c>
      <c r="E49" s="2" t="s">
        <v>6</v>
      </c>
      <c r="F49" s="2" t="s">
        <v>6</v>
      </c>
      <c r="G49" s="2"/>
      <c r="H49" s="2" t="s">
        <v>6</v>
      </c>
      <c r="I49" s="2" t="s">
        <v>6</v>
      </c>
      <c r="J49" s="2" t="s">
        <v>6</v>
      </c>
      <c r="K49" s="2" t="s">
        <v>6</v>
      </c>
      <c r="L49" s="2" t="s">
        <v>6</v>
      </c>
      <c r="M49" s="2" t="s">
        <v>6</v>
      </c>
    </row>
    <row r="50" spans="1:13" x14ac:dyDescent="0.55000000000000004">
      <c r="A50" s="1" t="str">
        <f>'Population Definitions'!$B$8</f>
        <v>Prisoners</v>
      </c>
      <c r="B50" s="2" t="s">
        <v>6</v>
      </c>
      <c r="C50" s="2" t="s">
        <v>6</v>
      </c>
      <c r="D50" s="2" t="s">
        <v>6</v>
      </c>
      <c r="E50" s="2" t="s">
        <v>6</v>
      </c>
      <c r="F50" s="2" t="s">
        <v>6</v>
      </c>
      <c r="G50" s="2" t="s">
        <v>6</v>
      </c>
      <c r="H50" s="2"/>
      <c r="I50" s="2" t="s">
        <v>6</v>
      </c>
      <c r="J50" s="2" t="s">
        <v>6</v>
      </c>
      <c r="K50" s="2" t="s">
        <v>6</v>
      </c>
      <c r="L50" s="2" t="s">
        <v>6</v>
      </c>
      <c r="M50" s="2" t="s">
        <v>6</v>
      </c>
    </row>
    <row r="51" spans="1:13" x14ac:dyDescent="0.55000000000000004">
      <c r="A51" s="1" t="str">
        <f>'Population Definitions'!$B$9</f>
        <v>Prisoners (HIV+)</v>
      </c>
      <c r="B51" s="2" t="s">
        <v>6</v>
      </c>
      <c r="C51" s="2" t="s">
        <v>6</v>
      </c>
      <c r="D51" s="2" t="s">
        <v>6</v>
      </c>
      <c r="E51" s="2" t="s">
        <v>6</v>
      </c>
      <c r="F51" s="2" t="s">
        <v>6</v>
      </c>
      <c r="G51" s="2" t="s">
        <v>6</v>
      </c>
      <c r="H51" s="2" t="s">
        <v>6</v>
      </c>
      <c r="I51" s="2"/>
      <c r="J51" s="2" t="s">
        <v>6</v>
      </c>
      <c r="K51" s="2" t="s">
        <v>6</v>
      </c>
      <c r="L51" s="2" t="s">
        <v>6</v>
      </c>
      <c r="M51" s="2" t="s">
        <v>6</v>
      </c>
    </row>
    <row r="52" spans="1:13" x14ac:dyDescent="0.55000000000000004">
      <c r="A52" s="1" t="str">
        <f>'Population Definitions'!$B$10</f>
        <v>HCW</v>
      </c>
      <c r="B52" s="2" t="s">
        <v>6</v>
      </c>
      <c r="C52" s="2" t="s">
        <v>6</v>
      </c>
      <c r="D52" s="2" t="s">
        <v>6</v>
      </c>
      <c r="E52" s="2" t="s">
        <v>6</v>
      </c>
      <c r="F52" s="2" t="s">
        <v>6</v>
      </c>
      <c r="G52" s="2" t="s">
        <v>6</v>
      </c>
      <c r="H52" s="2" t="s">
        <v>6</v>
      </c>
      <c r="I52" s="2" t="s">
        <v>6</v>
      </c>
      <c r="J52" s="2"/>
      <c r="K52" s="2" t="s">
        <v>6</v>
      </c>
      <c r="L52" s="2" t="s">
        <v>6</v>
      </c>
      <c r="M52" s="2" t="s">
        <v>6</v>
      </c>
    </row>
    <row r="53" spans="1:13" x14ac:dyDescent="0.55000000000000004">
      <c r="A53" s="1" t="str">
        <f>'Population Definitions'!$B$11</f>
        <v>HCW (HIV+)</v>
      </c>
      <c r="B53" s="2" t="s">
        <v>6</v>
      </c>
      <c r="C53" s="2" t="s">
        <v>6</v>
      </c>
      <c r="D53" s="2" t="s">
        <v>6</v>
      </c>
      <c r="E53" s="2" t="s">
        <v>6</v>
      </c>
      <c r="F53" s="2" t="s">
        <v>6</v>
      </c>
      <c r="G53" s="2" t="s">
        <v>6</v>
      </c>
      <c r="H53" s="2" t="s">
        <v>6</v>
      </c>
      <c r="I53" s="2" t="s">
        <v>6</v>
      </c>
      <c r="J53" s="2" t="s">
        <v>6</v>
      </c>
      <c r="K53" s="2"/>
      <c r="L53" s="2" t="s">
        <v>6</v>
      </c>
      <c r="M53" s="2" t="s">
        <v>6</v>
      </c>
    </row>
    <row r="54" spans="1:13" x14ac:dyDescent="0.55000000000000004">
      <c r="A54" s="1" t="str">
        <f>'Population Definitions'!$B$12</f>
        <v>Miners</v>
      </c>
      <c r="B54" s="2" t="s">
        <v>6</v>
      </c>
      <c r="C54" s="2" t="s">
        <v>6</v>
      </c>
      <c r="D54" s="2" t="s">
        <v>6</v>
      </c>
      <c r="E54" s="2" t="s">
        <v>6</v>
      </c>
      <c r="F54" s="2" t="s">
        <v>6</v>
      </c>
      <c r="G54" s="2" t="s">
        <v>6</v>
      </c>
      <c r="H54" s="2" t="s">
        <v>6</v>
      </c>
      <c r="I54" s="2" t="s">
        <v>6</v>
      </c>
      <c r="J54" s="2" t="s">
        <v>6</v>
      </c>
      <c r="K54" s="2" t="s">
        <v>6</v>
      </c>
      <c r="L54" s="2"/>
      <c r="M54" s="2" t="s">
        <v>6</v>
      </c>
    </row>
    <row r="55" spans="1:13" x14ac:dyDescent="0.55000000000000004">
      <c r="A55" s="1" t="str">
        <f>'Population Definitions'!$B$13</f>
        <v>Miners (HIV+)</v>
      </c>
      <c r="B55" s="2" t="s">
        <v>6</v>
      </c>
      <c r="C55" s="2" t="s">
        <v>6</v>
      </c>
      <c r="D55" s="2" t="s">
        <v>6</v>
      </c>
      <c r="E55" s="2" t="s">
        <v>6</v>
      </c>
      <c r="F55" s="2" t="s">
        <v>6</v>
      </c>
      <c r="G55" s="2" t="s">
        <v>6</v>
      </c>
      <c r="H55" s="2" t="s">
        <v>6</v>
      </c>
      <c r="I55" s="2" t="s">
        <v>6</v>
      </c>
      <c r="J55" s="2" t="s">
        <v>6</v>
      </c>
      <c r="K55" s="2" t="s">
        <v>6</v>
      </c>
      <c r="L55" s="2" t="s">
        <v>6</v>
      </c>
      <c r="M55" s="2"/>
    </row>
  </sheetData>
  <dataValidations count="540">
    <dataValidation type="list" showInputMessage="1" showErrorMessage="1" sqref="B2 G21 F20 E19 D18 C17 B16">
      <formula1>""</formula1>
    </dataValidation>
    <dataValidation type="list" showInputMessage="1" showErrorMessage="1" sqref="C2 B21:F21 G16:G20 B20:E20 F16:F19 B19:D19 E16:E18 B18:C18 D16:D17 B17 C16">
      <formula1>"n,y"</formula1>
    </dataValidation>
    <dataValidation type="list" showInputMessage="1" showErrorMessage="1" sqref="D2">
      <formula1>"n,y"</formula1>
    </dataValidation>
    <dataValidation type="list" showInputMessage="1" showErrorMessage="1" sqref="E2">
      <formula1>"n,y"</formula1>
    </dataValidation>
    <dataValidation type="list" showInputMessage="1" showErrorMessage="1" sqref="F2">
      <formula1>"n,y"</formula1>
    </dataValidation>
    <dataValidation type="list" showInputMessage="1" showErrorMessage="1" sqref="G2">
      <formula1>"n,y"</formula1>
    </dataValidation>
    <dataValidation type="list" showInputMessage="1" showErrorMessage="1" sqref="H2">
      <formula1>"n,y"</formula1>
    </dataValidation>
    <dataValidation type="list" showInputMessage="1" showErrorMessage="1" sqref="I2">
      <formula1>"n,y"</formula1>
    </dataValidation>
    <dataValidation type="list" showInputMessage="1" showErrorMessage="1" sqref="J2">
      <formula1>"n,y"</formula1>
    </dataValidation>
    <dataValidation type="list" showInputMessage="1" showErrorMessage="1" sqref="K2">
      <formula1>"n,y"</formula1>
    </dataValidation>
    <dataValidation type="list" showInputMessage="1" showErrorMessage="1" sqref="L2">
      <formula1>"n,y"</formula1>
    </dataValidation>
    <dataValidation type="list" showInputMessage="1" showErrorMessage="1" sqref="M2">
      <formula1>"n,y"</formula1>
    </dataValidation>
    <dataValidation type="list" showInputMessage="1" showErrorMessage="1" sqref="B3">
      <formula1>"n,y"</formula1>
    </dataValidation>
    <dataValidation type="list" showInputMessage="1" showErrorMessage="1" sqref="C3">
      <formula1>""</formula1>
    </dataValidation>
    <dataValidation type="list" showInputMessage="1" showErrorMessage="1" sqref="D3">
      <formula1>"n,y"</formula1>
    </dataValidation>
    <dataValidation type="list" showInputMessage="1" showErrorMessage="1" sqref="E3">
      <formula1>"n,y"</formula1>
    </dataValidation>
    <dataValidation type="list" showInputMessage="1" showErrorMessage="1" sqref="F3">
      <formula1>"n,y"</formula1>
    </dataValidation>
    <dataValidation type="list" showInputMessage="1" showErrorMessage="1" sqref="G3">
      <formula1>"n,y"</formula1>
    </dataValidation>
    <dataValidation type="list" showInputMessage="1" showErrorMessage="1" sqref="H3">
      <formula1>"n,y"</formula1>
    </dataValidation>
    <dataValidation type="list" showInputMessage="1" showErrorMessage="1" sqref="I3">
      <formula1>"n,y"</formula1>
    </dataValidation>
    <dataValidation type="list" showInputMessage="1" showErrorMessage="1" sqref="J3">
      <formula1>"n,y"</formula1>
    </dataValidation>
    <dataValidation type="list" showInputMessage="1" showErrorMessage="1" sqref="K3">
      <formula1>"n,y"</formula1>
    </dataValidation>
    <dataValidation type="list" showInputMessage="1" showErrorMessage="1" sqref="L3">
      <formula1>"n,y"</formula1>
    </dataValidation>
    <dataValidation type="list" showInputMessage="1" showErrorMessage="1" sqref="M3">
      <formula1>"n,y"</formula1>
    </dataValidation>
    <dataValidation type="list" showInputMessage="1" showErrorMessage="1" sqref="B4">
      <formula1>"n,y"</formula1>
    </dataValidation>
    <dataValidation type="list" showInputMessage="1" showErrorMessage="1" sqref="C4">
      <formula1>"n,y"</formula1>
    </dataValidation>
    <dataValidation type="list" showInputMessage="1" showErrorMessage="1" sqref="D4">
      <formula1>""</formula1>
    </dataValidation>
    <dataValidation type="list" showInputMessage="1" showErrorMessage="1" sqref="E4">
      <formula1>"n,y"</formula1>
    </dataValidation>
    <dataValidation type="list" showInputMessage="1" showErrorMessage="1" sqref="F4">
      <formula1>"n,y"</formula1>
    </dataValidation>
    <dataValidation type="list" showInputMessage="1" showErrorMessage="1" sqref="G4">
      <formula1>"n,y"</formula1>
    </dataValidation>
    <dataValidation type="list" showInputMessage="1" showErrorMessage="1" sqref="H4">
      <formula1>"n,y"</formula1>
    </dataValidation>
    <dataValidation type="list" showInputMessage="1" showErrorMessage="1" sqref="I4">
      <formula1>"n,y"</formula1>
    </dataValidation>
    <dataValidation type="list" showInputMessage="1" showErrorMessage="1" sqref="J4">
      <formula1>"n,y"</formula1>
    </dataValidation>
    <dataValidation type="list" showInputMessage="1" showErrorMessage="1" sqref="K4">
      <formula1>"n,y"</formula1>
    </dataValidation>
    <dataValidation type="list" showInputMessage="1" showErrorMessage="1" sqref="L4">
      <formula1>"n,y"</formula1>
    </dataValidation>
    <dataValidation type="list" showInputMessage="1" showErrorMessage="1" sqref="M4">
      <formula1>"n,y"</formula1>
    </dataValidation>
    <dataValidation type="list" showInputMessage="1" showErrorMessage="1" sqref="B5">
      <formula1>"n,y"</formula1>
    </dataValidation>
    <dataValidation type="list" showInputMessage="1" showErrorMessage="1" sqref="C5">
      <formula1>"n,y"</formula1>
    </dataValidation>
    <dataValidation type="list" showInputMessage="1" showErrorMessage="1" sqref="D5">
      <formula1>"n,y"</formula1>
    </dataValidation>
    <dataValidation type="list" showInputMessage="1" showErrorMessage="1" sqref="E5">
      <formula1>""</formula1>
    </dataValidation>
    <dataValidation type="list" showInputMessage="1" showErrorMessage="1" sqref="F5">
      <formula1>"n,y"</formula1>
    </dataValidation>
    <dataValidation type="list" showInputMessage="1" showErrorMessage="1" sqref="G5">
      <formula1>"n,y"</formula1>
    </dataValidation>
    <dataValidation type="list" showInputMessage="1" showErrorMessage="1" sqref="H5">
      <formula1>"n,y"</formula1>
    </dataValidation>
    <dataValidation type="list" showInputMessage="1" showErrorMessage="1" sqref="I5">
      <formula1>"n,y"</formula1>
    </dataValidation>
    <dataValidation type="list" showInputMessage="1" showErrorMessage="1" sqref="J5">
      <formula1>"n,y"</formula1>
    </dataValidation>
    <dataValidation type="list" showInputMessage="1" showErrorMessage="1" sqref="K5">
      <formula1>"n,y"</formula1>
    </dataValidation>
    <dataValidation type="list" showInputMessage="1" showErrorMessage="1" sqref="L5">
      <formula1>"n,y"</formula1>
    </dataValidation>
    <dataValidation type="list" showInputMessage="1" showErrorMessage="1" sqref="M5">
      <formula1>"n,y"</formula1>
    </dataValidation>
    <dataValidation type="list" showInputMessage="1" showErrorMessage="1" sqref="B6">
      <formula1>"n,y"</formula1>
    </dataValidation>
    <dataValidation type="list" showInputMessage="1" showErrorMessage="1" sqref="C6">
      <formula1>"n,y"</formula1>
    </dataValidation>
    <dataValidation type="list" showInputMessage="1" showErrorMessage="1" sqref="D6">
      <formula1>"n,y"</formula1>
    </dataValidation>
    <dataValidation type="list" showInputMessage="1" showErrorMessage="1" sqref="E6">
      <formula1>"n,y"</formula1>
    </dataValidation>
    <dataValidation type="list" showInputMessage="1" showErrorMessage="1" sqref="F6">
      <formula1>""</formula1>
    </dataValidation>
    <dataValidation type="list" showInputMessage="1" showErrorMessage="1" sqref="G6">
      <formula1>"n,y"</formula1>
    </dataValidation>
    <dataValidation type="list" showInputMessage="1" showErrorMessage="1" sqref="H6">
      <formula1>"n,y"</formula1>
    </dataValidation>
    <dataValidation type="list" showInputMessage="1" showErrorMessage="1" sqref="I6">
      <formula1>"n,y"</formula1>
    </dataValidation>
    <dataValidation type="list" showInputMessage="1" showErrorMessage="1" sqref="J6">
      <formula1>"n,y"</formula1>
    </dataValidation>
    <dataValidation type="list" showInputMessage="1" showErrorMessage="1" sqref="K6">
      <formula1>"n,y"</formula1>
    </dataValidation>
    <dataValidation type="list" showInputMessage="1" showErrorMessage="1" sqref="L6">
      <formula1>"n,y"</formula1>
    </dataValidation>
    <dataValidation type="list" showInputMessage="1" showErrorMessage="1" sqref="M6">
      <formula1>"n,y"</formula1>
    </dataValidation>
    <dataValidation type="list" showInputMessage="1" showErrorMessage="1" sqref="B7">
      <formula1>"n,y"</formula1>
    </dataValidation>
    <dataValidation type="list" showInputMessage="1" showErrorMessage="1" sqref="C7">
      <formula1>"n,y"</formula1>
    </dataValidation>
    <dataValidation type="list" showInputMessage="1" showErrorMessage="1" sqref="D7">
      <formula1>"n,y"</formula1>
    </dataValidation>
    <dataValidation type="list" showInputMessage="1" showErrorMessage="1" sqref="E7">
      <formula1>"n,y"</formula1>
    </dataValidation>
    <dataValidation type="list" showInputMessage="1" showErrorMessage="1" sqref="F7">
      <formula1>"n,y"</formula1>
    </dataValidation>
    <dataValidation type="list" showInputMessage="1" showErrorMessage="1" sqref="G7">
      <formula1>""</formula1>
    </dataValidation>
    <dataValidation type="list" showInputMessage="1" showErrorMessage="1" sqref="H7">
      <formula1>"n,y"</formula1>
    </dataValidation>
    <dataValidation type="list" showInputMessage="1" showErrorMessage="1" sqref="I7">
      <formula1>"n,y"</formula1>
    </dataValidation>
    <dataValidation type="list" showInputMessage="1" showErrorMessage="1" sqref="J7">
      <formula1>"n,y"</formula1>
    </dataValidation>
    <dataValidation type="list" showInputMessage="1" showErrorMessage="1" sqref="K7">
      <formula1>"n,y"</formula1>
    </dataValidation>
    <dataValidation type="list" showInputMessage="1" showErrorMessage="1" sqref="L7">
      <formula1>"n,y"</formula1>
    </dataValidation>
    <dataValidation type="list" showInputMessage="1" showErrorMessage="1" sqref="M7">
      <formula1>"n,y"</formula1>
    </dataValidation>
    <dataValidation type="list" showInputMessage="1" showErrorMessage="1" sqref="B8">
      <formula1>"n,y"</formula1>
    </dataValidation>
    <dataValidation type="list" showInputMessage="1" showErrorMessage="1" sqref="C8">
      <formula1>"n,y"</formula1>
    </dataValidation>
    <dataValidation type="list" showInputMessage="1" showErrorMessage="1" sqref="D8">
      <formula1>"n,y"</formula1>
    </dataValidation>
    <dataValidation type="list" showInputMessage="1" showErrorMessage="1" sqref="E8">
      <formula1>"n,y"</formula1>
    </dataValidation>
    <dataValidation type="list" showInputMessage="1" showErrorMessage="1" sqref="F8">
      <formula1>"n,y"</formula1>
    </dataValidation>
    <dataValidation type="list" showInputMessage="1" showErrorMessage="1" sqref="G8">
      <formula1>"n,y"</formula1>
    </dataValidation>
    <dataValidation type="list" showInputMessage="1" showErrorMessage="1" sqref="H8">
      <formula1>""</formula1>
    </dataValidation>
    <dataValidation type="list" showInputMessage="1" showErrorMessage="1" sqref="I8">
      <formula1>"n,y"</formula1>
    </dataValidation>
    <dataValidation type="list" showInputMessage="1" showErrorMessage="1" sqref="J8">
      <formula1>"n,y"</formula1>
    </dataValidation>
    <dataValidation type="list" showInputMessage="1" showErrorMessage="1" sqref="K8">
      <formula1>"n,y"</formula1>
    </dataValidation>
    <dataValidation type="list" showInputMessage="1" showErrorMessage="1" sqref="L8">
      <formula1>"n,y"</formula1>
    </dataValidation>
    <dataValidation type="list" showInputMessage="1" showErrorMessage="1" sqref="M8">
      <formula1>"n,y"</formula1>
    </dataValidation>
    <dataValidation type="list" showInputMessage="1" showErrorMessage="1" sqref="B9">
      <formula1>"n,y"</formula1>
    </dataValidation>
    <dataValidation type="list" showInputMessage="1" showErrorMessage="1" sqref="C9">
      <formula1>"n,y"</formula1>
    </dataValidation>
    <dataValidation type="list" showInputMessage="1" showErrorMessage="1" sqref="D9">
      <formula1>"n,y"</formula1>
    </dataValidation>
    <dataValidation type="list" showInputMessage="1" showErrorMessage="1" sqref="E9">
      <formula1>"n,y"</formula1>
    </dataValidation>
    <dataValidation type="list" showInputMessage="1" showErrorMessage="1" sqref="F9">
      <formula1>"n,y"</formula1>
    </dataValidation>
    <dataValidation type="list" showInputMessage="1" showErrorMessage="1" sqref="G9">
      <formula1>"n,y"</formula1>
    </dataValidation>
    <dataValidation type="list" showInputMessage="1" showErrorMessage="1" sqref="H9">
      <formula1>"n,y"</formula1>
    </dataValidation>
    <dataValidation type="list" showInputMessage="1" showErrorMessage="1" sqref="I9">
      <formula1>""</formula1>
    </dataValidation>
    <dataValidation type="list" showInputMessage="1" showErrorMessage="1" sqref="J9">
      <formula1>"n,y"</formula1>
    </dataValidation>
    <dataValidation type="list" showInputMessage="1" showErrorMessage="1" sqref="K9">
      <formula1>"n,y"</formula1>
    </dataValidation>
    <dataValidation type="list" showInputMessage="1" showErrorMessage="1" sqref="L9">
      <formula1>"n,y"</formula1>
    </dataValidation>
    <dataValidation type="list" showInputMessage="1" showErrorMessage="1" sqref="M9">
      <formula1>"n,y"</formula1>
    </dataValidation>
    <dataValidation type="list" showInputMessage="1" showErrorMessage="1" sqref="B10">
      <formula1>"n,y"</formula1>
    </dataValidation>
    <dataValidation type="list" showInputMessage="1" showErrorMessage="1" sqref="C10">
      <formula1>"n,y"</formula1>
    </dataValidation>
    <dataValidation type="list" showInputMessage="1" showErrorMessage="1" sqref="D10">
      <formula1>"n,y"</formula1>
    </dataValidation>
    <dataValidation type="list" showInputMessage="1" showErrorMessage="1" sqref="E10">
      <formula1>"n,y"</formula1>
    </dataValidation>
    <dataValidation type="list" showInputMessage="1" showErrorMessage="1" sqref="F10">
      <formula1>"n,y"</formula1>
    </dataValidation>
    <dataValidation type="list" showInputMessage="1" showErrorMessage="1" sqref="G10">
      <formula1>"n,y"</formula1>
    </dataValidation>
    <dataValidation type="list" showInputMessage="1" showErrorMessage="1" sqref="H10">
      <formula1>"n,y"</formula1>
    </dataValidation>
    <dataValidation type="list" showInputMessage="1" showErrorMessage="1" sqref="I10">
      <formula1>"n,y"</formula1>
    </dataValidation>
    <dataValidation type="list" showInputMessage="1" showErrorMessage="1" sqref="J10">
      <formula1>""</formula1>
    </dataValidation>
    <dataValidation type="list" showInputMessage="1" showErrorMessage="1" sqref="K10">
      <formula1>"n,y"</formula1>
    </dataValidation>
    <dataValidation type="list" showInputMessage="1" showErrorMessage="1" sqref="L10">
      <formula1>"n,y"</formula1>
    </dataValidation>
    <dataValidation type="list" showInputMessage="1" showErrorMessage="1" sqref="M10">
      <formula1>"n,y"</formula1>
    </dataValidation>
    <dataValidation type="list" showInputMessage="1" showErrorMessage="1" sqref="B11">
      <formula1>"n,y"</formula1>
    </dataValidation>
    <dataValidation type="list" showInputMessage="1" showErrorMessage="1" sqref="C11">
      <formula1>"n,y"</formula1>
    </dataValidation>
    <dataValidation type="list" showInputMessage="1" showErrorMessage="1" sqref="D11">
      <formula1>"n,y"</formula1>
    </dataValidation>
    <dataValidation type="list" showInputMessage="1" showErrorMessage="1" sqref="E11">
      <formula1>"n,y"</formula1>
    </dataValidation>
    <dataValidation type="list" showInputMessage="1" showErrorMessage="1" sqref="F11">
      <formula1>"n,y"</formula1>
    </dataValidation>
    <dataValidation type="list" showInputMessage="1" showErrorMessage="1" sqref="G11">
      <formula1>"n,y"</formula1>
    </dataValidation>
    <dataValidation type="list" showInputMessage="1" showErrorMessage="1" sqref="H11">
      <formula1>"n,y"</formula1>
    </dataValidation>
    <dataValidation type="list" showInputMessage="1" showErrorMessage="1" sqref="I11">
      <formula1>"n,y"</formula1>
    </dataValidation>
    <dataValidation type="list" showInputMessage="1" showErrorMessage="1" sqref="J11">
      <formula1>"n,y"</formula1>
    </dataValidation>
    <dataValidation type="list" showInputMessage="1" showErrorMessage="1" sqref="K11">
      <formula1>""</formula1>
    </dataValidation>
    <dataValidation type="list" showInputMessage="1" showErrorMessage="1" sqref="L11">
      <formula1>"n,y"</formula1>
    </dataValidation>
    <dataValidation type="list" showInputMessage="1" showErrorMessage="1" sqref="M11">
      <formula1>"n,y"</formula1>
    </dataValidation>
    <dataValidation type="list" showInputMessage="1" showErrorMessage="1" sqref="B12">
      <formula1>"n,y"</formula1>
    </dataValidation>
    <dataValidation type="list" showInputMessage="1" showErrorMessage="1" sqref="C12">
      <formula1>"n,y"</formula1>
    </dataValidation>
    <dataValidation type="list" showInputMessage="1" showErrorMessage="1" sqref="D12">
      <formula1>"n,y"</formula1>
    </dataValidation>
    <dataValidation type="list" showInputMessage="1" showErrorMessage="1" sqref="E12">
      <formula1>"n,y"</formula1>
    </dataValidation>
    <dataValidation type="list" showInputMessage="1" showErrorMessage="1" sqref="F12">
      <formula1>"n,y"</formula1>
    </dataValidation>
    <dataValidation type="list" showInputMessage="1" showErrorMessage="1" sqref="G12">
      <formula1>"n,y"</formula1>
    </dataValidation>
    <dataValidation type="list" showInputMessage="1" showErrorMessage="1" sqref="H12">
      <formula1>"n,y"</formula1>
    </dataValidation>
    <dataValidation type="list" showInputMessage="1" showErrorMessage="1" sqref="I12">
      <formula1>"n,y"</formula1>
    </dataValidation>
    <dataValidation type="list" showInputMessage="1" showErrorMessage="1" sqref="J12">
      <formula1>"n,y"</formula1>
    </dataValidation>
    <dataValidation type="list" showInputMessage="1" showErrorMessage="1" sqref="K12">
      <formula1>"n,y"</formula1>
    </dataValidation>
    <dataValidation type="list" showInputMessage="1" showErrorMessage="1" sqref="L12">
      <formula1>""</formula1>
    </dataValidation>
    <dataValidation type="list" showInputMessage="1" showErrorMessage="1" sqref="M12">
      <formula1>"n,y"</formula1>
    </dataValidation>
    <dataValidation type="list" showInputMessage="1" showErrorMessage="1" sqref="B13">
      <formula1>"n,y"</formula1>
    </dataValidation>
    <dataValidation type="list" showInputMessage="1" showErrorMessage="1" sqref="C13">
      <formula1>"n,y"</formula1>
    </dataValidation>
    <dataValidation type="list" showInputMessage="1" showErrorMessage="1" sqref="D13">
      <formula1>"n,y"</formula1>
    </dataValidation>
    <dataValidation type="list" showInputMessage="1" showErrorMessage="1" sqref="E13">
      <formula1>"n,y"</formula1>
    </dataValidation>
    <dataValidation type="list" showInputMessage="1" showErrorMessage="1" sqref="F13">
      <formula1>"n,y"</formula1>
    </dataValidation>
    <dataValidation type="list" showInputMessage="1" showErrorMessage="1" sqref="G13">
      <formula1>"n,y"</formula1>
    </dataValidation>
    <dataValidation type="list" showInputMessage="1" showErrorMessage="1" sqref="H13">
      <formula1>"n,y"</formula1>
    </dataValidation>
    <dataValidation type="list" showInputMessage="1" showErrorMessage="1" sqref="I13">
      <formula1>"n,y"</formula1>
    </dataValidation>
    <dataValidation type="list" showInputMessage="1" showErrorMessage="1" sqref="J13">
      <formula1>"n,y"</formula1>
    </dataValidation>
    <dataValidation type="list" showInputMessage="1" showErrorMessage="1" sqref="K13">
      <formula1>"n,y"</formula1>
    </dataValidation>
    <dataValidation type="list" showInputMessage="1" showErrorMessage="1" sqref="L13">
      <formula1>"n,y"</formula1>
    </dataValidation>
    <dataValidation type="list" showInputMessage="1" showErrorMessage="1" sqref="M13">
      <formula1>""</formula1>
    </dataValidation>
    <dataValidation type="list" showInputMessage="1" showErrorMessage="1" sqref="H16">
      <formula1>"n,y"</formula1>
    </dataValidation>
    <dataValidation type="list" showInputMessage="1" showErrorMessage="1" sqref="I16">
      <formula1>"n,y"</formula1>
    </dataValidation>
    <dataValidation type="list" showInputMessage="1" showErrorMessage="1" sqref="J16">
      <formula1>"n,y"</formula1>
    </dataValidation>
    <dataValidation type="list" showInputMessage="1" showErrorMessage="1" sqref="K16">
      <formula1>"n,y"</formula1>
    </dataValidation>
    <dataValidation type="list" showInputMessage="1" showErrorMessage="1" sqref="L16">
      <formula1>"n,y"</formula1>
    </dataValidation>
    <dataValidation type="list" showInputMessage="1" showErrorMessage="1" sqref="M16">
      <formula1>"n,y"</formula1>
    </dataValidation>
    <dataValidation type="list" showInputMessage="1" showErrorMessage="1" sqref="H17">
      <formula1>"n,y"</formula1>
    </dataValidation>
    <dataValidation type="list" showInputMessage="1" showErrorMessage="1" sqref="I17">
      <formula1>"n,y"</formula1>
    </dataValidation>
    <dataValidation type="list" showInputMessage="1" showErrorMessage="1" sqref="J17">
      <formula1>"n,y"</formula1>
    </dataValidation>
    <dataValidation type="list" showInputMessage="1" showErrorMessage="1" sqref="K17">
      <formula1>"n,y"</formula1>
    </dataValidation>
    <dataValidation type="list" showInputMessage="1" showErrorMessage="1" sqref="L17">
      <formula1>"n,y"</formula1>
    </dataValidation>
    <dataValidation type="list" showInputMessage="1" showErrorMessage="1" sqref="M17">
      <formula1>"n,y"</formula1>
    </dataValidation>
    <dataValidation type="list" showInputMessage="1" showErrorMessage="1" sqref="H18">
      <formula1>"n,y"</formula1>
    </dataValidation>
    <dataValidation type="list" showInputMessage="1" showErrorMessage="1" sqref="I18">
      <formula1>"n,y"</formula1>
    </dataValidation>
    <dataValidation type="list" showInputMessage="1" showErrorMessage="1" sqref="J18">
      <formula1>"n,y"</formula1>
    </dataValidation>
    <dataValidation type="list" showInputMessage="1" showErrorMessage="1" sqref="K18">
      <formula1>"n,y"</formula1>
    </dataValidation>
    <dataValidation type="list" showInputMessage="1" showErrorMessage="1" sqref="L18">
      <formula1>"n,y"</formula1>
    </dataValidation>
    <dataValidation type="list" showInputMessage="1" showErrorMessage="1" sqref="M18">
      <formula1>"n,y"</formula1>
    </dataValidation>
    <dataValidation type="list" showInputMessage="1" showErrorMessage="1" sqref="H19">
      <formula1>"n,y"</formula1>
    </dataValidation>
    <dataValidation type="list" showInputMessage="1" showErrorMessage="1" sqref="I19">
      <formula1>"n,y"</formula1>
    </dataValidation>
    <dataValidation type="list" showInputMessage="1" showErrorMessage="1" sqref="J19">
      <formula1>"n,y"</formula1>
    </dataValidation>
    <dataValidation type="list" showInputMessage="1" showErrorMessage="1" sqref="K19">
      <formula1>"n,y"</formula1>
    </dataValidation>
    <dataValidation type="list" showInputMessage="1" showErrorMessage="1" sqref="L19">
      <formula1>"n,y"</formula1>
    </dataValidation>
    <dataValidation type="list" showInputMessage="1" showErrorMessage="1" sqref="M19">
      <formula1>"n,y"</formula1>
    </dataValidation>
    <dataValidation type="list" showInputMessage="1" showErrorMessage="1" sqref="H20">
      <formula1>"n,y"</formula1>
    </dataValidation>
    <dataValidation type="list" showInputMessage="1" showErrorMessage="1" sqref="I20">
      <formula1>"n,y"</formula1>
    </dataValidation>
    <dataValidation type="list" showInputMessage="1" showErrorMessage="1" sqref="J20">
      <formula1>"n,y"</formula1>
    </dataValidation>
    <dataValidation type="list" showInputMessage="1" showErrorMessage="1" sqref="K20">
      <formula1>"n,y"</formula1>
    </dataValidation>
    <dataValidation type="list" showInputMessage="1" showErrorMessage="1" sqref="L20">
      <formula1>"n,y"</formula1>
    </dataValidation>
    <dataValidation type="list" showInputMessage="1" showErrorMessage="1" sqref="M20">
      <formula1>"n,y"</formula1>
    </dataValidation>
    <dataValidation type="list" showInputMessage="1" showErrorMessage="1" sqref="H21">
      <formula1>"n,y"</formula1>
    </dataValidation>
    <dataValidation type="list" showInputMessage="1" showErrorMessage="1" sqref="I21">
      <formula1>"n,y"</formula1>
    </dataValidation>
    <dataValidation type="list" showInputMessage="1" showErrorMessage="1" sqref="J21">
      <formula1>"n,y"</formula1>
    </dataValidation>
    <dataValidation type="list" showInputMessage="1" showErrorMessage="1" sqref="K21">
      <formula1>"n,y"</formula1>
    </dataValidation>
    <dataValidation type="list" showInputMessage="1" showErrorMessage="1" sqref="L21">
      <formula1>"n,y"</formula1>
    </dataValidation>
    <dataValidation type="list" showInputMessage="1" showErrorMessage="1" sqref="M21">
      <formula1>"n,y"</formula1>
    </dataValidation>
    <dataValidation type="list" showInputMessage="1" showErrorMessage="1" sqref="B22">
      <formula1>"n,y"</formula1>
    </dataValidation>
    <dataValidation type="list" showInputMessage="1" showErrorMessage="1" sqref="C22">
      <formula1>"n,y"</formula1>
    </dataValidation>
    <dataValidation type="list" showInputMessage="1" showErrorMessage="1" sqref="D22">
      <formula1>"n,y"</formula1>
    </dataValidation>
    <dataValidation type="list" showInputMessage="1" showErrorMessage="1" sqref="E22">
      <formula1>"n,y"</formula1>
    </dataValidation>
    <dataValidation type="list" showInputMessage="1" showErrorMessage="1" sqref="F22">
      <formula1>"n,y"</formula1>
    </dataValidation>
    <dataValidation type="list" showInputMessage="1" showErrorMessage="1" sqref="G22">
      <formula1>"n,y"</formula1>
    </dataValidation>
    <dataValidation type="list" showInputMessage="1" showErrorMessage="1" sqref="H22">
      <formula1>""</formula1>
    </dataValidation>
    <dataValidation type="list" showInputMessage="1" showErrorMessage="1" sqref="I22">
      <formula1>"n,y"</formula1>
    </dataValidation>
    <dataValidation type="list" showInputMessage="1" showErrorMessage="1" sqref="J22">
      <formula1>"n,y"</formula1>
    </dataValidation>
    <dataValidation type="list" showInputMessage="1" showErrorMessage="1" sqref="K22">
      <formula1>"n,y"</formula1>
    </dataValidation>
    <dataValidation type="list" showInputMessage="1" showErrorMessage="1" sqref="L22">
      <formula1>"n,y"</formula1>
    </dataValidation>
    <dataValidation type="list" showInputMessage="1" showErrorMessage="1" sqref="M22">
      <formula1>"n,y"</formula1>
    </dataValidation>
    <dataValidation type="list" showInputMessage="1" showErrorMessage="1" sqref="B23">
      <formula1>"n,y"</formula1>
    </dataValidation>
    <dataValidation type="list" showInputMessage="1" showErrorMessage="1" sqref="C23">
      <formula1>"n,y"</formula1>
    </dataValidation>
    <dataValidation type="list" showInputMessage="1" showErrorMessage="1" sqref="D23">
      <formula1>"n,y"</formula1>
    </dataValidation>
    <dataValidation type="list" showInputMessage="1" showErrorMessage="1" sqref="E23">
      <formula1>"n,y"</formula1>
    </dataValidation>
    <dataValidation type="list" showInputMessage="1" showErrorMessage="1" sqref="F23">
      <formula1>"n,y"</formula1>
    </dataValidation>
    <dataValidation type="list" showInputMessage="1" showErrorMessage="1" sqref="G23">
      <formula1>"n,y"</formula1>
    </dataValidation>
    <dataValidation type="list" showInputMessage="1" showErrorMessage="1" sqref="H23">
      <formula1>"n,y"</formula1>
    </dataValidation>
    <dataValidation type="list" showInputMessage="1" showErrorMessage="1" sqref="I23">
      <formula1>""</formula1>
    </dataValidation>
    <dataValidation type="list" showInputMessage="1" showErrorMessage="1" sqref="J23">
      <formula1>"n,y"</formula1>
    </dataValidation>
    <dataValidation type="list" showInputMessage="1" showErrorMessage="1" sqref="K23">
      <formula1>"n,y"</formula1>
    </dataValidation>
    <dataValidation type="list" showInputMessage="1" showErrorMessage="1" sqref="L23">
      <formula1>"n,y"</formula1>
    </dataValidation>
    <dataValidation type="list" showInputMessage="1" showErrorMessage="1" sqref="M23">
      <formula1>"n,y"</formula1>
    </dataValidation>
    <dataValidation type="list" showInputMessage="1" showErrorMessage="1" sqref="B24">
      <formula1>"n,y"</formula1>
    </dataValidation>
    <dataValidation type="list" showInputMessage="1" showErrorMessage="1" sqref="C24">
      <formula1>"n,y"</formula1>
    </dataValidation>
    <dataValidation type="list" showInputMessage="1" showErrorMessage="1" sqref="D24">
      <formula1>"n,y"</formula1>
    </dataValidation>
    <dataValidation type="list" showInputMessage="1" showErrorMessage="1" sqref="E24">
      <formula1>"n,y"</formula1>
    </dataValidation>
    <dataValidation type="list" showInputMessage="1" showErrorMessage="1" sqref="F24">
      <formula1>"n,y"</formula1>
    </dataValidation>
    <dataValidation type="list" showInputMessage="1" showErrorMessage="1" sqref="G24">
      <formula1>"n,y"</formula1>
    </dataValidation>
    <dataValidation type="list" showInputMessage="1" showErrorMessage="1" sqref="H24">
      <formula1>"n,y"</formula1>
    </dataValidation>
    <dataValidation type="list" showInputMessage="1" showErrorMessage="1" sqref="I24">
      <formula1>"n,y"</formula1>
    </dataValidation>
    <dataValidation type="list" showInputMessage="1" showErrorMessage="1" sqref="J24">
      <formula1>""</formula1>
    </dataValidation>
    <dataValidation type="list" showInputMessage="1" showErrorMessage="1" sqref="K24">
      <formula1>"n,y"</formula1>
    </dataValidation>
    <dataValidation type="list" showInputMessage="1" showErrorMessage="1" sqref="L24">
      <formula1>"n,y"</formula1>
    </dataValidation>
    <dataValidation type="list" showInputMessage="1" showErrorMessage="1" sqref="M24">
      <formula1>"n,y"</formula1>
    </dataValidation>
    <dataValidation type="list" showInputMessage="1" showErrorMessage="1" sqref="B25">
      <formula1>"n,y"</formula1>
    </dataValidation>
    <dataValidation type="list" showInputMessage="1" showErrorMessage="1" sqref="C25">
      <formula1>"n,y"</formula1>
    </dataValidation>
    <dataValidation type="list" showInputMessage="1" showErrorMessage="1" sqref="D25">
      <formula1>"n,y"</formula1>
    </dataValidation>
    <dataValidation type="list" showInputMessage="1" showErrorMessage="1" sqref="E25">
      <formula1>"n,y"</formula1>
    </dataValidation>
    <dataValidation type="list" showInputMessage="1" showErrorMessage="1" sqref="F25">
      <formula1>"n,y"</formula1>
    </dataValidation>
    <dataValidation type="list" showInputMessage="1" showErrorMessage="1" sqref="G25">
      <formula1>"n,y"</formula1>
    </dataValidation>
    <dataValidation type="list" showInputMessage="1" showErrorMessage="1" sqref="H25">
      <formula1>"n,y"</formula1>
    </dataValidation>
    <dataValidation type="list" showInputMessage="1" showErrorMessage="1" sqref="I25">
      <formula1>"n,y"</formula1>
    </dataValidation>
    <dataValidation type="list" showInputMessage="1" showErrorMessage="1" sqref="J25">
      <formula1>"n,y"</formula1>
    </dataValidation>
    <dataValidation type="list" showInputMessage="1" showErrorMessage="1" sqref="K25">
      <formula1>""</formula1>
    </dataValidation>
    <dataValidation type="list" showInputMessage="1" showErrorMessage="1" sqref="L25">
      <formula1>"n,y"</formula1>
    </dataValidation>
    <dataValidation type="list" showInputMessage="1" showErrorMessage="1" sqref="M25">
      <formula1>"n,y"</formula1>
    </dataValidation>
    <dataValidation type="list" showInputMessage="1" showErrorMessage="1" sqref="B26">
      <formula1>"n,y"</formula1>
    </dataValidation>
    <dataValidation type="list" showInputMessage="1" showErrorMessage="1" sqref="C26">
      <formula1>"n,y"</formula1>
    </dataValidation>
    <dataValidation type="list" showInputMessage="1" showErrorMessage="1" sqref="D26">
      <formula1>"n,y"</formula1>
    </dataValidation>
    <dataValidation type="list" showInputMessage="1" showErrorMessage="1" sqref="E26">
      <formula1>"n,y"</formula1>
    </dataValidation>
    <dataValidation type="list" showInputMessage="1" showErrorMessage="1" sqref="F26">
      <formula1>"n,y"</formula1>
    </dataValidation>
    <dataValidation type="list" showInputMessage="1" showErrorMessage="1" sqref="G26">
      <formula1>"n,y"</formula1>
    </dataValidation>
    <dataValidation type="list" showInputMessage="1" showErrorMessage="1" sqref="H26">
      <formula1>"n,y"</formula1>
    </dataValidation>
    <dataValidation type="list" showInputMessage="1" showErrorMessage="1" sqref="I26">
      <formula1>"n,y"</formula1>
    </dataValidation>
    <dataValidation type="list" showInputMessage="1" showErrorMessage="1" sqref="J26">
      <formula1>"n,y"</formula1>
    </dataValidation>
    <dataValidation type="list" showInputMessage="1" showErrorMessage="1" sqref="K26">
      <formula1>"n,y"</formula1>
    </dataValidation>
    <dataValidation type="list" showInputMessage="1" showErrorMessage="1" sqref="L26">
      <formula1>""</formula1>
    </dataValidation>
    <dataValidation type="list" showInputMessage="1" showErrorMessage="1" sqref="M26">
      <formula1>"n,y"</formula1>
    </dataValidation>
    <dataValidation type="list" showInputMessage="1" showErrorMessage="1" sqref="B27">
      <formula1>"n,y"</formula1>
    </dataValidation>
    <dataValidation type="list" showInputMessage="1" showErrorMessage="1" sqref="C27">
      <formula1>"n,y"</formula1>
    </dataValidation>
    <dataValidation type="list" showInputMessage="1" showErrorMessage="1" sqref="D27">
      <formula1>"n,y"</formula1>
    </dataValidation>
    <dataValidation type="list" showInputMessage="1" showErrorMessage="1" sqref="E27">
      <formula1>"n,y"</formula1>
    </dataValidation>
    <dataValidation type="list" showInputMessage="1" showErrorMessage="1" sqref="F27">
      <formula1>"n,y"</formula1>
    </dataValidation>
    <dataValidation type="list" showInputMessage="1" showErrorMessage="1" sqref="G27">
      <formula1>"n,y"</formula1>
    </dataValidation>
    <dataValidation type="list" showInputMessage="1" showErrorMessage="1" sqref="H27">
      <formula1>"n,y"</formula1>
    </dataValidation>
    <dataValidation type="list" showInputMessage="1" showErrorMessage="1" sqref="I27">
      <formula1>"n,y"</formula1>
    </dataValidation>
    <dataValidation type="list" showInputMessage="1" showErrorMessage="1" sqref="J27">
      <formula1>"n,y"</formula1>
    </dataValidation>
    <dataValidation type="list" showInputMessage="1" showErrorMessage="1" sqref="K27">
      <formula1>"n,y"</formula1>
    </dataValidation>
    <dataValidation type="list" showInputMessage="1" showErrorMessage="1" sqref="L27">
      <formula1>"n,y"</formula1>
    </dataValidation>
    <dataValidation type="list" showInputMessage="1" showErrorMessage="1" sqref="M27">
      <formula1>""</formula1>
    </dataValidation>
    <dataValidation type="list" showInputMessage="1" showErrorMessage="1" sqref="B30">
      <formula1>""</formula1>
    </dataValidation>
    <dataValidation type="list" showInputMessage="1" showErrorMessage="1" sqref="C30">
      <formula1>"n,y"</formula1>
    </dataValidation>
    <dataValidation type="list" showInputMessage="1" showErrorMessage="1" sqref="D30">
      <formula1>"n,y"</formula1>
    </dataValidation>
    <dataValidation type="list" showInputMessage="1" showErrorMessage="1" sqref="E30">
      <formula1>"n,y"</formula1>
    </dataValidation>
    <dataValidation type="list" showInputMessage="1" showErrorMessage="1" sqref="F30">
      <formula1>"n,y"</formula1>
    </dataValidation>
    <dataValidation type="list" showInputMessage="1" showErrorMessage="1" sqref="G30">
      <formula1>"n,y"</formula1>
    </dataValidation>
    <dataValidation type="list" showInputMessage="1" showErrorMessage="1" sqref="H30">
      <formula1>"n,y"</formula1>
    </dataValidation>
    <dataValidation type="list" showInputMessage="1" showErrorMessage="1" sqref="I30">
      <formula1>"n,y"</formula1>
    </dataValidation>
    <dataValidation type="list" showInputMessage="1" showErrorMessage="1" sqref="J30">
      <formula1>"n,y"</formula1>
    </dataValidation>
    <dataValidation type="list" showInputMessage="1" showErrorMessage="1" sqref="K30">
      <formula1>"n,y"</formula1>
    </dataValidation>
    <dataValidation type="list" showInputMessage="1" showErrorMessage="1" sqref="L30">
      <formula1>"n,y"</formula1>
    </dataValidation>
    <dataValidation type="list" showInputMessage="1" showErrorMessage="1" sqref="M30">
      <formula1>"n,y"</formula1>
    </dataValidation>
    <dataValidation type="list" showInputMessage="1" showErrorMessage="1" sqref="B31">
      <formula1>"n,y"</formula1>
    </dataValidation>
    <dataValidation type="list" showInputMessage="1" showErrorMessage="1" sqref="C31">
      <formula1>""</formula1>
    </dataValidation>
    <dataValidation type="list" showInputMessage="1" showErrorMessage="1" sqref="D31">
      <formula1>"n,y"</formula1>
    </dataValidation>
    <dataValidation type="list" showInputMessage="1" showErrorMessage="1" sqref="E31">
      <formula1>"n,y"</formula1>
    </dataValidation>
    <dataValidation type="list" showInputMessage="1" showErrorMessage="1" sqref="F31">
      <formula1>"n,y"</formula1>
    </dataValidation>
    <dataValidation type="list" showInputMessage="1" showErrorMessage="1" sqref="G31">
      <formula1>"n,y"</formula1>
    </dataValidation>
    <dataValidation type="list" showInputMessage="1" showErrorMessage="1" sqref="H31">
      <formula1>"n,y"</formula1>
    </dataValidation>
    <dataValidation type="list" showInputMessage="1" showErrorMessage="1" sqref="I31">
      <formula1>"n,y"</formula1>
    </dataValidation>
    <dataValidation type="list" showInputMessage="1" showErrorMessage="1" sqref="J31">
      <formula1>"n,y"</formula1>
    </dataValidation>
    <dataValidation type="list" showInputMessage="1" showErrorMessage="1" sqref="K31">
      <formula1>"n,y"</formula1>
    </dataValidation>
    <dataValidation type="list" showInputMessage="1" showErrorMessage="1" sqref="L31">
      <formula1>"n,y"</formula1>
    </dataValidation>
    <dataValidation type="list" showInputMessage="1" showErrorMessage="1" sqref="M31">
      <formula1>"n,y"</formula1>
    </dataValidation>
    <dataValidation type="list" showInputMessage="1" showErrorMessage="1" sqref="B32">
      <formula1>"n,y"</formula1>
    </dataValidation>
    <dataValidation type="list" showInputMessage="1" showErrorMessage="1" sqref="C32">
      <formula1>"n,y"</formula1>
    </dataValidation>
    <dataValidation type="list" showInputMessage="1" showErrorMessage="1" sqref="D32">
      <formula1>""</formula1>
    </dataValidation>
    <dataValidation type="list" showInputMessage="1" showErrorMessage="1" sqref="E32">
      <formula1>"n,y"</formula1>
    </dataValidation>
    <dataValidation type="list" showInputMessage="1" showErrorMessage="1" sqref="F32">
      <formula1>"n,y"</formula1>
    </dataValidation>
    <dataValidation type="list" showInputMessage="1" showErrorMessage="1" sqref="G32">
      <formula1>"n,y"</formula1>
    </dataValidation>
    <dataValidation type="list" showInputMessage="1" showErrorMessage="1" sqref="H32">
      <formula1>"n,y"</formula1>
    </dataValidation>
    <dataValidation type="list" showInputMessage="1" showErrorMessage="1" sqref="I32">
      <formula1>"n,y"</formula1>
    </dataValidation>
    <dataValidation type="list" showInputMessage="1" showErrorMessage="1" sqref="J32">
      <formula1>"n,y"</formula1>
    </dataValidation>
    <dataValidation type="list" showInputMessage="1" showErrorMessage="1" sqref="K32">
      <formula1>"n,y"</formula1>
    </dataValidation>
    <dataValidation type="list" showInputMessage="1" showErrorMessage="1" sqref="L32">
      <formula1>"n,y"</formula1>
    </dataValidation>
    <dataValidation type="list" showInputMessage="1" showErrorMessage="1" sqref="M32">
      <formula1>"n,y"</formula1>
    </dataValidation>
    <dataValidation type="list" showInputMessage="1" showErrorMessage="1" sqref="B33">
      <formula1>"n,y"</formula1>
    </dataValidation>
    <dataValidation type="list" showInputMessage="1" showErrorMessage="1" sqref="C33">
      <formula1>"n,y"</formula1>
    </dataValidation>
    <dataValidation type="list" showInputMessage="1" showErrorMessage="1" sqref="D33">
      <formula1>"n,y"</formula1>
    </dataValidation>
    <dataValidation type="list" showInputMessage="1" showErrorMessage="1" sqref="E33">
      <formula1>""</formula1>
    </dataValidation>
    <dataValidation type="list" showInputMessage="1" showErrorMessage="1" sqref="F33">
      <formula1>"n,y"</formula1>
    </dataValidation>
    <dataValidation type="list" showInputMessage="1" showErrorMessage="1" sqref="G33">
      <formula1>"n,y"</formula1>
    </dataValidation>
    <dataValidation type="list" showInputMessage="1" showErrorMessage="1" sqref="H33">
      <formula1>"n,y"</formula1>
    </dataValidation>
    <dataValidation type="list" showInputMessage="1" showErrorMessage="1" sqref="I33">
      <formula1>"n,y"</formula1>
    </dataValidation>
    <dataValidation type="list" showInputMessage="1" showErrorMessage="1" sqref="J33">
      <formula1>"n,y"</formula1>
    </dataValidation>
    <dataValidation type="list" showInputMessage="1" showErrorMessage="1" sqref="K33">
      <formula1>"n,y"</formula1>
    </dataValidation>
    <dataValidation type="list" showInputMessage="1" showErrorMessage="1" sqref="L33">
      <formula1>"n,y"</formula1>
    </dataValidation>
    <dataValidation type="list" showInputMessage="1" showErrorMessage="1" sqref="M33">
      <formula1>"n,y"</formula1>
    </dataValidation>
    <dataValidation type="list" showInputMessage="1" showErrorMessage="1" sqref="B34">
      <formula1>"n,y"</formula1>
    </dataValidation>
    <dataValidation type="list" showInputMessage="1" showErrorMessage="1" sqref="C34">
      <formula1>"n,y"</formula1>
    </dataValidation>
    <dataValidation type="list" showInputMessage="1" showErrorMessage="1" sqref="D34">
      <formula1>"n,y"</formula1>
    </dataValidation>
    <dataValidation type="list" showInputMessage="1" showErrorMessage="1" sqref="E34">
      <formula1>"n,y"</formula1>
    </dataValidation>
    <dataValidation type="list" showInputMessage="1" showErrorMessage="1" sqref="F34">
      <formula1>""</formula1>
    </dataValidation>
    <dataValidation type="list" showInputMessage="1" showErrorMessage="1" sqref="G34">
      <formula1>"n,y"</formula1>
    </dataValidation>
    <dataValidation type="list" showInputMessage="1" showErrorMessage="1" sqref="H34">
      <formula1>"n,y"</formula1>
    </dataValidation>
    <dataValidation type="list" showInputMessage="1" showErrorMessage="1" sqref="I34">
      <formula1>"n,y"</formula1>
    </dataValidation>
    <dataValidation type="list" showInputMessage="1" showErrorMessage="1" sqref="J34">
      <formula1>"n,y"</formula1>
    </dataValidation>
    <dataValidation type="list" showInputMessage="1" showErrorMessage="1" sqref="K34">
      <formula1>"n,y"</formula1>
    </dataValidation>
    <dataValidation type="list" showInputMessage="1" showErrorMessage="1" sqref="L34">
      <formula1>"n,y"</formula1>
    </dataValidation>
    <dataValidation type="list" showInputMessage="1" showErrorMessage="1" sqref="M34">
      <formula1>"n,y"</formula1>
    </dataValidation>
    <dataValidation type="list" showInputMessage="1" showErrorMessage="1" sqref="B35">
      <formula1>"n,y"</formula1>
    </dataValidation>
    <dataValidation type="list" showInputMessage="1" showErrorMessage="1" sqref="C35">
      <formula1>"n,y"</formula1>
    </dataValidation>
    <dataValidation type="list" showInputMessage="1" showErrorMessage="1" sqref="D35">
      <formula1>"n,y"</formula1>
    </dataValidation>
    <dataValidation type="list" showInputMessage="1" showErrorMessage="1" sqref="E35">
      <formula1>"n,y"</formula1>
    </dataValidation>
    <dataValidation type="list" showInputMessage="1" showErrorMessage="1" sqref="F35">
      <formula1>"n,y"</formula1>
    </dataValidation>
    <dataValidation type="list" showInputMessage="1" showErrorMessage="1" sqref="G35">
      <formula1>""</formula1>
    </dataValidation>
    <dataValidation type="list" showInputMessage="1" showErrorMessage="1" sqref="H35">
      <formula1>"n,y"</formula1>
    </dataValidation>
    <dataValidation type="list" showInputMessage="1" showErrorMessage="1" sqref="I35">
      <formula1>"n,y"</formula1>
    </dataValidation>
    <dataValidation type="list" showInputMessage="1" showErrorMessage="1" sqref="J35">
      <formula1>"n,y"</formula1>
    </dataValidation>
    <dataValidation type="list" showInputMessage="1" showErrorMessage="1" sqref="K35">
      <formula1>"n,y"</formula1>
    </dataValidation>
    <dataValidation type="list" showInputMessage="1" showErrorMessage="1" sqref="L35">
      <formula1>"n,y"</formula1>
    </dataValidation>
    <dataValidation type="list" showInputMessage="1" showErrorMessage="1" sqref="M35">
      <formula1>"n,y"</formula1>
    </dataValidation>
    <dataValidation type="list" showInputMessage="1" showErrorMessage="1" sqref="B36">
      <formula1>"n,y"</formula1>
    </dataValidation>
    <dataValidation type="list" showInputMessage="1" showErrorMessage="1" sqref="C36">
      <formula1>"n,y"</formula1>
    </dataValidation>
    <dataValidation type="list" showInputMessage="1" showErrorMessage="1" sqref="D36">
      <formula1>"n,y"</formula1>
    </dataValidation>
    <dataValidation type="list" showInputMessage="1" showErrorMessage="1" sqref="E36">
      <formula1>"n,y"</formula1>
    </dataValidation>
    <dataValidation type="list" showInputMessage="1" showErrorMessage="1" sqref="F36">
      <formula1>"n,y"</formula1>
    </dataValidation>
    <dataValidation type="list" showInputMessage="1" showErrorMessage="1" sqref="G36">
      <formula1>"n,y"</formula1>
    </dataValidation>
    <dataValidation type="list" showInputMessage="1" showErrorMessage="1" sqref="H36">
      <formula1>""</formula1>
    </dataValidation>
    <dataValidation type="list" showInputMessage="1" showErrorMessage="1" sqref="I36">
      <formula1>"n,y"</formula1>
    </dataValidation>
    <dataValidation type="list" showInputMessage="1" showErrorMessage="1" sqref="J36">
      <formula1>"n,y"</formula1>
    </dataValidation>
    <dataValidation type="list" showInputMessage="1" showErrorMessage="1" sqref="K36">
      <formula1>"n,y"</formula1>
    </dataValidation>
    <dataValidation type="list" showInputMessage="1" showErrorMessage="1" sqref="L36">
      <formula1>"n,y"</formula1>
    </dataValidation>
    <dataValidation type="list" showInputMessage="1" showErrorMessage="1" sqref="M36">
      <formula1>"n,y"</formula1>
    </dataValidation>
    <dataValidation type="list" showInputMessage="1" showErrorMessage="1" sqref="B37">
      <formula1>"n,y"</formula1>
    </dataValidation>
    <dataValidation type="list" showInputMessage="1" showErrorMessage="1" sqref="C37">
      <formula1>"n,y"</formula1>
    </dataValidation>
    <dataValidation type="list" showInputMessage="1" showErrorMessage="1" sqref="D37">
      <formula1>"n,y"</formula1>
    </dataValidation>
    <dataValidation type="list" showInputMessage="1" showErrorMessage="1" sqref="E37">
      <formula1>"n,y"</formula1>
    </dataValidation>
    <dataValidation type="list" showInputMessage="1" showErrorMessage="1" sqref="F37">
      <formula1>"n,y"</formula1>
    </dataValidation>
    <dataValidation type="list" showInputMessage="1" showErrorMessage="1" sqref="G37">
      <formula1>"n,y"</formula1>
    </dataValidation>
    <dataValidation type="list" showInputMessage="1" showErrorMessage="1" sqref="H37">
      <formula1>"n,y"</formula1>
    </dataValidation>
    <dataValidation type="list" showInputMessage="1" showErrorMessage="1" sqref="I37">
      <formula1>""</formula1>
    </dataValidation>
    <dataValidation type="list" showInputMessage="1" showErrorMessage="1" sqref="J37">
      <formula1>"n,y"</formula1>
    </dataValidation>
    <dataValidation type="list" showInputMessage="1" showErrorMessage="1" sqref="K37">
      <formula1>"n,y"</formula1>
    </dataValidation>
    <dataValidation type="list" showInputMessage="1" showErrorMessage="1" sqref="L37">
      <formula1>"n,y"</formula1>
    </dataValidation>
    <dataValidation type="list" showInputMessage="1" showErrorMessage="1" sqref="M37">
      <formula1>"n,y"</formula1>
    </dataValidation>
    <dataValidation type="list" showInputMessage="1" showErrorMessage="1" sqref="B38">
      <formula1>"n,y"</formula1>
    </dataValidation>
    <dataValidation type="list" showInputMessage="1" showErrorMessage="1" sqref="C38">
      <formula1>"n,y"</formula1>
    </dataValidation>
    <dataValidation type="list" showInputMessage="1" showErrorMessage="1" sqref="D38">
      <formula1>"n,y"</formula1>
    </dataValidation>
    <dataValidation type="list" showInputMessage="1" showErrorMessage="1" sqref="E38">
      <formula1>"n,y"</formula1>
    </dataValidation>
    <dataValidation type="list" showInputMessage="1" showErrorMessage="1" sqref="F38">
      <formula1>"n,y"</formula1>
    </dataValidation>
    <dataValidation type="list" showInputMessage="1" showErrorMessage="1" sqref="G38">
      <formula1>"n,y"</formula1>
    </dataValidation>
    <dataValidation type="list" showInputMessage="1" showErrorMessage="1" sqref="H38">
      <formula1>"n,y"</formula1>
    </dataValidation>
    <dataValidation type="list" showInputMessage="1" showErrorMessage="1" sqref="I38">
      <formula1>"n,y"</formula1>
    </dataValidation>
    <dataValidation type="list" showInputMessage="1" showErrorMessage="1" sqref="J38">
      <formula1>""</formula1>
    </dataValidation>
    <dataValidation type="list" showInputMessage="1" showErrorMessage="1" sqref="K38">
      <formula1>"n,y"</formula1>
    </dataValidation>
    <dataValidation type="list" showInputMessage="1" showErrorMessage="1" sqref="L38">
      <formula1>"n,y"</formula1>
    </dataValidation>
    <dataValidation type="list" showInputMessage="1" showErrorMessage="1" sqref="M38">
      <formula1>"n,y"</formula1>
    </dataValidation>
    <dataValidation type="list" showInputMessage="1" showErrorMessage="1" sqref="B39">
      <formula1>"n,y"</formula1>
    </dataValidation>
    <dataValidation type="list" showInputMessage="1" showErrorMessage="1" sqref="C39">
      <formula1>"n,y"</formula1>
    </dataValidation>
    <dataValidation type="list" showInputMessage="1" showErrorMessage="1" sqref="D39">
      <formula1>"n,y"</formula1>
    </dataValidation>
    <dataValidation type="list" showInputMessage="1" showErrorMessage="1" sqref="E39">
      <formula1>"n,y"</formula1>
    </dataValidation>
    <dataValidation type="list" showInputMessage="1" showErrorMessage="1" sqref="F39">
      <formula1>"n,y"</formula1>
    </dataValidation>
    <dataValidation type="list" showInputMessage="1" showErrorMessage="1" sqref="G39">
      <formula1>"n,y"</formula1>
    </dataValidation>
    <dataValidation type="list" showInputMessage="1" showErrorMessage="1" sqref="H39">
      <formula1>"n,y"</formula1>
    </dataValidation>
    <dataValidation type="list" showInputMessage="1" showErrorMessage="1" sqref="I39">
      <formula1>"n,y"</formula1>
    </dataValidation>
    <dataValidation type="list" showInputMessage="1" showErrorMessage="1" sqref="J39">
      <formula1>"n,y"</formula1>
    </dataValidation>
    <dataValidation type="list" showInputMessage="1" showErrorMessage="1" sqref="K39">
      <formula1>""</formula1>
    </dataValidation>
    <dataValidation type="list" showInputMessage="1" showErrorMessage="1" sqref="L39">
      <formula1>"n,y"</formula1>
    </dataValidation>
    <dataValidation type="list" showInputMessage="1" showErrorMessage="1" sqref="M39">
      <formula1>"n,y"</formula1>
    </dataValidation>
    <dataValidation type="list" showInputMessage="1" showErrorMessage="1" sqref="B40">
      <formula1>"n,y"</formula1>
    </dataValidation>
    <dataValidation type="list" showInputMessage="1" showErrorMessage="1" sqref="C40">
      <formula1>"n,y"</formula1>
    </dataValidation>
    <dataValidation type="list" showInputMessage="1" showErrorMessage="1" sqref="D40">
      <formula1>"n,y"</formula1>
    </dataValidation>
    <dataValidation type="list" showInputMessage="1" showErrorMessage="1" sqref="E40">
      <formula1>"n,y"</formula1>
    </dataValidation>
    <dataValidation type="list" showInputMessage="1" showErrorMessage="1" sqref="F40">
      <formula1>"n,y"</formula1>
    </dataValidation>
    <dataValidation type="list" showInputMessage="1" showErrorMessage="1" sqref="G40">
      <formula1>"n,y"</formula1>
    </dataValidation>
    <dataValidation type="list" showInputMessage="1" showErrorMessage="1" sqref="H40">
      <formula1>"n,y"</formula1>
    </dataValidation>
    <dataValidation type="list" showInputMessage="1" showErrorMessage="1" sqref="I40">
      <formula1>"n,y"</formula1>
    </dataValidation>
    <dataValidation type="list" showInputMessage="1" showErrorMessage="1" sqref="J40">
      <formula1>"n,y"</formula1>
    </dataValidation>
    <dataValidation type="list" showInputMessage="1" showErrorMessage="1" sqref="K40">
      <formula1>"n,y"</formula1>
    </dataValidation>
    <dataValidation type="list" showInputMessage="1" showErrorMessage="1" sqref="L40">
      <formula1>""</formula1>
    </dataValidation>
    <dataValidation type="list" showInputMessage="1" showErrorMessage="1" sqref="M40">
      <formula1>"n,y"</formula1>
    </dataValidation>
    <dataValidation type="list" showInputMessage="1" showErrorMessage="1" sqref="B41">
      <formula1>"n,y"</formula1>
    </dataValidation>
    <dataValidation type="list" showInputMessage="1" showErrorMessage="1" sqref="C41">
      <formula1>"n,y"</formula1>
    </dataValidation>
    <dataValidation type="list" showInputMessage="1" showErrorMessage="1" sqref="D41">
      <formula1>"n,y"</formula1>
    </dataValidation>
    <dataValidation type="list" showInputMessage="1" showErrorMessage="1" sqref="E41">
      <formula1>"n,y"</formula1>
    </dataValidation>
    <dataValidation type="list" showInputMessage="1" showErrorMessage="1" sqref="F41">
      <formula1>"n,y"</formula1>
    </dataValidation>
    <dataValidation type="list" showInputMessage="1" showErrorMessage="1" sqref="G41">
      <formula1>"n,y"</formula1>
    </dataValidation>
    <dataValidation type="list" showInputMessage="1" showErrorMessage="1" sqref="H41">
      <formula1>"n,y"</formula1>
    </dataValidation>
    <dataValidation type="list" showInputMessage="1" showErrorMessage="1" sqref="I41">
      <formula1>"n,y"</formula1>
    </dataValidation>
    <dataValidation type="list" showInputMessage="1" showErrorMessage="1" sqref="J41">
      <formula1>"n,y"</formula1>
    </dataValidation>
    <dataValidation type="list" showInputMessage="1" showErrorMessage="1" sqref="K41">
      <formula1>"n,y"</formula1>
    </dataValidation>
    <dataValidation type="list" showInputMessage="1" showErrorMessage="1" sqref="L41">
      <formula1>"n,y"</formula1>
    </dataValidation>
    <dataValidation type="list" showInputMessage="1" showErrorMessage="1" sqref="M41">
      <formula1>""</formula1>
    </dataValidation>
    <dataValidation type="list" showInputMessage="1" showErrorMessage="1" sqref="B44">
      <formula1>""</formula1>
    </dataValidation>
    <dataValidation type="list" showInputMessage="1" showErrorMessage="1" sqref="C44">
      <formula1>"n,y"</formula1>
    </dataValidation>
    <dataValidation type="list" showInputMessage="1" showErrorMessage="1" sqref="D44">
      <formula1>"n,y"</formula1>
    </dataValidation>
    <dataValidation type="list" showInputMessage="1" showErrorMessage="1" sqref="E44">
      <formula1>"n,y"</formula1>
    </dataValidation>
    <dataValidation type="list" showInputMessage="1" showErrorMessage="1" sqref="F44">
      <formula1>"n,y"</formula1>
    </dataValidation>
    <dataValidation type="list" showInputMessage="1" showErrorMessage="1" sqref="G44">
      <formula1>"n,y"</formula1>
    </dataValidation>
    <dataValidation type="list" showInputMessage="1" showErrorMessage="1" sqref="H44">
      <formula1>"n,y"</formula1>
    </dataValidation>
    <dataValidation type="list" showInputMessage="1" showErrorMessage="1" sqref="I44">
      <formula1>"n,y"</formula1>
    </dataValidation>
    <dataValidation type="list" showInputMessage="1" showErrorMessage="1" sqref="J44">
      <formula1>"n,y"</formula1>
    </dataValidation>
    <dataValidation type="list" showInputMessage="1" showErrorMessage="1" sqref="K44">
      <formula1>"n,y"</formula1>
    </dataValidation>
    <dataValidation type="list" showInputMessage="1" showErrorMessage="1" sqref="L44">
      <formula1>"n,y"</formula1>
    </dataValidation>
    <dataValidation type="list" showInputMessage="1" showErrorMessage="1" sqref="M44">
      <formula1>"n,y"</formula1>
    </dataValidation>
    <dataValidation type="list" showInputMessage="1" showErrorMessage="1" sqref="B45">
      <formula1>"n,y"</formula1>
    </dataValidation>
    <dataValidation type="list" showInputMessage="1" showErrorMessage="1" sqref="C45">
      <formula1>""</formula1>
    </dataValidation>
    <dataValidation type="list" showInputMessage="1" showErrorMessage="1" sqref="D45">
      <formula1>"n,y"</formula1>
    </dataValidation>
    <dataValidation type="list" showInputMessage="1" showErrorMessage="1" sqref="E45">
      <formula1>"n,y"</formula1>
    </dataValidation>
    <dataValidation type="list" showInputMessage="1" showErrorMessage="1" sqref="F45">
      <formula1>"n,y"</formula1>
    </dataValidation>
    <dataValidation type="list" showInputMessage="1" showErrorMessage="1" sqref="G45">
      <formula1>"n,y"</formula1>
    </dataValidation>
    <dataValidation type="list" showInputMessage="1" showErrorMessage="1" sqref="H45">
      <formula1>"n,y"</formula1>
    </dataValidation>
    <dataValidation type="list" showInputMessage="1" showErrorMessage="1" sqref="I45">
      <formula1>"n,y"</formula1>
    </dataValidation>
    <dataValidation type="list" showInputMessage="1" showErrorMessage="1" sqref="J45">
      <formula1>"n,y"</formula1>
    </dataValidation>
    <dataValidation type="list" showInputMessage="1" showErrorMessage="1" sqref="K45">
      <formula1>"n,y"</formula1>
    </dataValidation>
    <dataValidation type="list" showInputMessage="1" showErrorMessage="1" sqref="L45">
      <formula1>"n,y"</formula1>
    </dataValidation>
    <dataValidation type="list" showInputMessage="1" showErrorMessage="1" sqref="M45">
      <formula1>"n,y"</formula1>
    </dataValidation>
    <dataValidation type="list" showInputMessage="1" showErrorMessage="1" sqref="B46">
      <formula1>"n,y"</formula1>
    </dataValidation>
    <dataValidation type="list" showInputMessage="1" showErrorMessage="1" sqref="C46">
      <formula1>"n,y"</formula1>
    </dataValidation>
    <dataValidation type="list" showInputMessage="1" showErrorMessage="1" sqref="D46">
      <formula1>""</formula1>
    </dataValidation>
    <dataValidation type="list" showInputMessage="1" showErrorMessage="1" sqref="E46">
      <formula1>"n,y"</formula1>
    </dataValidation>
    <dataValidation type="list" showInputMessage="1" showErrorMessage="1" sqref="F46">
      <formula1>"n,y"</formula1>
    </dataValidation>
    <dataValidation type="list" showInputMessage="1" showErrorMessage="1" sqref="G46">
      <formula1>"n,y"</formula1>
    </dataValidation>
    <dataValidation type="list" showInputMessage="1" showErrorMessage="1" sqref="H46">
      <formula1>"n,y"</formula1>
    </dataValidation>
    <dataValidation type="list" showInputMessage="1" showErrorMessage="1" sqref="I46">
      <formula1>"n,y"</formula1>
    </dataValidation>
    <dataValidation type="list" showInputMessage="1" showErrorMessage="1" sqref="J46">
      <formula1>"n,y"</formula1>
    </dataValidation>
    <dataValidation type="list" showInputMessage="1" showErrorMessage="1" sqref="K46">
      <formula1>"n,y"</formula1>
    </dataValidation>
    <dataValidation type="list" showInputMessage="1" showErrorMessage="1" sqref="L46">
      <formula1>"n,y"</formula1>
    </dataValidation>
    <dataValidation type="list" showInputMessage="1" showErrorMessage="1" sqref="M46">
      <formula1>"n,y"</formula1>
    </dataValidation>
    <dataValidation type="list" showInputMessage="1" showErrorMessage="1" sqref="B47">
      <formula1>"n,y"</formula1>
    </dataValidation>
    <dataValidation type="list" showInputMessage="1" showErrorMessage="1" sqref="C47">
      <formula1>"n,y"</formula1>
    </dataValidation>
    <dataValidation type="list" showInputMessage="1" showErrorMessage="1" sqref="D47">
      <formula1>"n,y"</formula1>
    </dataValidation>
    <dataValidation type="list" showInputMessage="1" showErrorMessage="1" sqref="E47">
      <formula1>""</formula1>
    </dataValidation>
    <dataValidation type="list" showInputMessage="1" showErrorMessage="1" sqref="F47">
      <formula1>"n,y"</formula1>
    </dataValidation>
    <dataValidation type="list" showInputMessage="1" showErrorMessage="1" sqref="G47">
      <formula1>"n,y"</formula1>
    </dataValidation>
    <dataValidation type="list" showInputMessage="1" showErrorMessage="1" sqref="H47">
      <formula1>"n,y"</formula1>
    </dataValidation>
    <dataValidation type="list" showInputMessage="1" showErrorMessage="1" sqref="I47">
      <formula1>"n,y"</formula1>
    </dataValidation>
    <dataValidation type="list" showInputMessage="1" showErrorMessage="1" sqref="J47">
      <formula1>"n,y"</formula1>
    </dataValidation>
    <dataValidation type="list" showInputMessage="1" showErrorMessage="1" sqref="K47">
      <formula1>"n,y"</formula1>
    </dataValidation>
    <dataValidation type="list" showInputMessage="1" showErrorMessage="1" sqref="L47">
      <formula1>"n,y"</formula1>
    </dataValidation>
    <dataValidation type="list" showInputMessage="1" showErrorMessage="1" sqref="M47">
      <formula1>"n,y"</formula1>
    </dataValidation>
    <dataValidation type="list" showInputMessage="1" showErrorMessage="1" sqref="B48">
      <formula1>"n,y"</formula1>
    </dataValidation>
    <dataValidation type="list" showInputMessage="1" showErrorMessage="1" sqref="C48">
      <formula1>"n,y"</formula1>
    </dataValidation>
    <dataValidation type="list" showInputMessage="1" showErrorMessage="1" sqref="D48">
      <formula1>"n,y"</formula1>
    </dataValidation>
    <dataValidation type="list" showInputMessage="1" showErrorMessage="1" sqref="E48">
      <formula1>"n,y"</formula1>
    </dataValidation>
    <dataValidation type="list" showInputMessage="1" showErrorMessage="1" sqref="F48">
      <formula1>""</formula1>
    </dataValidation>
    <dataValidation type="list" showInputMessage="1" showErrorMessage="1" sqref="G48">
      <formula1>"n,y"</formula1>
    </dataValidation>
    <dataValidation type="list" showInputMessage="1" showErrorMessage="1" sqref="H48">
      <formula1>"n,y"</formula1>
    </dataValidation>
    <dataValidation type="list" showInputMessage="1" showErrorMessage="1" sqref="I48">
      <formula1>"n,y"</formula1>
    </dataValidation>
    <dataValidation type="list" showInputMessage="1" showErrorMessage="1" sqref="J48">
      <formula1>"n,y"</formula1>
    </dataValidation>
    <dataValidation type="list" showInputMessage="1" showErrorMessage="1" sqref="K48">
      <formula1>"n,y"</formula1>
    </dataValidation>
    <dataValidation type="list" showInputMessage="1" showErrorMessage="1" sqref="L48">
      <formula1>"n,y"</formula1>
    </dataValidation>
    <dataValidation type="list" showInputMessage="1" showErrorMessage="1" sqref="M48">
      <formula1>"n,y"</formula1>
    </dataValidation>
    <dataValidation type="list" showInputMessage="1" showErrorMessage="1" sqref="B49">
      <formula1>"n,y"</formula1>
    </dataValidation>
    <dataValidation type="list" showInputMessage="1" showErrorMessage="1" sqref="C49">
      <formula1>"n,y"</formula1>
    </dataValidation>
    <dataValidation type="list" showInputMessage="1" showErrorMessage="1" sqref="D49">
      <formula1>"n,y"</formula1>
    </dataValidation>
    <dataValidation type="list" showInputMessage="1" showErrorMessage="1" sqref="E49">
      <formula1>"n,y"</formula1>
    </dataValidation>
    <dataValidation type="list" showInputMessage="1" showErrorMessage="1" sqref="F49">
      <formula1>"n,y"</formula1>
    </dataValidation>
    <dataValidation type="list" showInputMessage="1" showErrorMessage="1" sqref="G49">
      <formula1>""</formula1>
    </dataValidation>
    <dataValidation type="list" showInputMessage="1" showErrorMessage="1" sqref="H49">
      <formula1>"n,y"</formula1>
    </dataValidation>
    <dataValidation type="list" showInputMessage="1" showErrorMessage="1" sqref="I49">
      <formula1>"n,y"</formula1>
    </dataValidation>
    <dataValidation type="list" showInputMessage="1" showErrorMessage="1" sqref="J49">
      <formula1>"n,y"</formula1>
    </dataValidation>
    <dataValidation type="list" showInputMessage="1" showErrorMessage="1" sqref="K49">
      <formula1>"n,y"</formula1>
    </dataValidation>
    <dataValidation type="list" showInputMessage="1" showErrorMessage="1" sqref="L49">
      <formula1>"n,y"</formula1>
    </dataValidation>
    <dataValidation type="list" showInputMessage="1" showErrorMessage="1" sqref="M49">
      <formula1>"n,y"</formula1>
    </dataValidation>
    <dataValidation type="list" showInputMessage="1" showErrorMessage="1" sqref="B50">
      <formula1>"n,y"</formula1>
    </dataValidation>
    <dataValidation type="list" showInputMessage="1" showErrorMessage="1" sqref="C50">
      <formula1>"n,y"</formula1>
    </dataValidation>
    <dataValidation type="list" showInputMessage="1" showErrorMessage="1" sqref="D50">
      <formula1>"n,y"</formula1>
    </dataValidation>
    <dataValidation type="list" showInputMessage="1" showErrorMessage="1" sqref="E50">
      <formula1>"n,y"</formula1>
    </dataValidation>
    <dataValidation type="list" showInputMessage="1" showErrorMessage="1" sqref="F50">
      <formula1>"n,y"</formula1>
    </dataValidation>
    <dataValidation type="list" showInputMessage="1" showErrorMessage="1" sqref="G50">
      <formula1>"n,y"</formula1>
    </dataValidation>
    <dataValidation type="list" showInputMessage="1" showErrorMessage="1" sqref="H50">
      <formula1>""</formula1>
    </dataValidation>
    <dataValidation type="list" showInputMessage="1" showErrorMessage="1" sqref="I50">
      <formula1>"n,y"</formula1>
    </dataValidation>
    <dataValidation type="list" showInputMessage="1" showErrorMessage="1" sqref="J50">
      <formula1>"n,y"</formula1>
    </dataValidation>
    <dataValidation type="list" showInputMessage="1" showErrorMessage="1" sqref="K50">
      <formula1>"n,y"</formula1>
    </dataValidation>
    <dataValidation type="list" showInputMessage="1" showErrorMessage="1" sqref="L50">
      <formula1>"n,y"</formula1>
    </dataValidation>
    <dataValidation type="list" showInputMessage="1" showErrorMessage="1" sqref="M50">
      <formula1>"n,y"</formula1>
    </dataValidation>
    <dataValidation type="list" showInputMessage="1" showErrorMessage="1" sqref="B51">
      <formula1>"n,y"</formula1>
    </dataValidation>
    <dataValidation type="list" showInputMessage="1" showErrorMessage="1" sqref="C51">
      <formula1>"n,y"</formula1>
    </dataValidation>
    <dataValidation type="list" showInputMessage="1" showErrorMessage="1" sqref="D51">
      <formula1>"n,y"</formula1>
    </dataValidation>
    <dataValidation type="list" showInputMessage="1" showErrorMessage="1" sqref="E51">
      <formula1>"n,y"</formula1>
    </dataValidation>
    <dataValidation type="list" showInputMessage="1" showErrorMessage="1" sqref="F51">
      <formula1>"n,y"</formula1>
    </dataValidation>
    <dataValidation type="list" showInputMessage="1" showErrorMessage="1" sqref="G51">
      <formula1>"n,y"</formula1>
    </dataValidation>
    <dataValidation type="list" showInputMessage="1" showErrorMessage="1" sqref="H51">
      <formula1>"n,y"</formula1>
    </dataValidation>
    <dataValidation type="list" showInputMessage="1" showErrorMessage="1" sqref="I51">
      <formula1>""</formula1>
    </dataValidation>
    <dataValidation type="list" showInputMessage="1" showErrorMessage="1" sqref="J51">
      <formula1>"n,y"</formula1>
    </dataValidation>
    <dataValidation type="list" showInputMessage="1" showErrorMessage="1" sqref="K51">
      <formula1>"n,y"</formula1>
    </dataValidation>
    <dataValidation type="list" showInputMessage="1" showErrorMessage="1" sqref="L51">
      <formula1>"n,y"</formula1>
    </dataValidation>
    <dataValidation type="list" showInputMessage="1" showErrorMessage="1" sqref="M51">
      <formula1>"n,y"</formula1>
    </dataValidation>
    <dataValidation type="list" showInputMessage="1" showErrorMessage="1" sqref="B52">
      <formula1>"n,y"</formula1>
    </dataValidation>
    <dataValidation type="list" showInputMessage="1" showErrorMessage="1" sqref="C52">
      <formula1>"n,y"</formula1>
    </dataValidation>
    <dataValidation type="list" showInputMessage="1" showErrorMessage="1" sqref="D52">
      <formula1>"n,y"</formula1>
    </dataValidation>
    <dataValidation type="list" showInputMessage="1" showErrorMessage="1" sqref="E52">
      <formula1>"n,y"</formula1>
    </dataValidation>
    <dataValidation type="list" showInputMessage="1" showErrorMessage="1" sqref="F52">
      <formula1>"n,y"</formula1>
    </dataValidation>
    <dataValidation type="list" showInputMessage="1" showErrorMessage="1" sqref="G52">
      <formula1>"n,y"</formula1>
    </dataValidation>
    <dataValidation type="list" showInputMessage="1" showErrorMessage="1" sqref="H52">
      <formula1>"n,y"</formula1>
    </dataValidation>
    <dataValidation type="list" showInputMessage="1" showErrorMessage="1" sqref="I52">
      <formula1>"n,y"</formula1>
    </dataValidation>
    <dataValidation type="list" showInputMessage="1" showErrorMessage="1" sqref="J52">
      <formula1>""</formula1>
    </dataValidation>
    <dataValidation type="list" showInputMessage="1" showErrorMessage="1" sqref="K52">
      <formula1>"n,y"</formula1>
    </dataValidation>
    <dataValidation type="list" showInputMessage="1" showErrorMessage="1" sqref="L52">
      <formula1>"n,y"</formula1>
    </dataValidation>
    <dataValidation type="list" showInputMessage="1" showErrorMessage="1" sqref="M52">
      <formula1>"n,y"</formula1>
    </dataValidation>
    <dataValidation type="list" showInputMessage="1" showErrorMessage="1" sqref="B53">
      <formula1>"n,y"</formula1>
    </dataValidation>
    <dataValidation type="list" showInputMessage="1" showErrorMessage="1" sqref="C53">
      <formula1>"n,y"</formula1>
    </dataValidation>
    <dataValidation type="list" showInputMessage="1" showErrorMessage="1" sqref="D53">
      <formula1>"n,y"</formula1>
    </dataValidation>
    <dataValidation type="list" showInputMessage="1" showErrorMessage="1" sqref="E53">
      <formula1>"n,y"</formula1>
    </dataValidation>
    <dataValidation type="list" showInputMessage="1" showErrorMessage="1" sqref="F53">
      <formula1>"n,y"</formula1>
    </dataValidation>
    <dataValidation type="list" showInputMessage="1" showErrorMessage="1" sqref="G53">
      <formula1>"n,y"</formula1>
    </dataValidation>
    <dataValidation type="list" showInputMessage="1" showErrorMessage="1" sqref="H53">
      <formula1>"n,y"</formula1>
    </dataValidation>
    <dataValidation type="list" showInputMessage="1" showErrorMessage="1" sqref="I53">
      <formula1>"n,y"</formula1>
    </dataValidation>
    <dataValidation type="list" showInputMessage="1" showErrorMessage="1" sqref="J53">
      <formula1>"n,y"</formula1>
    </dataValidation>
    <dataValidation type="list" showInputMessage="1" showErrorMessage="1" sqref="K53">
      <formula1>""</formula1>
    </dataValidation>
    <dataValidation type="list" showInputMessage="1" showErrorMessage="1" sqref="L53">
      <formula1>"n,y"</formula1>
    </dataValidation>
    <dataValidation type="list" showInputMessage="1" showErrorMessage="1" sqref="M53">
      <formula1>"n,y"</formula1>
    </dataValidation>
    <dataValidation type="list" showInputMessage="1" showErrorMessage="1" sqref="B54">
      <formula1>"n,y"</formula1>
    </dataValidation>
    <dataValidation type="list" showInputMessage="1" showErrorMessage="1" sqref="C54">
      <formula1>"n,y"</formula1>
    </dataValidation>
    <dataValidation type="list" showInputMessage="1" showErrorMessage="1" sqref="D54">
      <formula1>"n,y"</formula1>
    </dataValidation>
    <dataValidation type="list" showInputMessage="1" showErrorMessage="1" sqref="E54">
      <formula1>"n,y"</formula1>
    </dataValidation>
    <dataValidation type="list" showInputMessage="1" showErrorMessage="1" sqref="F54">
      <formula1>"n,y"</formula1>
    </dataValidation>
    <dataValidation type="list" showInputMessage="1" showErrorMessage="1" sqref="G54">
      <formula1>"n,y"</formula1>
    </dataValidation>
    <dataValidation type="list" showInputMessage="1" showErrorMessage="1" sqref="H54">
      <formula1>"n,y"</formula1>
    </dataValidation>
    <dataValidation type="list" showInputMessage="1" showErrorMessage="1" sqref="I54">
      <formula1>"n,y"</formula1>
    </dataValidation>
    <dataValidation type="list" showInputMessage="1" showErrorMessage="1" sqref="J54">
      <formula1>"n,y"</formula1>
    </dataValidation>
    <dataValidation type="list" showInputMessage="1" showErrorMessage="1" sqref="K54">
      <formula1>"n,y"</formula1>
    </dataValidation>
    <dataValidation type="list" showInputMessage="1" showErrorMessage="1" sqref="L54">
      <formula1>""</formula1>
    </dataValidation>
    <dataValidation type="list" showInputMessage="1" showErrorMessage="1" sqref="M54">
      <formula1>"n,y"</formula1>
    </dataValidation>
    <dataValidation type="list" showInputMessage="1" showErrorMessage="1" sqref="B55">
      <formula1>"n,y"</formula1>
    </dataValidation>
    <dataValidation type="list" showInputMessage="1" showErrorMessage="1" sqref="C55">
      <formula1>"n,y"</formula1>
    </dataValidation>
    <dataValidation type="list" showInputMessage="1" showErrorMessage="1" sqref="D55">
      <formula1>"n,y"</formula1>
    </dataValidation>
    <dataValidation type="list" showInputMessage="1" showErrorMessage="1" sqref="E55">
      <formula1>"n,y"</formula1>
    </dataValidation>
    <dataValidation type="list" showInputMessage="1" showErrorMessage="1" sqref="F55">
      <formula1>"n,y"</formula1>
    </dataValidation>
    <dataValidation type="list" showInputMessage="1" showErrorMessage="1" sqref="G55">
      <formula1>"n,y"</formula1>
    </dataValidation>
    <dataValidation type="list" showInputMessage="1" showErrorMessage="1" sqref="H55">
      <formula1>"n,y"</formula1>
    </dataValidation>
    <dataValidation type="list" showInputMessage="1" showErrorMessage="1" sqref="I55">
      <formula1>"n,y"</formula1>
    </dataValidation>
    <dataValidation type="list" showInputMessage="1" showErrorMessage="1" sqref="J55">
      <formula1>"n,y"</formula1>
    </dataValidation>
    <dataValidation type="list" showInputMessage="1" showErrorMessage="1" sqref="K55">
      <formula1>"n,y"</formula1>
    </dataValidation>
    <dataValidation type="list" showInputMessage="1" showErrorMessage="1" sqref="L55">
      <formula1>"n,y"</formula1>
    </dataValidation>
    <dataValidation type="list" showInputMessage="1" showErrorMessage="1" sqref="M55">
      <formula1>""</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35"/>
  <sheetViews>
    <sheetView zoomScale="90" workbookViewId="0">
      <pane ySplit="1" topLeftCell="A288" activePane="bottomLeft" state="frozen"/>
      <selection activeCell="E1" sqref="E1"/>
      <selection pane="bottomLeft" activeCell="G297" sqref="G297"/>
    </sheetView>
  </sheetViews>
  <sheetFormatPr defaultColWidth="8.83984375" defaultRowHeight="14.4" x14ac:dyDescent="0.55000000000000004"/>
  <cols>
    <col min="1" max="1" width="15.68359375" customWidth="1"/>
    <col min="3" max="3" width="15.68359375" customWidth="1"/>
    <col min="4" max="5" width="10.68359375" customWidth="1"/>
    <col min="7" max="23" width="10.15625" customWidth="1"/>
  </cols>
  <sheetData>
    <row r="1" spans="1:23" x14ac:dyDescent="0.55000000000000004">
      <c r="A1" s="1" t="str">
        <f>'Transfer Definitions'!A1</f>
        <v>Aging</v>
      </c>
      <c r="B1" s="1"/>
      <c r="C1" s="1"/>
      <c r="D1" s="1" t="s">
        <v>8</v>
      </c>
      <c r="E1" s="1" t="s">
        <v>9</v>
      </c>
      <c r="F1" s="1"/>
      <c r="G1" s="1">
        <v>2000</v>
      </c>
      <c r="H1" s="1">
        <v>2001</v>
      </c>
      <c r="I1" s="1">
        <v>2002</v>
      </c>
      <c r="J1" s="1">
        <v>2003</v>
      </c>
      <c r="K1" s="1">
        <v>2004</v>
      </c>
      <c r="L1" s="1">
        <v>2005</v>
      </c>
      <c r="M1" s="1">
        <v>2006</v>
      </c>
      <c r="N1" s="1">
        <v>2007</v>
      </c>
      <c r="O1" s="1">
        <v>2008</v>
      </c>
      <c r="P1" s="1">
        <v>2009</v>
      </c>
      <c r="Q1" s="1">
        <v>2010</v>
      </c>
      <c r="R1" s="1">
        <v>2011</v>
      </c>
      <c r="S1" s="1">
        <v>2012</v>
      </c>
      <c r="T1" s="1">
        <v>2013</v>
      </c>
      <c r="U1" s="1">
        <v>2014</v>
      </c>
      <c r="V1" s="1">
        <v>2015</v>
      </c>
      <c r="W1" s="1">
        <v>2016</v>
      </c>
    </row>
    <row r="2" spans="1:23" x14ac:dyDescent="0.55000000000000004">
      <c r="A2" s="1" t="str">
        <f>IF('Transfer Definitions'!C2="y",'Population Definitions'!$A$2,"...")</f>
        <v>Gen 0-4</v>
      </c>
      <c r="B2" s="1" t="str">
        <f>IF('Transfer Definitions'!C2="y","---&gt;","")</f>
        <v>---&gt;</v>
      </c>
      <c r="C2" s="1" t="str">
        <f>IF('Transfer Definitions'!C2="y",'Population Definitions'!$A$3,"")</f>
        <v>Gen 5-14</v>
      </c>
      <c r="D2" s="1" t="str">
        <f t="shared" ref="D2:D33" si="0">IF(A2&lt;&gt;"...","Fraction","")</f>
        <v>Fraction</v>
      </c>
      <c r="E2" s="4" t="str">
        <f>IF(A2&lt;&gt;"...",IF(SUMPRODUCT(--(G2:W2&lt;&gt;""))=0,IF(AND('Population Definitions'!D2&lt;&gt;"",'Population Definitions'!C2&lt;&gt;""),1/('Population Definitions'!D2-'Population Definitions'!C2+1),0),"N.A."),"")</f>
        <v>N.A.</v>
      </c>
      <c r="F2" s="1" t="str">
        <f t="shared" ref="F2:F33" si="1">IF(A2&lt;&gt;"...","OR","")</f>
        <v>OR</v>
      </c>
      <c r="G2" s="5">
        <v>0.2333430108931529</v>
      </c>
      <c r="H2" s="5">
        <v>0.22641778698292148</v>
      </c>
      <c r="I2" s="5">
        <v>0.21941321015825357</v>
      </c>
      <c r="J2" s="5">
        <v>0.21287767731509999</v>
      </c>
      <c r="K2" s="5">
        <v>0.20680051316758355</v>
      </c>
      <c r="L2" s="5">
        <v>0.16500000000000001</v>
      </c>
      <c r="M2" s="5"/>
      <c r="N2" s="5"/>
      <c r="O2" s="5"/>
      <c r="P2" s="5"/>
      <c r="Q2" s="5"/>
      <c r="R2" s="5"/>
      <c r="S2" s="5"/>
      <c r="T2" s="5"/>
      <c r="U2" s="5"/>
      <c r="V2" s="5"/>
      <c r="W2" s="4"/>
    </row>
    <row r="3" spans="1:23" x14ac:dyDescent="0.55000000000000004">
      <c r="A3" t="str">
        <f>IF('Transfer Definitions'!D2="y",'Population Definitions'!$A$2,"...")</f>
        <v>...</v>
      </c>
      <c r="B3" t="str">
        <f>IF('Transfer Definitions'!D2="y","---&gt;","")</f>
        <v/>
      </c>
      <c r="C3" t="str">
        <f>IF('Transfer Definitions'!D2="y",'Population Definitions'!$A$4,"")</f>
        <v/>
      </c>
      <c r="D3" t="str">
        <f t="shared" si="0"/>
        <v/>
      </c>
      <c r="E3" t="str">
        <f>IF(A3&lt;&gt;"...",IF(SUMPRODUCT(--(G3:W3&lt;&gt;""))=0,IF(AND('Population Definitions'!D2&lt;&gt;"",'Population Definitions'!C2&lt;&gt;""),1/('Population Definitions'!D2-'Population Definitions'!C2+1),0),"N.A."),"")</f>
        <v/>
      </c>
      <c r="F3" t="str">
        <f t="shared" si="1"/>
        <v/>
      </c>
      <c r="L3">
        <v>0.18197634816811062</v>
      </c>
      <c r="M3">
        <v>0.17943797575641685</v>
      </c>
      <c r="N3">
        <v>0.18107389319809231</v>
      </c>
      <c r="O3">
        <v>0.17969478514189666</v>
      </c>
      <c r="P3">
        <v>0.18280750297349996</v>
      </c>
      <c r="Q3">
        <v>0.17337494979323806</v>
      </c>
      <c r="R3">
        <v>0.17620151740990458</v>
      </c>
      <c r="S3">
        <v>0.17732022474264839</v>
      </c>
      <c r="T3">
        <v>0.17852309796238094</v>
      </c>
      <c r="U3">
        <v>0.18565196836634573</v>
      </c>
      <c r="V3">
        <v>0.17410040290387122</v>
      </c>
    </row>
    <row r="4" spans="1:23" x14ac:dyDescent="0.55000000000000004">
      <c r="A4" t="str">
        <f>IF('Transfer Definitions'!E2="y",'Population Definitions'!$A$2,"...")</f>
        <v>...</v>
      </c>
      <c r="B4" t="str">
        <f>IF('Transfer Definitions'!E2="y","---&gt;","")</f>
        <v/>
      </c>
      <c r="C4" t="str">
        <f>IF('Transfer Definitions'!E2="y",'Population Definitions'!$A$5,"")</f>
        <v/>
      </c>
      <c r="D4" t="str">
        <f t="shared" si="0"/>
        <v/>
      </c>
      <c r="E4" t="str">
        <f>IF(A4&lt;&gt;"...",IF(SUMPRODUCT(--(G4:W4&lt;&gt;""))=0,IF(AND('Population Definitions'!D2&lt;&gt;"",'Population Definitions'!C2&lt;&gt;""),1/('Population Definitions'!D2-'Population Definitions'!C2+1),0),"N.A."),"")</f>
        <v/>
      </c>
      <c r="F4" t="str">
        <f t="shared" si="1"/>
        <v/>
      </c>
    </row>
    <row r="5" spans="1:23" x14ac:dyDescent="0.55000000000000004">
      <c r="A5" t="str">
        <f>IF('Transfer Definitions'!F2="y",'Population Definitions'!$A$2,"...")</f>
        <v>...</v>
      </c>
      <c r="B5" t="str">
        <f>IF('Transfer Definitions'!F2="y","---&gt;","")</f>
        <v/>
      </c>
      <c r="C5" t="str">
        <f>IF('Transfer Definitions'!F2="y",'Population Definitions'!$A$6,"")</f>
        <v/>
      </c>
      <c r="D5" t="str">
        <f t="shared" si="0"/>
        <v/>
      </c>
      <c r="E5" t="str">
        <f>IF(A5&lt;&gt;"...",IF(SUMPRODUCT(--(G5:W5&lt;&gt;""))=0,IF(AND('Population Definitions'!D2&lt;&gt;"",'Population Definitions'!C2&lt;&gt;""),1/('Population Definitions'!D2-'Population Definitions'!C2+1),0),"N.A."),"")</f>
        <v/>
      </c>
      <c r="F5" t="str">
        <f t="shared" si="1"/>
        <v/>
      </c>
    </row>
    <row r="6" spans="1:23" x14ac:dyDescent="0.55000000000000004">
      <c r="A6" t="str">
        <f>IF('Transfer Definitions'!G2="y",'Population Definitions'!$A$2,"...")</f>
        <v>...</v>
      </c>
      <c r="B6" t="str">
        <f>IF('Transfer Definitions'!G2="y","---&gt;","")</f>
        <v/>
      </c>
      <c r="C6" t="str">
        <f>IF('Transfer Definitions'!G2="y",'Population Definitions'!$A$7,"")</f>
        <v/>
      </c>
      <c r="D6" t="str">
        <f t="shared" si="0"/>
        <v/>
      </c>
      <c r="E6" t="str">
        <f>IF(A6&lt;&gt;"...",IF(SUMPRODUCT(--(G6:W6&lt;&gt;""))=0,IF(AND('Population Definitions'!D2&lt;&gt;"",'Population Definitions'!C2&lt;&gt;""),1/('Population Definitions'!D2-'Population Definitions'!C2+1),0),"N.A."),"")</f>
        <v/>
      </c>
      <c r="F6" t="str">
        <f t="shared" si="1"/>
        <v/>
      </c>
    </row>
    <row r="7" spans="1:23" x14ac:dyDescent="0.55000000000000004">
      <c r="A7" t="str">
        <f>IF('Transfer Definitions'!H2="y",'Population Definitions'!$A$2,"...")</f>
        <v>...</v>
      </c>
      <c r="B7" t="str">
        <f>IF('Transfer Definitions'!H2="y","---&gt;","")</f>
        <v/>
      </c>
      <c r="C7" t="str">
        <f>IF('Transfer Definitions'!H2="y",'Population Definitions'!$A$8,"")</f>
        <v/>
      </c>
      <c r="D7" t="str">
        <f t="shared" si="0"/>
        <v/>
      </c>
      <c r="E7" t="str">
        <f>IF(A7&lt;&gt;"...",IF(SUMPRODUCT(--(G7:W7&lt;&gt;""))=0,IF(AND('Population Definitions'!D2&lt;&gt;"",'Population Definitions'!C2&lt;&gt;""),1/('Population Definitions'!D2-'Population Definitions'!C2+1),0),"N.A."),"")</f>
        <v/>
      </c>
      <c r="F7" t="str">
        <f t="shared" si="1"/>
        <v/>
      </c>
    </row>
    <row r="8" spans="1:23" x14ac:dyDescent="0.55000000000000004">
      <c r="A8" t="str">
        <f>IF('Transfer Definitions'!I2="y",'Population Definitions'!$A$2,"...")</f>
        <v>...</v>
      </c>
      <c r="B8" t="str">
        <f>IF('Transfer Definitions'!I2="y","---&gt;","")</f>
        <v/>
      </c>
      <c r="C8" t="str">
        <f>IF('Transfer Definitions'!I2="y",'Population Definitions'!$A$9,"")</f>
        <v/>
      </c>
      <c r="D8" t="str">
        <f t="shared" si="0"/>
        <v/>
      </c>
      <c r="E8" t="str">
        <f>IF(A8&lt;&gt;"...",IF(SUMPRODUCT(--(G8:W8&lt;&gt;""))=0,IF(AND('Population Definitions'!D2&lt;&gt;"",'Population Definitions'!C2&lt;&gt;""),1/('Population Definitions'!D2-'Population Definitions'!C2+1),0),"N.A."),"")</f>
        <v/>
      </c>
      <c r="F8" t="str">
        <f t="shared" si="1"/>
        <v/>
      </c>
    </row>
    <row r="9" spans="1:23" x14ac:dyDescent="0.55000000000000004">
      <c r="A9" t="str">
        <f>IF('Transfer Definitions'!J2="y",'Population Definitions'!$A$2,"...")</f>
        <v>...</v>
      </c>
      <c r="B9" t="str">
        <f>IF('Transfer Definitions'!J2="y","---&gt;","")</f>
        <v/>
      </c>
      <c r="C9" t="str">
        <f>IF('Transfer Definitions'!J2="y",'Population Definitions'!$A$10,"")</f>
        <v/>
      </c>
      <c r="D9" t="str">
        <f t="shared" si="0"/>
        <v/>
      </c>
      <c r="E9" t="str">
        <f>IF(A9&lt;&gt;"...",IF(SUMPRODUCT(--(G9:W9&lt;&gt;""))=0,IF(AND('Population Definitions'!D2&lt;&gt;"",'Population Definitions'!C2&lt;&gt;""),1/('Population Definitions'!D2-'Population Definitions'!C2+1),0),"N.A."),"")</f>
        <v/>
      </c>
      <c r="F9" t="str">
        <f t="shared" si="1"/>
        <v/>
      </c>
    </row>
    <row r="10" spans="1:23" x14ac:dyDescent="0.55000000000000004">
      <c r="A10" t="str">
        <f>IF('Transfer Definitions'!K2="y",'Population Definitions'!$A$2,"...")</f>
        <v>...</v>
      </c>
      <c r="B10" t="str">
        <f>IF('Transfer Definitions'!K2="y","---&gt;","")</f>
        <v/>
      </c>
      <c r="C10" t="str">
        <f>IF('Transfer Definitions'!K2="y",'Population Definitions'!$A$11,"")</f>
        <v/>
      </c>
      <c r="D10" t="str">
        <f t="shared" si="0"/>
        <v/>
      </c>
      <c r="E10" t="str">
        <f>IF(A10&lt;&gt;"...",IF(SUMPRODUCT(--(G10:W10&lt;&gt;""))=0,IF(AND('Population Definitions'!D2&lt;&gt;"",'Population Definitions'!C2&lt;&gt;""),1/('Population Definitions'!D2-'Population Definitions'!C2+1),0),"N.A."),"")</f>
        <v/>
      </c>
      <c r="F10" t="str">
        <f t="shared" si="1"/>
        <v/>
      </c>
    </row>
    <row r="11" spans="1:23" x14ac:dyDescent="0.55000000000000004">
      <c r="A11" t="str">
        <f>IF('Transfer Definitions'!L2="y",'Population Definitions'!$A$2,"...")</f>
        <v>...</v>
      </c>
      <c r="B11" t="str">
        <f>IF('Transfer Definitions'!L2="y","---&gt;","")</f>
        <v/>
      </c>
      <c r="C11" t="str">
        <f>IF('Transfer Definitions'!L2="y",'Population Definitions'!$A$12,"")</f>
        <v/>
      </c>
      <c r="D11" t="str">
        <f t="shared" si="0"/>
        <v/>
      </c>
      <c r="E11" t="str">
        <f>IF(A11&lt;&gt;"...",IF(SUMPRODUCT(--(G11:W11&lt;&gt;""))=0,IF(AND('Population Definitions'!D2&lt;&gt;"",'Population Definitions'!C2&lt;&gt;""),1/('Population Definitions'!D2-'Population Definitions'!C2+1),0),"N.A."),"")</f>
        <v/>
      </c>
      <c r="F11" t="str">
        <f t="shared" si="1"/>
        <v/>
      </c>
    </row>
    <row r="12" spans="1:23" x14ac:dyDescent="0.55000000000000004">
      <c r="A12" t="str">
        <f>IF('Transfer Definitions'!M2="y",'Population Definitions'!$A$2,"...")</f>
        <v>...</v>
      </c>
      <c r="B12" t="str">
        <f>IF('Transfer Definitions'!M2="y","---&gt;","")</f>
        <v/>
      </c>
      <c r="C12" t="str">
        <f>IF('Transfer Definitions'!M2="y",'Population Definitions'!$A$13,"")</f>
        <v/>
      </c>
      <c r="D12" t="str">
        <f t="shared" si="0"/>
        <v/>
      </c>
      <c r="E12" t="str">
        <f>IF(A12&lt;&gt;"...",IF(SUMPRODUCT(--(G12:W12&lt;&gt;""))=0,IF(AND('Population Definitions'!D2&lt;&gt;"",'Population Definitions'!C2&lt;&gt;""),1/('Population Definitions'!D2-'Population Definitions'!C2+1),0),"N.A."),"")</f>
        <v/>
      </c>
      <c r="F12" t="str">
        <f t="shared" si="1"/>
        <v/>
      </c>
    </row>
    <row r="13" spans="1:23" x14ac:dyDescent="0.55000000000000004">
      <c r="A13" t="str">
        <f>IF('Transfer Definitions'!B3="y",'Population Definitions'!$A$3,"...")</f>
        <v>...</v>
      </c>
      <c r="B13" t="str">
        <f>IF('Transfer Definitions'!B3="y","---&gt;","")</f>
        <v/>
      </c>
      <c r="C13" t="str">
        <f>IF('Transfer Definitions'!B3="y",'Population Definitions'!$A$2,"")</f>
        <v/>
      </c>
      <c r="D13" t="str">
        <f t="shared" si="0"/>
        <v/>
      </c>
      <c r="E13" t="str">
        <f>IF(A13&lt;&gt;"...",IF(SUMPRODUCT(--(G13:W13&lt;&gt;""))=0,IF(AND('Population Definitions'!D3&lt;&gt;"",'Population Definitions'!C3&lt;&gt;""),1/('Population Definitions'!D3-'Population Definitions'!C3+1),0),"N.A."),"")</f>
        <v/>
      </c>
      <c r="F13" t="str">
        <f t="shared" si="1"/>
        <v/>
      </c>
    </row>
    <row r="14" spans="1:23" x14ac:dyDescent="0.55000000000000004">
      <c r="A14" s="1" t="str">
        <f>IF('Transfer Definitions'!D3="y",'Population Definitions'!$A$3,"...")</f>
        <v>Gen 5-14</v>
      </c>
      <c r="B14" s="1" t="str">
        <f>IF('Transfer Definitions'!D3="y","---&gt;","")</f>
        <v>---&gt;</v>
      </c>
      <c r="C14" s="1" t="str">
        <f>IF('Transfer Definitions'!D3="y",'Population Definitions'!$A$4,"")</f>
        <v>Gen 15-64</v>
      </c>
      <c r="D14" s="1" t="str">
        <f t="shared" si="0"/>
        <v>Fraction</v>
      </c>
      <c r="E14" s="4" t="str">
        <f>IF(A14&lt;&gt;"...",IF(SUMPRODUCT(--(G14:W14&lt;&gt;""))=0,IF(AND('Population Definitions'!D3&lt;&gt;"",'Population Definitions'!C3&lt;&gt;""),1/('Population Definitions'!D3-'Population Definitions'!C3+1),0),"N.A."),"")</f>
        <v>N.A.</v>
      </c>
      <c r="F14" s="1" t="str">
        <f t="shared" si="1"/>
        <v>OR</v>
      </c>
      <c r="G14" s="5">
        <v>9.5269021488292624E-2</v>
      </c>
      <c r="H14" s="5">
        <v>9.6170629508940592E-2</v>
      </c>
      <c r="I14" s="5">
        <v>9.6569257097941036E-2</v>
      </c>
      <c r="J14" s="5">
        <v>9.6800071644185359E-2</v>
      </c>
      <c r="K14" s="5">
        <v>9.6893822056630122E-2</v>
      </c>
      <c r="L14" s="5">
        <v>9.5000000000000001E-2</v>
      </c>
      <c r="M14" s="5"/>
      <c r="N14" s="5">
        <v>0.08</v>
      </c>
      <c r="O14" s="5"/>
      <c r="P14" s="5">
        <v>9.5000000000000001E-2</v>
      </c>
      <c r="Q14" s="5"/>
      <c r="R14" s="5"/>
      <c r="S14" s="5"/>
      <c r="T14" s="5"/>
      <c r="U14" s="5"/>
      <c r="V14" s="5">
        <v>0.115</v>
      </c>
      <c r="W14" s="4"/>
    </row>
    <row r="15" spans="1:23" x14ac:dyDescent="0.55000000000000004">
      <c r="A15" t="str">
        <f>IF('Transfer Definitions'!E3="y",'Population Definitions'!$A$3,"...")</f>
        <v>...</v>
      </c>
      <c r="B15" t="str">
        <f>IF('Transfer Definitions'!E3="y","---&gt;","")</f>
        <v/>
      </c>
      <c r="C15" t="str">
        <f>IF('Transfer Definitions'!E3="y",'Population Definitions'!$A$5,"")</f>
        <v/>
      </c>
      <c r="D15" t="str">
        <f t="shared" si="0"/>
        <v/>
      </c>
      <c r="E15" t="str">
        <f>IF(A15&lt;&gt;"...",IF(SUMPRODUCT(--(G15:W15&lt;&gt;""))=0,IF(AND('Population Definitions'!D3&lt;&gt;"",'Population Definitions'!C3&lt;&gt;""),1/('Population Definitions'!D3-'Population Definitions'!C3+1),0),"N.A."),"")</f>
        <v/>
      </c>
      <c r="F15" t="str">
        <f t="shared" si="1"/>
        <v/>
      </c>
      <c r="G15">
        <v>9.5269021488292624E-2</v>
      </c>
      <c r="H15">
        <v>9.6170629508940592E-2</v>
      </c>
      <c r="I15">
        <v>9.6569257097941036E-2</v>
      </c>
      <c r="J15">
        <v>9.6800071644185359E-2</v>
      </c>
      <c r="K15">
        <v>9.6893822056630122E-2</v>
      </c>
      <c r="L15">
        <v>8.56918678485111E-2</v>
      </c>
      <c r="M15">
        <v>8.7163087876379941E-2</v>
      </c>
      <c r="N15">
        <v>0.10418984504188505</v>
      </c>
      <c r="O15">
        <v>0.10691320208692565</v>
      </c>
      <c r="P15">
        <v>0.11247790684068411</v>
      </c>
      <c r="Q15">
        <v>0.10958117039833369</v>
      </c>
      <c r="R15">
        <v>0.11491625526144611</v>
      </c>
      <c r="S15">
        <v>0.11894236694248224</v>
      </c>
      <c r="T15">
        <v>0.12332789855757416</v>
      </c>
      <c r="U15">
        <v>0.13255639234932926</v>
      </c>
      <c r="V15">
        <v>0.12704647526308832</v>
      </c>
    </row>
    <row r="16" spans="1:23" x14ac:dyDescent="0.55000000000000004">
      <c r="A16" t="str">
        <f>IF('Transfer Definitions'!F3="y",'Population Definitions'!$A$3,"...")</f>
        <v>...</v>
      </c>
      <c r="B16" t="str">
        <f>IF('Transfer Definitions'!F3="y","---&gt;","")</f>
        <v/>
      </c>
      <c r="C16" t="str">
        <f>IF('Transfer Definitions'!F3="y",'Population Definitions'!$A$6,"")</f>
        <v/>
      </c>
      <c r="D16" t="str">
        <f t="shared" si="0"/>
        <v/>
      </c>
      <c r="E16" t="str">
        <f>IF(A16&lt;&gt;"...",IF(SUMPRODUCT(--(G16:W16&lt;&gt;""))=0,IF(AND('Population Definitions'!D3&lt;&gt;"",'Population Definitions'!C3&lt;&gt;""),1/('Population Definitions'!D3-'Population Definitions'!C3+1),0),"N.A."),"")</f>
        <v/>
      </c>
      <c r="F16" t="str">
        <f t="shared" si="1"/>
        <v/>
      </c>
    </row>
    <row r="17" spans="1:23" x14ac:dyDescent="0.55000000000000004">
      <c r="A17" t="str">
        <f>IF('Transfer Definitions'!G3="y",'Population Definitions'!$A$3,"...")</f>
        <v>...</v>
      </c>
      <c r="B17" t="str">
        <f>IF('Transfer Definitions'!G3="y","---&gt;","")</f>
        <v/>
      </c>
      <c r="C17" t="str">
        <f>IF('Transfer Definitions'!G3="y",'Population Definitions'!$A$7,"")</f>
        <v/>
      </c>
      <c r="D17" t="str">
        <f t="shared" si="0"/>
        <v/>
      </c>
      <c r="E17" t="str">
        <f>IF(A17&lt;&gt;"...",IF(SUMPRODUCT(--(G17:W17&lt;&gt;""))=0,IF(AND('Population Definitions'!D3&lt;&gt;"",'Population Definitions'!C3&lt;&gt;""),1/('Population Definitions'!D3-'Population Definitions'!C3+1),0),"N.A."),"")</f>
        <v/>
      </c>
      <c r="F17" t="str">
        <f t="shared" si="1"/>
        <v/>
      </c>
    </row>
    <row r="18" spans="1:23" x14ac:dyDescent="0.55000000000000004">
      <c r="A18" t="str">
        <f>IF('Transfer Definitions'!H3="y",'Population Definitions'!$A$3,"...")</f>
        <v>...</v>
      </c>
      <c r="B18" t="str">
        <f>IF('Transfer Definitions'!H3="y","---&gt;","")</f>
        <v/>
      </c>
      <c r="C18" t="str">
        <f>IF('Transfer Definitions'!H3="y",'Population Definitions'!$A$8,"")</f>
        <v/>
      </c>
      <c r="D18" t="str">
        <f t="shared" si="0"/>
        <v/>
      </c>
      <c r="E18" t="str">
        <f>IF(A18&lt;&gt;"...",IF(SUMPRODUCT(--(G18:W18&lt;&gt;""))=0,IF(AND('Population Definitions'!D3&lt;&gt;"",'Population Definitions'!C3&lt;&gt;""),1/('Population Definitions'!D3-'Population Definitions'!C3+1),0),"N.A."),"")</f>
        <v/>
      </c>
      <c r="F18" t="str">
        <f t="shared" si="1"/>
        <v/>
      </c>
    </row>
    <row r="19" spans="1:23" x14ac:dyDescent="0.55000000000000004">
      <c r="A19" t="str">
        <f>IF('Transfer Definitions'!I3="y",'Population Definitions'!$A$3,"...")</f>
        <v>...</v>
      </c>
      <c r="B19" t="str">
        <f>IF('Transfer Definitions'!I3="y","---&gt;","")</f>
        <v/>
      </c>
      <c r="C19" t="str">
        <f>IF('Transfer Definitions'!I3="y",'Population Definitions'!$A$9,"")</f>
        <v/>
      </c>
      <c r="D19" t="str">
        <f t="shared" si="0"/>
        <v/>
      </c>
      <c r="E19" t="str">
        <f>IF(A19&lt;&gt;"...",IF(SUMPRODUCT(--(G19:W19&lt;&gt;""))=0,IF(AND('Population Definitions'!D3&lt;&gt;"",'Population Definitions'!C3&lt;&gt;""),1/('Population Definitions'!D3-'Population Definitions'!C3+1),0),"N.A."),"")</f>
        <v/>
      </c>
      <c r="F19" t="str">
        <f t="shared" si="1"/>
        <v/>
      </c>
    </row>
    <row r="20" spans="1:23" x14ac:dyDescent="0.55000000000000004">
      <c r="A20" t="str">
        <f>IF('Transfer Definitions'!J3="y",'Population Definitions'!$A$3,"...")</f>
        <v>...</v>
      </c>
      <c r="B20" t="str">
        <f>IF('Transfer Definitions'!J3="y","---&gt;","")</f>
        <v/>
      </c>
      <c r="C20" t="str">
        <f>IF('Transfer Definitions'!J3="y",'Population Definitions'!$A$10,"")</f>
        <v/>
      </c>
      <c r="D20" t="str">
        <f t="shared" si="0"/>
        <v/>
      </c>
      <c r="E20" t="str">
        <f>IF(A20&lt;&gt;"...",IF(SUMPRODUCT(--(G20:W20&lt;&gt;""))=0,IF(AND('Population Definitions'!D3&lt;&gt;"",'Population Definitions'!C3&lt;&gt;""),1/('Population Definitions'!D3-'Population Definitions'!C3+1),0),"N.A."),"")</f>
        <v/>
      </c>
      <c r="F20" t="str">
        <f t="shared" si="1"/>
        <v/>
      </c>
    </row>
    <row r="21" spans="1:23" x14ac:dyDescent="0.55000000000000004">
      <c r="A21" t="str">
        <f>IF('Transfer Definitions'!K3="y",'Population Definitions'!$A$3,"...")</f>
        <v>...</v>
      </c>
      <c r="B21" t="str">
        <f>IF('Transfer Definitions'!K3="y","---&gt;","")</f>
        <v/>
      </c>
      <c r="C21" t="str">
        <f>IF('Transfer Definitions'!K3="y",'Population Definitions'!$A$11,"")</f>
        <v/>
      </c>
      <c r="D21" t="str">
        <f t="shared" si="0"/>
        <v/>
      </c>
      <c r="E21" t="str">
        <f>IF(A21&lt;&gt;"...",IF(SUMPRODUCT(--(G21:W21&lt;&gt;""))=0,IF(AND('Population Definitions'!D3&lt;&gt;"",'Population Definitions'!C3&lt;&gt;""),1/('Population Definitions'!D3-'Population Definitions'!C3+1),0),"N.A."),"")</f>
        <v/>
      </c>
      <c r="F21" t="str">
        <f t="shared" si="1"/>
        <v/>
      </c>
    </row>
    <row r="22" spans="1:23" x14ac:dyDescent="0.55000000000000004">
      <c r="A22" t="str">
        <f>IF('Transfer Definitions'!L3="y",'Population Definitions'!$A$3,"...")</f>
        <v>...</v>
      </c>
      <c r="B22" t="str">
        <f>IF('Transfer Definitions'!L3="y","---&gt;","")</f>
        <v/>
      </c>
      <c r="C22" t="str">
        <f>IF('Transfer Definitions'!L3="y",'Population Definitions'!$A$12,"")</f>
        <v/>
      </c>
      <c r="D22" t="str">
        <f t="shared" si="0"/>
        <v/>
      </c>
      <c r="E22" t="str">
        <f>IF(A22&lt;&gt;"...",IF(SUMPRODUCT(--(G22:W22&lt;&gt;""))=0,IF(AND('Population Definitions'!D3&lt;&gt;"",'Population Definitions'!C3&lt;&gt;""),1/('Population Definitions'!D3-'Population Definitions'!C3+1),0),"N.A."),"")</f>
        <v/>
      </c>
      <c r="F22" t="str">
        <f t="shared" si="1"/>
        <v/>
      </c>
    </row>
    <row r="23" spans="1:23" x14ac:dyDescent="0.55000000000000004">
      <c r="A23" t="str">
        <f>IF('Transfer Definitions'!M3="y",'Population Definitions'!$A$3,"...")</f>
        <v>...</v>
      </c>
      <c r="B23" t="str">
        <f>IF('Transfer Definitions'!M3="y","---&gt;","")</f>
        <v/>
      </c>
      <c r="C23" t="str">
        <f>IF('Transfer Definitions'!M3="y",'Population Definitions'!$A$13,"")</f>
        <v/>
      </c>
      <c r="D23" t="str">
        <f t="shared" si="0"/>
        <v/>
      </c>
      <c r="E23" t="str">
        <f>IF(A23&lt;&gt;"...",IF(SUMPRODUCT(--(G23:W23&lt;&gt;""))=0,IF(AND('Population Definitions'!D3&lt;&gt;"",'Population Definitions'!C3&lt;&gt;""),1/('Population Definitions'!D3-'Population Definitions'!C3+1),0),"N.A."),"")</f>
        <v/>
      </c>
      <c r="F23" t="str">
        <f t="shared" si="1"/>
        <v/>
      </c>
    </row>
    <row r="24" spans="1:23" x14ac:dyDescent="0.55000000000000004">
      <c r="A24" t="str">
        <f>IF('Transfer Definitions'!B4="y",'Population Definitions'!$A$4,"...")</f>
        <v>...</v>
      </c>
      <c r="B24" t="str">
        <f>IF('Transfer Definitions'!B4="y","---&gt;","")</f>
        <v/>
      </c>
      <c r="C24" t="str">
        <f>IF('Transfer Definitions'!B4="y",'Population Definitions'!$A$2,"")</f>
        <v/>
      </c>
      <c r="D24" t="str">
        <f t="shared" si="0"/>
        <v/>
      </c>
      <c r="E24" t="str">
        <f>IF(A24&lt;&gt;"...",IF(SUMPRODUCT(--(G24:W24&lt;&gt;""))=0,IF(AND('Population Definitions'!D4&lt;&gt;"",'Population Definitions'!C4&lt;&gt;""),1/('Population Definitions'!D4-'Population Definitions'!C4+1),0),"N.A."),"")</f>
        <v/>
      </c>
      <c r="F24" t="str">
        <f t="shared" si="1"/>
        <v/>
      </c>
    </row>
    <row r="25" spans="1:23" x14ac:dyDescent="0.55000000000000004">
      <c r="A25" t="str">
        <f>IF('Transfer Definitions'!C4="y",'Population Definitions'!$A$4,"...")</f>
        <v>...</v>
      </c>
      <c r="B25" t="str">
        <f>IF('Transfer Definitions'!C4="y","---&gt;","")</f>
        <v/>
      </c>
      <c r="C25" t="str">
        <f>IF('Transfer Definitions'!C4="y",'Population Definitions'!$A$3,"")</f>
        <v/>
      </c>
      <c r="D25" t="str">
        <f t="shared" si="0"/>
        <v/>
      </c>
      <c r="E25" t="str">
        <f>IF(A25&lt;&gt;"...",IF(SUMPRODUCT(--(G25:W25&lt;&gt;""))=0,IF(AND('Population Definitions'!D4&lt;&gt;"",'Population Definitions'!C4&lt;&gt;""),1/('Population Definitions'!D4-'Population Definitions'!C4+1),0),"N.A."),"")</f>
        <v/>
      </c>
      <c r="F25" t="str">
        <f t="shared" si="1"/>
        <v/>
      </c>
    </row>
    <row r="26" spans="1:23" x14ac:dyDescent="0.55000000000000004">
      <c r="A26" s="1" t="str">
        <f>IF('Transfer Definitions'!E4="y",'Population Definitions'!$A$4,"...")</f>
        <v>Gen 15-64</v>
      </c>
      <c r="B26" s="1" t="str">
        <f>IF('Transfer Definitions'!E4="y","---&gt;","")</f>
        <v>---&gt;</v>
      </c>
      <c r="C26" s="1" t="str">
        <f>IF('Transfer Definitions'!E4="y",'Population Definitions'!$A$5,"")</f>
        <v>Gen 65+</v>
      </c>
      <c r="D26" s="1" t="str">
        <f t="shared" si="0"/>
        <v>Fraction</v>
      </c>
      <c r="E26" s="4" t="str">
        <f>IF(A26&lt;&gt;"...",IF(SUMPRODUCT(--(G26:W26&lt;&gt;""))=0,IF(AND('Population Definitions'!D4&lt;&gt;"",'Population Definitions'!C4&lt;&gt;""),1/('Population Definitions'!D4-'Population Definitions'!C4+1),0),"N.A."),"")</f>
        <v>N.A.</v>
      </c>
      <c r="F26" s="1" t="str">
        <f t="shared" si="1"/>
        <v>OR</v>
      </c>
      <c r="G26" s="12">
        <v>8.0000000000000002E-3</v>
      </c>
      <c r="H26" s="5"/>
      <c r="I26" s="5"/>
      <c r="J26" s="5"/>
      <c r="K26" s="5"/>
      <c r="L26" s="5"/>
      <c r="M26" s="5"/>
      <c r="N26" s="12">
        <v>8.0000000000000002E-3</v>
      </c>
      <c r="O26" s="5"/>
      <c r="P26" s="5"/>
      <c r="Q26" s="5"/>
      <c r="R26" s="5"/>
      <c r="S26" s="5"/>
      <c r="T26" s="5"/>
      <c r="U26" s="5"/>
      <c r="V26" s="12">
        <v>6.0000000000000001E-3</v>
      </c>
      <c r="W26" s="4"/>
    </row>
    <row r="27" spans="1:23" x14ac:dyDescent="0.55000000000000004">
      <c r="A27" t="str">
        <f>IF('Transfer Definitions'!F4="y",'Population Definitions'!$A$4,"...")</f>
        <v>...</v>
      </c>
      <c r="B27" t="str">
        <f>IF('Transfer Definitions'!F4="y","---&gt;","")</f>
        <v/>
      </c>
      <c r="C27" t="str">
        <f>IF('Transfer Definitions'!F4="y",'Population Definitions'!$A$6,"")</f>
        <v/>
      </c>
      <c r="D27" t="str">
        <f t="shared" si="0"/>
        <v/>
      </c>
      <c r="E27" t="str">
        <f>IF(A27&lt;&gt;"...",IF(SUMPRODUCT(--(G28:W28&lt;&gt;""))=0,IF(AND('Population Definitions'!D4&lt;&gt;"",'Population Definitions'!C4&lt;&gt;""),1/('Population Definitions'!D4-'Population Definitions'!C4+1),0),"N.A."),"")</f>
        <v/>
      </c>
      <c r="F27" t="str">
        <f t="shared" si="1"/>
        <v/>
      </c>
    </row>
    <row r="28" spans="1:23" x14ac:dyDescent="0.55000000000000004">
      <c r="A28" t="str">
        <f>IF('Transfer Definitions'!G4="y",'Population Definitions'!$A$4,"...")</f>
        <v>...</v>
      </c>
      <c r="B28" t="str">
        <f>IF('Transfer Definitions'!G4="y","---&gt;","")</f>
        <v/>
      </c>
      <c r="C28" t="str">
        <f>IF('Transfer Definitions'!G4="y",'Population Definitions'!$A$7,"")</f>
        <v/>
      </c>
      <c r="D28" t="str">
        <f t="shared" si="0"/>
        <v/>
      </c>
      <c r="E28" t="str">
        <f>IF(A28&lt;&gt;"...",IF(SUMPRODUCT(--(#REF!&lt;&gt;""))=0,IF(AND('Population Definitions'!D4&lt;&gt;"",'Population Definitions'!C4&lt;&gt;""),1/('Population Definitions'!D4-'Population Definitions'!C4+1),0),"N.A."),"")</f>
        <v/>
      </c>
      <c r="F28" t="str">
        <f t="shared" si="1"/>
        <v/>
      </c>
    </row>
    <row r="29" spans="1:23" x14ac:dyDescent="0.55000000000000004">
      <c r="A29" t="str">
        <f>IF('Transfer Definitions'!H4="y",'Population Definitions'!$A$4,"...")</f>
        <v>...</v>
      </c>
      <c r="B29" t="str">
        <f>IF('Transfer Definitions'!H4="y","---&gt;","")</f>
        <v/>
      </c>
      <c r="C29" t="str">
        <f>IF('Transfer Definitions'!H4="y",'Population Definitions'!$A$8,"")</f>
        <v/>
      </c>
      <c r="D29" t="str">
        <f t="shared" si="0"/>
        <v/>
      </c>
      <c r="E29" t="str">
        <f>IF(A29&lt;&gt;"...",IF(SUMPRODUCT(--(G29:W29&lt;&gt;""))=0,IF(AND('Population Definitions'!D4&lt;&gt;"",'Population Definitions'!C4&lt;&gt;""),1/('Population Definitions'!D4-'Population Definitions'!C4+1),0),"N.A."),"")</f>
        <v/>
      </c>
      <c r="F29" t="str">
        <f t="shared" si="1"/>
        <v/>
      </c>
    </row>
    <row r="30" spans="1:23" x14ac:dyDescent="0.55000000000000004">
      <c r="A30" t="str">
        <f>IF('Transfer Definitions'!I4="y",'Population Definitions'!$A$4,"...")</f>
        <v>...</v>
      </c>
      <c r="B30" t="str">
        <f>IF('Transfer Definitions'!I4="y","---&gt;","")</f>
        <v/>
      </c>
      <c r="C30" t="str">
        <f>IF('Transfer Definitions'!I4="y",'Population Definitions'!$A$9,"")</f>
        <v/>
      </c>
      <c r="D30" t="str">
        <f t="shared" si="0"/>
        <v/>
      </c>
      <c r="E30" t="str">
        <f>IF(A30&lt;&gt;"...",IF(SUMPRODUCT(--(#REF!&lt;&gt;""))=0,IF(AND('Population Definitions'!D4&lt;&gt;"",'Population Definitions'!C4&lt;&gt;""),1/('Population Definitions'!D4-'Population Definitions'!C4+1),0),"N.A."),"")</f>
        <v/>
      </c>
      <c r="F30" t="str">
        <f t="shared" si="1"/>
        <v/>
      </c>
    </row>
    <row r="31" spans="1:23" x14ac:dyDescent="0.55000000000000004">
      <c r="A31" t="str">
        <f>IF('Transfer Definitions'!J4="y",'Population Definitions'!$A$4,"...")</f>
        <v>...</v>
      </c>
      <c r="B31" t="str">
        <f>IF('Transfer Definitions'!J4="y","---&gt;","")</f>
        <v/>
      </c>
      <c r="C31" t="str">
        <f>IF('Transfer Definitions'!J4="y",'Population Definitions'!$A$10,"")</f>
        <v/>
      </c>
      <c r="D31" t="str">
        <f t="shared" si="0"/>
        <v/>
      </c>
      <c r="E31" t="str">
        <f>IF(A31&lt;&gt;"...",IF(SUMPRODUCT(--(G31:W31&lt;&gt;""))=0,IF(AND('Population Definitions'!D4&lt;&gt;"",'Population Definitions'!C4&lt;&gt;""),1/('Population Definitions'!D4-'Population Definitions'!C4+1),0),"N.A."),"")</f>
        <v/>
      </c>
      <c r="F31" t="str">
        <f t="shared" si="1"/>
        <v/>
      </c>
    </row>
    <row r="32" spans="1:23" x14ac:dyDescent="0.55000000000000004">
      <c r="A32" t="str">
        <f>IF('Transfer Definitions'!K4="y",'Population Definitions'!$A$4,"...")</f>
        <v>...</v>
      </c>
      <c r="B32" t="str">
        <f>IF('Transfer Definitions'!K4="y","---&gt;","")</f>
        <v/>
      </c>
      <c r="C32" t="str">
        <f>IF('Transfer Definitions'!K4="y",'Population Definitions'!$A$11,"")</f>
        <v/>
      </c>
      <c r="D32" t="str">
        <f t="shared" si="0"/>
        <v/>
      </c>
      <c r="E32" t="str">
        <f>IF(A32&lt;&gt;"...",IF(SUMPRODUCT(--(G32:W32&lt;&gt;""))=0,IF(AND('Population Definitions'!D4&lt;&gt;"",'Population Definitions'!C4&lt;&gt;""),1/('Population Definitions'!D4-'Population Definitions'!C4+1),0),"N.A."),"")</f>
        <v/>
      </c>
      <c r="F32" t="str">
        <f t="shared" si="1"/>
        <v/>
      </c>
    </row>
    <row r="33" spans="1:6" x14ac:dyDescent="0.55000000000000004">
      <c r="A33" t="str">
        <f>IF('Transfer Definitions'!L4="y",'Population Definitions'!$A$4,"...")</f>
        <v>...</v>
      </c>
      <c r="B33" t="str">
        <f>IF('Transfer Definitions'!L4="y","---&gt;","")</f>
        <v/>
      </c>
      <c r="C33" t="str">
        <f>IF('Transfer Definitions'!L4="y",'Population Definitions'!$A$12,"")</f>
        <v/>
      </c>
      <c r="D33" t="str">
        <f t="shared" si="0"/>
        <v/>
      </c>
      <c r="E33" t="str">
        <f>IF(A33&lt;&gt;"...",IF(SUMPRODUCT(--(G33:W33&lt;&gt;""))=0,IF(AND('Population Definitions'!D4&lt;&gt;"",'Population Definitions'!C4&lt;&gt;""),1/('Population Definitions'!D4-'Population Definitions'!C4+1),0),"N.A."),"")</f>
        <v/>
      </c>
      <c r="F33" t="str">
        <f t="shared" si="1"/>
        <v/>
      </c>
    </row>
    <row r="34" spans="1:6" x14ac:dyDescent="0.55000000000000004">
      <c r="A34" t="str">
        <f>IF('Transfer Definitions'!M4="y",'Population Definitions'!$A$4,"...")</f>
        <v>...</v>
      </c>
      <c r="B34" t="str">
        <f>IF('Transfer Definitions'!M4="y","---&gt;","")</f>
        <v/>
      </c>
      <c r="C34" t="str">
        <f>IF('Transfer Definitions'!M4="y",'Population Definitions'!$A$13,"")</f>
        <v/>
      </c>
      <c r="D34" t="str">
        <f t="shared" ref="D34:D65" si="2">IF(A34&lt;&gt;"...","Fraction","")</f>
        <v/>
      </c>
      <c r="E34" t="str">
        <f>IF(A34&lt;&gt;"...",IF(SUMPRODUCT(--(G34:W34&lt;&gt;""))=0,IF(AND('Population Definitions'!D4&lt;&gt;"",'Population Definitions'!C4&lt;&gt;""),1/('Population Definitions'!D4-'Population Definitions'!C4+1),0),"N.A."),"")</f>
        <v/>
      </c>
      <c r="F34" t="str">
        <f t="shared" ref="F34:F65" si="3">IF(A34&lt;&gt;"...","OR","")</f>
        <v/>
      </c>
    </row>
    <row r="35" spans="1:6" x14ac:dyDescent="0.55000000000000004">
      <c r="A35" t="str">
        <f>IF('Transfer Definitions'!B5="y",'Population Definitions'!$A$5,"...")</f>
        <v>...</v>
      </c>
      <c r="B35" t="str">
        <f>IF('Transfer Definitions'!B5="y","---&gt;","")</f>
        <v/>
      </c>
      <c r="C35" t="str">
        <f>IF('Transfer Definitions'!B5="y",'Population Definitions'!$A$2,"")</f>
        <v/>
      </c>
      <c r="D35" t="str">
        <f t="shared" si="2"/>
        <v/>
      </c>
      <c r="E35" t="str">
        <f>IF(A35&lt;&gt;"...",IF(SUMPRODUCT(--(G35:W35&lt;&gt;""))=0,IF(AND('Population Definitions'!D5&lt;&gt;"",'Population Definitions'!C5&lt;&gt;""),1/('Population Definitions'!D5-'Population Definitions'!C5+1),0),"N.A."),"")</f>
        <v/>
      </c>
      <c r="F35" t="str">
        <f t="shared" si="3"/>
        <v/>
      </c>
    </row>
    <row r="36" spans="1:6" x14ac:dyDescent="0.55000000000000004">
      <c r="A36" t="str">
        <f>IF('Transfer Definitions'!C5="y",'Population Definitions'!$A$5,"...")</f>
        <v>...</v>
      </c>
      <c r="B36" t="str">
        <f>IF('Transfer Definitions'!C5="y","---&gt;","")</f>
        <v/>
      </c>
      <c r="C36" t="str">
        <f>IF('Transfer Definitions'!C5="y",'Population Definitions'!$A$3,"")</f>
        <v/>
      </c>
      <c r="D36" t="str">
        <f t="shared" si="2"/>
        <v/>
      </c>
      <c r="E36" t="str">
        <f>IF(A36&lt;&gt;"...",IF(SUMPRODUCT(--(G36:W36&lt;&gt;""))=0,IF(AND('Population Definitions'!D5&lt;&gt;"",'Population Definitions'!C5&lt;&gt;""),1/('Population Definitions'!D5-'Population Definitions'!C5+1),0),"N.A."),"")</f>
        <v/>
      </c>
      <c r="F36" t="str">
        <f t="shared" si="3"/>
        <v/>
      </c>
    </row>
    <row r="37" spans="1:6" x14ac:dyDescent="0.55000000000000004">
      <c r="A37" t="str">
        <f>IF('Transfer Definitions'!D5="y",'Population Definitions'!$A$5,"...")</f>
        <v>...</v>
      </c>
      <c r="B37" t="str">
        <f>IF('Transfer Definitions'!D5="y","---&gt;","")</f>
        <v/>
      </c>
      <c r="C37" t="str">
        <f>IF('Transfer Definitions'!D5="y",'Population Definitions'!$A$4,"")</f>
        <v/>
      </c>
      <c r="D37" t="str">
        <f t="shared" si="2"/>
        <v/>
      </c>
      <c r="E37" t="str">
        <f>IF(A37&lt;&gt;"...",IF(SUMPRODUCT(--(G37:W37&lt;&gt;""))=0,IF(AND('Population Definitions'!D5&lt;&gt;"",'Population Definitions'!C5&lt;&gt;""),1/('Population Definitions'!D5-'Population Definitions'!C5+1),0),"N.A."),"")</f>
        <v/>
      </c>
      <c r="F37" t="str">
        <f t="shared" si="3"/>
        <v/>
      </c>
    </row>
    <row r="38" spans="1:6" x14ac:dyDescent="0.55000000000000004">
      <c r="A38" t="str">
        <f>IF('Transfer Definitions'!F5="y",'Population Definitions'!$A$5,"...")</f>
        <v>...</v>
      </c>
      <c r="B38" t="str">
        <f>IF('Transfer Definitions'!F5="y","---&gt;","")</f>
        <v/>
      </c>
      <c r="C38" t="str">
        <f>IF('Transfer Definitions'!F5="y",'Population Definitions'!$A$6,"")</f>
        <v/>
      </c>
      <c r="D38" t="str">
        <f t="shared" si="2"/>
        <v/>
      </c>
      <c r="E38" t="str">
        <f>IF(A38&lt;&gt;"...",IF(SUMPRODUCT(--(G38:W38&lt;&gt;""))=0,IF(AND('Population Definitions'!D5&lt;&gt;"",'Population Definitions'!C5&lt;&gt;""),1/('Population Definitions'!D5-'Population Definitions'!C5+1),0),"N.A."),"")</f>
        <v/>
      </c>
      <c r="F38" t="str">
        <f t="shared" si="3"/>
        <v/>
      </c>
    </row>
    <row r="39" spans="1:6" x14ac:dyDescent="0.55000000000000004">
      <c r="A39" t="str">
        <f>IF('Transfer Definitions'!G5="y",'Population Definitions'!$A$5,"...")</f>
        <v>...</v>
      </c>
      <c r="B39" t="str">
        <f>IF('Transfer Definitions'!G5="y","---&gt;","")</f>
        <v/>
      </c>
      <c r="C39" t="str">
        <f>IF('Transfer Definitions'!G5="y",'Population Definitions'!$A$7,"")</f>
        <v/>
      </c>
      <c r="D39" t="str">
        <f t="shared" si="2"/>
        <v/>
      </c>
      <c r="E39" t="str">
        <f>IF(A39&lt;&gt;"...",IF(SUMPRODUCT(--(G39:W39&lt;&gt;""))=0,IF(AND('Population Definitions'!D5&lt;&gt;"",'Population Definitions'!C5&lt;&gt;""),1/('Population Definitions'!D5-'Population Definitions'!C5+1),0),"N.A."),"")</f>
        <v/>
      </c>
      <c r="F39" t="str">
        <f t="shared" si="3"/>
        <v/>
      </c>
    </row>
    <row r="40" spans="1:6" x14ac:dyDescent="0.55000000000000004">
      <c r="A40" t="str">
        <f>IF('Transfer Definitions'!H5="y",'Population Definitions'!$A$5,"...")</f>
        <v>...</v>
      </c>
      <c r="B40" t="str">
        <f>IF('Transfer Definitions'!H5="y","---&gt;","")</f>
        <v/>
      </c>
      <c r="C40" t="str">
        <f>IF('Transfer Definitions'!H5="y",'Population Definitions'!$A$8,"")</f>
        <v/>
      </c>
      <c r="D40" t="str">
        <f t="shared" si="2"/>
        <v/>
      </c>
      <c r="E40" t="str">
        <f>IF(A40&lt;&gt;"...",IF(SUMPRODUCT(--(G40:W40&lt;&gt;""))=0,IF(AND('Population Definitions'!D5&lt;&gt;"",'Population Definitions'!C5&lt;&gt;""),1/('Population Definitions'!D5-'Population Definitions'!C5+1),0),"N.A."),"")</f>
        <v/>
      </c>
      <c r="F40" t="str">
        <f t="shared" si="3"/>
        <v/>
      </c>
    </row>
    <row r="41" spans="1:6" x14ac:dyDescent="0.55000000000000004">
      <c r="A41" t="str">
        <f>IF('Transfer Definitions'!I5="y",'Population Definitions'!$A$5,"...")</f>
        <v>...</v>
      </c>
      <c r="B41" t="str">
        <f>IF('Transfer Definitions'!I5="y","---&gt;","")</f>
        <v/>
      </c>
      <c r="C41" t="str">
        <f>IF('Transfer Definitions'!I5="y",'Population Definitions'!$A$9,"")</f>
        <v/>
      </c>
      <c r="D41" t="str">
        <f t="shared" si="2"/>
        <v/>
      </c>
      <c r="E41" t="str">
        <f>IF(A41&lt;&gt;"...",IF(SUMPRODUCT(--(G41:W41&lt;&gt;""))=0,IF(AND('Population Definitions'!D5&lt;&gt;"",'Population Definitions'!C5&lt;&gt;""),1/('Population Definitions'!D5-'Population Definitions'!C5+1),0),"N.A."),"")</f>
        <v/>
      </c>
      <c r="F41" t="str">
        <f t="shared" si="3"/>
        <v/>
      </c>
    </row>
    <row r="42" spans="1:6" x14ac:dyDescent="0.55000000000000004">
      <c r="A42" t="str">
        <f>IF('Transfer Definitions'!J5="y",'Population Definitions'!$A$5,"...")</f>
        <v>...</v>
      </c>
      <c r="B42" t="str">
        <f>IF('Transfer Definitions'!J5="y","---&gt;","")</f>
        <v/>
      </c>
      <c r="C42" t="str">
        <f>IF('Transfer Definitions'!J5="y",'Population Definitions'!$A$10,"")</f>
        <v/>
      </c>
      <c r="D42" t="str">
        <f t="shared" si="2"/>
        <v/>
      </c>
      <c r="E42" t="str">
        <f>IF(A42&lt;&gt;"...",IF(SUMPRODUCT(--(G42:W42&lt;&gt;""))=0,IF(AND('Population Definitions'!D5&lt;&gt;"",'Population Definitions'!C5&lt;&gt;""),1/('Population Definitions'!D5-'Population Definitions'!C5+1),0),"N.A."),"")</f>
        <v/>
      </c>
      <c r="F42" t="str">
        <f t="shared" si="3"/>
        <v/>
      </c>
    </row>
    <row r="43" spans="1:6" x14ac:dyDescent="0.55000000000000004">
      <c r="A43" t="str">
        <f>IF('Transfer Definitions'!K5="y",'Population Definitions'!$A$5,"...")</f>
        <v>...</v>
      </c>
      <c r="B43" t="str">
        <f>IF('Transfer Definitions'!K5="y","---&gt;","")</f>
        <v/>
      </c>
      <c r="C43" t="str">
        <f>IF('Transfer Definitions'!K5="y",'Population Definitions'!$A$11,"")</f>
        <v/>
      </c>
      <c r="D43" t="str">
        <f t="shared" si="2"/>
        <v/>
      </c>
      <c r="E43" t="str">
        <f>IF(A43&lt;&gt;"...",IF(SUMPRODUCT(--(G43:W43&lt;&gt;""))=0,IF(AND('Population Definitions'!D5&lt;&gt;"",'Population Definitions'!C5&lt;&gt;""),1/('Population Definitions'!D5-'Population Definitions'!C5+1),0),"N.A."),"")</f>
        <v/>
      </c>
      <c r="F43" t="str">
        <f t="shared" si="3"/>
        <v/>
      </c>
    </row>
    <row r="44" spans="1:6" x14ac:dyDescent="0.55000000000000004">
      <c r="A44" t="str">
        <f>IF('Transfer Definitions'!L5="y",'Population Definitions'!$A$5,"...")</f>
        <v>...</v>
      </c>
      <c r="B44" t="str">
        <f>IF('Transfer Definitions'!L5="y","---&gt;","")</f>
        <v/>
      </c>
      <c r="C44" t="str">
        <f>IF('Transfer Definitions'!L5="y",'Population Definitions'!$A$12,"")</f>
        <v/>
      </c>
      <c r="D44" t="str">
        <f t="shared" si="2"/>
        <v/>
      </c>
      <c r="E44" t="str">
        <f>IF(A44&lt;&gt;"...",IF(SUMPRODUCT(--(G44:W44&lt;&gt;""))=0,IF(AND('Population Definitions'!D5&lt;&gt;"",'Population Definitions'!C5&lt;&gt;""),1/('Population Definitions'!D5-'Population Definitions'!C5+1),0),"N.A."),"")</f>
        <v/>
      </c>
      <c r="F44" t="str">
        <f t="shared" si="3"/>
        <v/>
      </c>
    </row>
    <row r="45" spans="1:6" x14ac:dyDescent="0.55000000000000004">
      <c r="A45" t="str">
        <f>IF('Transfer Definitions'!M5="y",'Population Definitions'!$A$5,"...")</f>
        <v>...</v>
      </c>
      <c r="B45" t="str">
        <f>IF('Transfer Definitions'!M5="y","---&gt;","")</f>
        <v/>
      </c>
      <c r="C45" t="str">
        <f>IF('Transfer Definitions'!M5="y",'Population Definitions'!$A$13,"")</f>
        <v/>
      </c>
      <c r="D45" t="str">
        <f t="shared" si="2"/>
        <v/>
      </c>
      <c r="E45" t="str">
        <f>IF(A45&lt;&gt;"...",IF(SUMPRODUCT(--(G45:W45&lt;&gt;""))=0,IF(AND('Population Definitions'!D5&lt;&gt;"",'Population Definitions'!C5&lt;&gt;""),1/('Population Definitions'!D5-'Population Definitions'!C5+1),0),"N.A."),"")</f>
        <v/>
      </c>
      <c r="F45" t="str">
        <f t="shared" si="3"/>
        <v/>
      </c>
    </row>
    <row r="46" spans="1:6" x14ac:dyDescent="0.55000000000000004">
      <c r="A46" t="str">
        <f>IF('Transfer Definitions'!B6="y",'Population Definitions'!$A$6,"...")</f>
        <v>...</v>
      </c>
      <c r="B46" t="str">
        <f>IF('Transfer Definitions'!B6="y","---&gt;","")</f>
        <v/>
      </c>
      <c r="C46" t="str">
        <f>IF('Transfer Definitions'!B6="y",'Population Definitions'!$A$2,"")</f>
        <v/>
      </c>
      <c r="D46" t="str">
        <f t="shared" si="2"/>
        <v/>
      </c>
      <c r="E46" t="str">
        <f>IF(A46&lt;&gt;"...",IF(SUMPRODUCT(--(G46:W46&lt;&gt;""))=0,IF(AND('Population Definitions'!D6&lt;&gt;"",'Population Definitions'!C6&lt;&gt;""),1/('Population Definitions'!D6-'Population Definitions'!C6+1),0),"N.A."),"")</f>
        <v/>
      </c>
      <c r="F46" t="str">
        <f t="shared" si="3"/>
        <v/>
      </c>
    </row>
    <row r="47" spans="1:6" x14ac:dyDescent="0.55000000000000004">
      <c r="A47" t="str">
        <f>IF('Transfer Definitions'!C6="y",'Population Definitions'!$A$6,"...")</f>
        <v>...</v>
      </c>
      <c r="B47" t="str">
        <f>IF('Transfer Definitions'!C6="y","---&gt;","")</f>
        <v/>
      </c>
      <c r="C47" t="str">
        <f>IF('Transfer Definitions'!C6="y",'Population Definitions'!$A$3,"")</f>
        <v/>
      </c>
      <c r="D47" t="str">
        <f t="shared" si="2"/>
        <v/>
      </c>
      <c r="E47" t="str">
        <f>IF(A47&lt;&gt;"...",IF(SUMPRODUCT(--(G47:W47&lt;&gt;""))=0,IF(AND('Population Definitions'!D6&lt;&gt;"",'Population Definitions'!C6&lt;&gt;""),1/('Population Definitions'!D6-'Population Definitions'!C6+1),0),"N.A."),"")</f>
        <v/>
      </c>
      <c r="F47" t="str">
        <f t="shared" si="3"/>
        <v/>
      </c>
    </row>
    <row r="48" spans="1:6" x14ac:dyDescent="0.55000000000000004">
      <c r="A48" t="str">
        <f>IF('Transfer Definitions'!D6="y",'Population Definitions'!$A$6,"...")</f>
        <v>...</v>
      </c>
      <c r="B48" t="str">
        <f>IF('Transfer Definitions'!D6="y","---&gt;","")</f>
        <v/>
      </c>
      <c r="C48" t="str">
        <f>IF('Transfer Definitions'!D6="y",'Population Definitions'!$A$4,"")</f>
        <v/>
      </c>
      <c r="D48" t="str">
        <f t="shared" si="2"/>
        <v/>
      </c>
      <c r="E48" t="str">
        <f>IF(A48&lt;&gt;"...",IF(SUMPRODUCT(--(G48:W48&lt;&gt;""))=0,IF(AND('Population Definitions'!D6&lt;&gt;"",'Population Definitions'!C6&lt;&gt;""),1/('Population Definitions'!D6-'Population Definitions'!C6+1),0),"N.A."),"")</f>
        <v/>
      </c>
      <c r="F48" t="str">
        <f t="shared" si="3"/>
        <v/>
      </c>
    </row>
    <row r="49" spans="1:23" x14ac:dyDescent="0.55000000000000004">
      <c r="A49" t="str">
        <f>IF('Transfer Definitions'!E6="y",'Population Definitions'!$A$6,"...")</f>
        <v>...</v>
      </c>
      <c r="B49" t="str">
        <f>IF('Transfer Definitions'!E6="y","---&gt;","")</f>
        <v/>
      </c>
      <c r="C49" t="str">
        <f>IF('Transfer Definitions'!E6="y",'Population Definitions'!$A$5,"")</f>
        <v/>
      </c>
      <c r="D49" t="str">
        <f t="shared" si="2"/>
        <v/>
      </c>
      <c r="E49" t="str">
        <f>IF(A49&lt;&gt;"...",IF(SUMPRODUCT(--(G49:W49&lt;&gt;""))=0,IF(AND('Population Definitions'!D6&lt;&gt;"",'Population Definitions'!C6&lt;&gt;""),1/('Population Definitions'!D6-'Population Definitions'!C6+1),0),"N.A."),"")</f>
        <v/>
      </c>
      <c r="F49" t="str">
        <f t="shared" si="3"/>
        <v/>
      </c>
    </row>
    <row r="50" spans="1:23" x14ac:dyDescent="0.55000000000000004">
      <c r="A50" s="1" t="str">
        <f>IF('Transfer Definitions'!G6="y",'Population Definitions'!$A$6,"...")</f>
        <v>PLHIV 15-64</v>
      </c>
      <c r="B50" s="1" t="str">
        <f>IF('Transfer Definitions'!G6="y","---&gt;","")</f>
        <v>---&gt;</v>
      </c>
      <c r="C50" s="1" t="str">
        <f>IF('Transfer Definitions'!G6="y",'Population Definitions'!$A$7,"")</f>
        <v>PLHIV 65+</v>
      </c>
      <c r="D50" s="1" t="str">
        <f t="shared" si="2"/>
        <v>Fraction</v>
      </c>
      <c r="E50" s="4" t="str">
        <f>IF(A50&lt;&gt;"...",IF(SUMPRODUCT(--(G50:W50&lt;&gt;""))=0,IF(AND('Population Definitions'!D6&lt;&gt;"",'Population Definitions'!C6&lt;&gt;""),1/('Population Definitions'!D6-'Population Definitions'!C6+1),0),"N.A."),"")</f>
        <v>N.A.</v>
      </c>
      <c r="F50" s="1" t="str">
        <f t="shared" si="3"/>
        <v>OR</v>
      </c>
      <c r="G50" s="18">
        <v>4.4859619633444577E-4</v>
      </c>
      <c r="H50" s="18">
        <v>4.6931896213419711E-4</v>
      </c>
      <c r="I50" s="18">
        <v>4.9204901790228853E-4</v>
      </c>
      <c r="J50" s="18">
        <v>5.1709285902344214E-4</v>
      </c>
      <c r="K50" s="18">
        <v>5.4482272595024104E-4</v>
      </c>
      <c r="L50" s="18">
        <v>5.246889773284E-4</v>
      </c>
      <c r="M50" s="18">
        <v>4.5042615054513769E-4</v>
      </c>
      <c r="N50" s="18">
        <v>3.9457872013928477E-4</v>
      </c>
      <c r="O50" s="18">
        <v>2.8279916406159301E-4</v>
      </c>
      <c r="P50" s="18">
        <v>2.6694632764627285E-4</v>
      </c>
      <c r="Q50" s="18">
        <v>2.5277646956030982E-4</v>
      </c>
      <c r="R50" s="18">
        <v>2.4003509470204272E-4</v>
      </c>
      <c r="S50" s="18">
        <v>2.2851655768082207E-4</v>
      </c>
      <c r="T50" s="18">
        <v>2.1805287877627849E-4</v>
      </c>
      <c r="U50" s="18">
        <v>2.0850549803757868E-4</v>
      </c>
      <c r="V50" s="18">
        <v>1.9975910477717257E-4</v>
      </c>
      <c r="W50" s="4"/>
    </row>
    <row r="51" spans="1:23" x14ac:dyDescent="0.55000000000000004">
      <c r="A51" t="str">
        <f>IF('Transfer Definitions'!H6="y",'Population Definitions'!$A$6,"...")</f>
        <v>...</v>
      </c>
      <c r="B51" t="str">
        <f>IF('Transfer Definitions'!H6="y","---&gt;","")</f>
        <v/>
      </c>
      <c r="C51" t="str">
        <f>IF('Transfer Definitions'!H6="y",'Population Definitions'!$A$8,"")</f>
        <v/>
      </c>
      <c r="D51" t="str">
        <f t="shared" si="2"/>
        <v/>
      </c>
      <c r="E51" t="str">
        <f>IF(A51&lt;&gt;"...",IF(SUMPRODUCT(--(G51:W51&lt;&gt;""))=0,IF(AND('Population Definitions'!D6&lt;&gt;"",'Population Definitions'!C6&lt;&gt;""),1/('Population Definitions'!D6-'Population Definitions'!C6+1),0),"N.A."),"")</f>
        <v/>
      </c>
      <c r="F51" t="str">
        <f t="shared" si="3"/>
        <v/>
      </c>
    </row>
    <row r="52" spans="1:23" x14ac:dyDescent="0.55000000000000004">
      <c r="A52" t="str">
        <f>IF('Transfer Definitions'!I6="y",'Population Definitions'!$A$6,"...")</f>
        <v>...</v>
      </c>
      <c r="B52" t="str">
        <f>IF('Transfer Definitions'!I6="y","---&gt;","")</f>
        <v/>
      </c>
      <c r="C52" t="str">
        <f>IF('Transfer Definitions'!I6="y",'Population Definitions'!$A$9,"")</f>
        <v/>
      </c>
      <c r="D52" t="str">
        <f t="shared" si="2"/>
        <v/>
      </c>
      <c r="E52" t="str">
        <f>IF(A52&lt;&gt;"...",IF(SUMPRODUCT(--(G52:W52&lt;&gt;""))=0,IF(AND('Population Definitions'!D6&lt;&gt;"",'Population Definitions'!C6&lt;&gt;""),1/('Population Definitions'!D6-'Population Definitions'!C6+1),0),"N.A."),"")</f>
        <v/>
      </c>
      <c r="F52" t="str">
        <f t="shared" si="3"/>
        <v/>
      </c>
    </row>
    <row r="53" spans="1:23" x14ac:dyDescent="0.55000000000000004">
      <c r="A53" t="str">
        <f>IF('Transfer Definitions'!J6="y",'Population Definitions'!$A$6,"...")</f>
        <v>...</v>
      </c>
      <c r="B53" t="str">
        <f>IF('Transfer Definitions'!J6="y","---&gt;","")</f>
        <v/>
      </c>
      <c r="C53" t="str">
        <f>IF('Transfer Definitions'!J6="y",'Population Definitions'!$A$10,"")</f>
        <v/>
      </c>
      <c r="D53" t="str">
        <f t="shared" si="2"/>
        <v/>
      </c>
      <c r="E53" t="str">
        <f>IF(A53&lt;&gt;"...",IF(SUMPRODUCT(--(G53:W53&lt;&gt;""))=0,IF(AND('Population Definitions'!D6&lt;&gt;"",'Population Definitions'!C6&lt;&gt;""),1/('Population Definitions'!D6-'Population Definitions'!C6+1),0),"N.A."),"")</f>
        <v/>
      </c>
      <c r="F53" t="str">
        <f t="shared" si="3"/>
        <v/>
      </c>
    </row>
    <row r="54" spans="1:23" x14ac:dyDescent="0.55000000000000004">
      <c r="A54" t="str">
        <f>IF('Transfer Definitions'!K6="y",'Population Definitions'!$A$6,"...")</f>
        <v>...</v>
      </c>
      <c r="B54" t="str">
        <f>IF('Transfer Definitions'!K6="y","---&gt;","")</f>
        <v/>
      </c>
      <c r="C54" t="str">
        <f>IF('Transfer Definitions'!K6="y",'Population Definitions'!$A$11,"")</f>
        <v/>
      </c>
      <c r="D54" t="str">
        <f t="shared" si="2"/>
        <v/>
      </c>
      <c r="E54" t="str">
        <f>IF(A54&lt;&gt;"...",IF(SUMPRODUCT(--(G54:W54&lt;&gt;""))=0,IF(AND('Population Definitions'!D6&lt;&gt;"",'Population Definitions'!C6&lt;&gt;""),1/('Population Definitions'!D6-'Population Definitions'!C6+1),0),"N.A."),"")</f>
        <v/>
      </c>
      <c r="F54" t="str">
        <f t="shared" si="3"/>
        <v/>
      </c>
    </row>
    <row r="55" spans="1:23" x14ac:dyDescent="0.55000000000000004">
      <c r="A55" t="str">
        <f>IF('Transfer Definitions'!L6="y",'Population Definitions'!$A$6,"...")</f>
        <v>...</v>
      </c>
      <c r="B55" t="str">
        <f>IF('Transfer Definitions'!L6="y","---&gt;","")</f>
        <v/>
      </c>
      <c r="C55" t="str">
        <f>IF('Transfer Definitions'!L6="y",'Population Definitions'!$A$12,"")</f>
        <v/>
      </c>
      <c r="D55" t="str">
        <f t="shared" si="2"/>
        <v/>
      </c>
      <c r="E55" t="str">
        <f>IF(A55&lt;&gt;"...",IF(SUMPRODUCT(--(G55:W55&lt;&gt;""))=0,IF(AND('Population Definitions'!D6&lt;&gt;"",'Population Definitions'!C6&lt;&gt;""),1/('Population Definitions'!D6-'Population Definitions'!C6+1),0),"N.A."),"")</f>
        <v/>
      </c>
      <c r="F55" t="str">
        <f t="shared" si="3"/>
        <v/>
      </c>
    </row>
    <row r="56" spans="1:23" x14ac:dyDescent="0.55000000000000004">
      <c r="A56" t="str">
        <f>IF('Transfer Definitions'!M6="y",'Population Definitions'!$A$6,"...")</f>
        <v>...</v>
      </c>
      <c r="B56" t="str">
        <f>IF('Transfer Definitions'!M6="y","---&gt;","")</f>
        <v/>
      </c>
      <c r="C56" t="str">
        <f>IF('Transfer Definitions'!M6="y",'Population Definitions'!$A$13,"")</f>
        <v/>
      </c>
      <c r="D56" t="str">
        <f t="shared" si="2"/>
        <v/>
      </c>
      <c r="E56" t="str">
        <f>IF(A56&lt;&gt;"...",IF(SUMPRODUCT(--(G56:W56&lt;&gt;""))=0,IF(AND('Population Definitions'!D6&lt;&gt;"",'Population Definitions'!C6&lt;&gt;""),1/('Population Definitions'!D6-'Population Definitions'!C6+1),0),"N.A."),"")</f>
        <v/>
      </c>
      <c r="F56" t="str">
        <f t="shared" si="3"/>
        <v/>
      </c>
    </row>
    <row r="57" spans="1:23" x14ac:dyDescent="0.55000000000000004">
      <c r="A57" t="str">
        <f>IF('Transfer Definitions'!B7="y",'Population Definitions'!$A$7,"...")</f>
        <v>...</v>
      </c>
      <c r="B57" t="str">
        <f>IF('Transfer Definitions'!B7="y","---&gt;","")</f>
        <v/>
      </c>
      <c r="C57" t="str">
        <f>IF('Transfer Definitions'!B7="y",'Population Definitions'!$A$2,"")</f>
        <v/>
      </c>
      <c r="D57" t="str">
        <f t="shared" si="2"/>
        <v/>
      </c>
      <c r="E57" t="str">
        <f>IF(A57&lt;&gt;"...",IF(SUMPRODUCT(--(G57:W57&lt;&gt;""))=0,IF(AND('Population Definitions'!D7&lt;&gt;"",'Population Definitions'!C7&lt;&gt;""),1/('Population Definitions'!D7-'Population Definitions'!C7+1),0),"N.A."),"")</f>
        <v/>
      </c>
      <c r="F57" t="str">
        <f t="shared" si="3"/>
        <v/>
      </c>
    </row>
    <row r="58" spans="1:23" x14ac:dyDescent="0.55000000000000004">
      <c r="A58" t="str">
        <f>IF('Transfer Definitions'!C7="y",'Population Definitions'!$A$7,"...")</f>
        <v>...</v>
      </c>
      <c r="B58" t="str">
        <f>IF('Transfer Definitions'!C7="y","---&gt;","")</f>
        <v/>
      </c>
      <c r="C58" t="str">
        <f>IF('Transfer Definitions'!C7="y",'Population Definitions'!$A$3,"")</f>
        <v/>
      </c>
      <c r="D58" t="str">
        <f t="shared" si="2"/>
        <v/>
      </c>
      <c r="E58" t="str">
        <f>IF(A58&lt;&gt;"...",IF(SUMPRODUCT(--(G58:W58&lt;&gt;""))=0,IF(AND('Population Definitions'!D7&lt;&gt;"",'Population Definitions'!C7&lt;&gt;""),1/('Population Definitions'!D7-'Population Definitions'!C7+1),0),"N.A."),"")</f>
        <v/>
      </c>
      <c r="F58" t="str">
        <f t="shared" si="3"/>
        <v/>
      </c>
    </row>
    <row r="59" spans="1:23" x14ac:dyDescent="0.55000000000000004">
      <c r="A59" t="str">
        <f>IF('Transfer Definitions'!D7="y",'Population Definitions'!$A$7,"...")</f>
        <v>...</v>
      </c>
      <c r="B59" t="str">
        <f>IF('Transfer Definitions'!D7="y","---&gt;","")</f>
        <v/>
      </c>
      <c r="C59" t="str">
        <f>IF('Transfer Definitions'!D7="y",'Population Definitions'!$A$4,"")</f>
        <v/>
      </c>
      <c r="D59" t="str">
        <f t="shared" si="2"/>
        <v/>
      </c>
      <c r="E59" t="str">
        <f>IF(A59&lt;&gt;"...",IF(SUMPRODUCT(--(G59:W59&lt;&gt;""))=0,IF(AND('Population Definitions'!D7&lt;&gt;"",'Population Definitions'!C7&lt;&gt;""),1/('Population Definitions'!D7-'Population Definitions'!C7+1),0),"N.A."),"")</f>
        <v/>
      </c>
      <c r="F59" t="str">
        <f t="shared" si="3"/>
        <v/>
      </c>
    </row>
    <row r="60" spans="1:23" x14ac:dyDescent="0.55000000000000004">
      <c r="A60" t="str">
        <f>IF('Transfer Definitions'!E7="y",'Population Definitions'!$A$7,"...")</f>
        <v>...</v>
      </c>
      <c r="B60" t="str">
        <f>IF('Transfer Definitions'!E7="y","---&gt;","")</f>
        <v/>
      </c>
      <c r="C60" t="str">
        <f>IF('Transfer Definitions'!E7="y",'Population Definitions'!$A$5,"")</f>
        <v/>
      </c>
      <c r="D60" t="str">
        <f t="shared" si="2"/>
        <v/>
      </c>
      <c r="E60" t="str">
        <f>IF(A60&lt;&gt;"...",IF(SUMPRODUCT(--(G60:W60&lt;&gt;""))=0,IF(AND('Population Definitions'!D7&lt;&gt;"",'Population Definitions'!C7&lt;&gt;""),1/('Population Definitions'!D7-'Population Definitions'!C7+1),0),"N.A."),"")</f>
        <v/>
      </c>
      <c r="F60" t="str">
        <f t="shared" si="3"/>
        <v/>
      </c>
    </row>
    <row r="61" spans="1:23" x14ac:dyDescent="0.55000000000000004">
      <c r="A61" t="str">
        <f>IF('Transfer Definitions'!F7="y",'Population Definitions'!$A$7,"...")</f>
        <v>...</v>
      </c>
      <c r="B61" t="str">
        <f>IF('Transfer Definitions'!F7="y","---&gt;","")</f>
        <v/>
      </c>
      <c r="C61" t="str">
        <f>IF('Transfer Definitions'!F7="y",'Population Definitions'!$A$6,"")</f>
        <v/>
      </c>
      <c r="D61" t="str">
        <f t="shared" si="2"/>
        <v/>
      </c>
      <c r="E61" t="str">
        <f>IF(A61&lt;&gt;"...",IF(SUMPRODUCT(--(G61:W61&lt;&gt;""))=0,IF(AND('Population Definitions'!D7&lt;&gt;"",'Population Definitions'!C7&lt;&gt;""),1/('Population Definitions'!D7-'Population Definitions'!C7+1),0),"N.A."),"")</f>
        <v/>
      </c>
      <c r="F61" t="str">
        <f t="shared" si="3"/>
        <v/>
      </c>
    </row>
    <row r="62" spans="1:23" x14ac:dyDescent="0.55000000000000004">
      <c r="A62" t="str">
        <f>IF('Transfer Definitions'!H7="y",'Population Definitions'!$A$7,"...")</f>
        <v>...</v>
      </c>
      <c r="B62" t="str">
        <f>IF('Transfer Definitions'!H7="y","---&gt;","")</f>
        <v/>
      </c>
      <c r="C62" t="str">
        <f>IF('Transfer Definitions'!H7="y",'Population Definitions'!$A$8,"")</f>
        <v/>
      </c>
      <c r="D62" t="str">
        <f t="shared" si="2"/>
        <v/>
      </c>
      <c r="E62" t="str">
        <f>IF(A62&lt;&gt;"...",IF(SUMPRODUCT(--(G62:W62&lt;&gt;""))=0,IF(AND('Population Definitions'!D7&lt;&gt;"",'Population Definitions'!C7&lt;&gt;""),1/('Population Definitions'!D7-'Population Definitions'!C7+1),0),"N.A."),"")</f>
        <v/>
      </c>
      <c r="F62" t="str">
        <f t="shared" si="3"/>
        <v/>
      </c>
    </row>
    <row r="63" spans="1:23" x14ac:dyDescent="0.55000000000000004">
      <c r="A63" t="str">
        <f>IF('Transfer Definitions'!I7="y",'Population Definitions'!$A$7,"...")</f>
        <v>...</v>
      </c>
      <c r="B63" t="str">
        <f>IF('Transfer Definitions'!I7="y","---&gt;","")</f>
        <v/>
      </c>
      <c r="C63" t="str">
        <f>IF('Transfer Definitions'!I7="y",'Population Definitions'!$A$9,"")</f>
        <v/>
      </c>
      <c r="D63" t="str">
        <f t="shared" si="2"/>
        <v/>
      </c>
      <c r="E63" t="str">
        <f>IF(A63&lt;&gt;"...",IF(SUMPRODUCT(--(G63:W63&lt;&gt;""))=0,IF(AND('Population Definitions'!D7&lt;&gt;"",'Population Definitions'!C7&lt;&gt;""),1/('Population Definitions'!D7-'Population Definitions'!C7+1),0),"N.A."),"")</f>
        <v/>
      </c>
      <c r="F63" t="str">
        <f t="shared" si="3"/>
        <v/>
      </c>
    </row>
    <row r="64" spans="1:23" x14ac:dyDescent="0.55000000000000004">
      <c r="A64" t="str">
        <f>IF('Transfer Definitions'!J7="y",'Population Definitions'!$A$7,"...")</f>
        <v>...</v>
      </c>
      <c r="B64" t="str">
        <f>IF('Transfer Definitions'!J7="y","---&gt;","")</f>
        <v/>
      </c>
      <c r="C64" t="str">
        <f>IF('Transfer Definitions'!J7="y",'Population Definitions'!$A$10,"")</f>
        <v/>
      </c>
      <c r="D64" t="str">
        <f t="shared" si="2"/>
        <v/>
      </c>
      <c r="E64" t="str">
        <f>IF(A64&lt;&gt;"...",IF(SUMPRODUCT(--(G64:W64&lt;&gt;""))=0,IF(AND('Population Definitions'!D7&lt;&gt;"",'Population Definitions'!C7&lt;&gt;""),1/('Population Definitions'!D7-'Population Definitions'!C7+1),0),"N.A."),"")</f>
        <v/>
      </c>
      <c r="F64" t="str">
        <f t="shared" si="3"/>
        <v/>
      </c>
    </row>
    <row r="65" spans="1:6" x14ac:dyDescent="0.55000000000000004">
      <c r="A65" t="str">
        <f>IF('Transfer Definitions'!K7="y",'Population Definitions'!$A$7,"...")</f>
        <v>...</v>
      </c>
      <c r="B65" t="str">
        <f>IF('Transfer Definitions'!K7="y","---&gt;","")</f>
        <v/>
      </c>
      <c r="C65" t="str">
        <f>IF('Transfer Definitions'!K7="y",'Population Definitions'!$A$11,"")</f>
        <v/>
      </c>
      <c r="D65" t="str">
        <f t="shared" si="2"/>
        <v/>
      </c>
      <c r="E65" t="str">
        <f>IF(A65&lt;&gt;"...",IF(SUMPRODUCT(--(G65:W65&lt;&gt;""))=0,IF(AND('Population Definitions'!D7&lt;&gt;"",'Population Definitions'!C7&lt;&gt;""),1/('Population Definitions'!D7-'Population Definitions'!C7+1),0),"N.A."),"")</f>
        <v/>
      </c>
      <c r="F65" t="str">
        <f t="shared" si="3"/>
        <v/>
      </c>
    </row>
    <row r="66" spans="1:6" x14ac:dyDescent="0.55000000000000004">
      <c r="A66" t="str">
        <f>IF('Transfer Definitions'!L7="y",'Population Definitions'!$A$7,"...")</f>
        <v>...</v>
      </c>
      <c r="B66" t="str">
        <f>IF('Transfer Definitions'!L7="y","---&gt;","")</f>
        <v/>
      </c>
      <c r="C66" t="str">
        <f>IF('Transfer Definitions'!L7="y",'Population Definitions'!$A$12,"")</f>
        <v/>
      </c>
      <c r="D66" t="str">
        <f t="shared" ref="D66:D97" si="4">IF(A66&lt;&gt;"...","Fraction","")</f>
        <v/>
      </c>
      <c r="E66" t="str">
        <f>IF(A66&lt;&gt;"...",IF(SUMPRODUCT(--(G66:W66&lt;&gt;""))=0,IF(AND('Population Definitions'!D7&lt;&gt;"",'Population Definitions'!C7&lt;&gt;""),1/('Population Definitions'!D7-'Population Definitions'!C7+1),0),"N.A."),"")</f>
        <v/>
      </c>
      <c r="F66" t="str">
        <f t="shared" ref="F66:F97" si="5">IF(A66&lt;&gt;"...","OR","")</f>
        <v/>
      </c>
    </row>
    <row r="67" spans="1:6" x14ac:dyDescent="0.55000000000000004">
      <c r="A67" t="str">
        <f>IF('Transfer Definitions'!M7="y",'Population Definitions'!$A$7,"...")</f>
        <v>...</v>
      </c>
      <c r="B67" t="str">
        <f>IF('Transfer Definitions'!M7="y","---&gt;","")</f>
        <v/>
      </c>
      <c r="C67" t="str">
        <f>IF('Transfer Definitions'!M7="y",'Population Definitions'!$A$13,"")</f>
        <v/>
      </c>
      <c r="D67" t="str">
        <f t="shared" si="4"/>
        <v/>
      </c>
      <c r="E67" t="str">
        <f>IF(A67&lt;&gt;"...",IF(SUMPRODUCT(--(G67:W67&lt;&gt;""))=0,IF(AND('Population Definitions'!D7&lt;&gt;"",'Population Definitions'!C7&lt;&gt;""),1/('Population Definitions'!D7-'Population Definitions'!C7+1),0),"N.A."),"")</f>
        <v/>
      </c>
      <c r="F67" t="str">
        <f t="shared" si="5"/>
        <v/>
      </c>
    </row>
    <row r="68" spans="1:6" x14ac:dyDescent="0.55000000000000004">
      <c r="A68" t="str">
        <f>IF('Transfer Definitions'!B8="y",'Population Definitions'!$A$8,"...")</f>
        <v>...</v>
      </c>
      <c r="B68" t="str">
        <f>IF('Transfer Definitions'!B8="y","---&gt;","")</f>
        <v/>
      </c>
      <c r="C68" t="str">
        <f>IF('Transfer Definitions'!B8="y",'Population Definitions'!$A$2,"")</f>
        <v/>
      </c>
      <c r="D68" t="str">
        <f t="shared" si="4"/>
        <v/>
      </c>
      <c r="E68" t="str">
        <f>IF(A68&lt;&gt;"...",IF(SUMPRODUCT(--(G68:W68&lt;&gt;""))=0,IF(AND('Population Definitions'!D8&lt;&gt;"",'Population Definitions'!C8&lt;&gt;""),1/('Population Definitions'!D8-'Population Definitions'!C8+1),0),"N.A."),"")</f>
        <v/>
      </c>
      <c r="F68" t="str">
        <f t="shared" si="5"/>
        <v/>
      </c>
    </row>
    <row r="69" spans="1:6" x14ac:dyDescent="0.55000000000000004">
      <c r="A69" t="str">
        <f>IF('Transfer Definitions'!C8="y",'Population Definitions'!$A$8,"...")</f>
        <v>...</v>
      </c>
      <c r="B69" t="str">
        <f>IF('Transfer Definitions'!C8="y","---&gt;","")</f>
        <v/>
      </c>
      <c r="C69" t="str">
        <f>IF('Transfer Definitions'!C8="y",'Population Definitions'!$A$3,"")</f>
        <v/>
      </c>
      <c r="D69" t="str">
        <f t="shared" si="4"/>
        <v/>
      </c>
      <c r="E69" t="str">
        <f>IF(A69&lt;&gt;"...",IF(SUMPRODUCT(--(G69:W69&lt;&gt;""))=0,IF(AND('Population Definitions'!D8&lt;&gt;"",'Population Definitions'!C8&lt;&gt;""),1/('Population Definitions'!D8-'Population Definitions'!C8+1),0),"N.A."),"")</f>
        <v/>
      </c>
      <c r="F69" t="str">
        <f t="shared" si="5"/>
        <v/>
      </c>
    </row>
    <row r="70" spans="1:6" x14ac:dyDescent="0.55000000000000004">
      <c r="A70" t="str">
        <f>IF('Transfer Definitions'!D8="y",'Population Definitions'!$A$8,"...")</f>
        <v>...</v>
      </c>
      <c r="B70" t="str">
        <f>IF('Transfer Definitions'!D8="y","---&gt;","")</f>
        <v/>
      </c>
      <c r="C70" t="str">
        <f>IF('Transfer Definitions'!D8="y",'Population Definitions'!$A$4,"")</f>
        <v/>
      </c>
      <c r="D70" t="str">
        <f t="shared" si="4"/>
        <v/>
      </c>
      <c r="E70" t="str">
        <f>IF(A70&lt;&gt;"...",IF(SUMPRODUCT(--(G70:W70&lt;&gt;""))=0,IF(AND('Population Definitions'!D8&lt;&gt;"",'Population Definitions'!C8&lt;&gt;""),1/('Population Definitions'!D8-'Population Definitions'!C8+1),0),"N.A."),"")</f>
        <v/>
      </c>
      <c r="F70" t="str">
        <f t="shared" si="5"/>
        <v/>
      </c>
    </row>
    <row r="71" spans="1:6" x14ac:dyDescent="0.55000000000000004">
      <c r="A71" t="str">
        <f>IF('Transfer Definitions'!E8="y",'Population Definitions'!$A$8,"...")</f>
        <v>...</v>
      </c>
      <c r="B71" t="str">
        <f>IF('Transfer Definitions'!E8="y","---&gt;","")</f>
        <v/>
      </c>
      <c r="C71" t="str">
        <f>IF('Transfer Definitions'!E8="y",'Population Definitions'!$A$5,"")</f>
        <v/>
      </c>
      <c r="D71" t="str">
        <f t="shared" si="4"/>
        <v/>
      </c>
      <c r="E71" t="str">
        <f>IF(A71&lt;&gt;"...",IF(SUMPRODUCT(--(G71:W71&lt;&gt;""))=0,IF(AND('Population Definitions'!D8&lt;&gt;"",'Population Definitions'!C8&lt;&gt;""),1/('Population Definitions'!D8-'Population Definitions'!C8+1),0),"N.A."),"")</f>
        <v/>
      </c>
      <c r="F71" t="str">
        <f t="shared" si="5"/>
        <v/>
      </c>
    </row>
    <row r="72" spans="1:6" x14ac:dyDescent="0.55000000000000004">
      <c r="A72" t="str">
        <f>IF('Transfer Definitions'!F8="y",'Population Definitions'!$A$8,"...")</f>
        <v>...</v>
      </c>
      <c r="B72" t="str">
        <f>IF('Transfer Definitions'!F8="y","---&gt;","")</f>
        <v/>
      </c>
      <c r="C72" t="str">
        <f>IF('Transfer Definitions'!F8="y",'Population Definitions'!$A$6,"")</f>
        <v/>
      </c>
      <c r="D72" t="str">
        <f t="shared" si="4"/>
        <v/>
      </c>
      <c r="E72" t="str">
        <f>IF(A72&lt;&gt;"...",IF(SUMPRODUCT(--(G72:W72&lt;&gt;""))=0,IF(AND('Population Definitions'!D8&lt;&gt;"",'Population Definitions'!C8&lt;&gt;""),1/('Population Definitions'!D8-'Population Definitions'!C8+1),0),"N.A."),"")</f>
        <v/>
      </c>
      <c r="F72" t="str">
        <f t="shared" si="5"/>
        <v/>
      </c>
    </row>
    <row r="73" spans="1:6" x14ac:dyDescent="0.55000000000000004">
      <c r="A73" t="str">
        <f>IF('Transfer Definitions'!G8="y",'Population Definitions'!$A$8,"...")</f>
        <v>...</v>
      </c>
      <c r="B73" t="str">
        <f>IF('Transfer Definitions'!G8="y","---&gt;","")</f>
        <v/>
      </c>
      <c r="C73" t="str">
        <f>IF('Transfer Definitions'!G8="y",'Population Definitions'!$A$7,"")</f>
        <v/>
      </c>
      <c r="D73" t="str">
        <f t="shared" si="4"/>
        <v/>
      </c>
      <c r="E73" t="str">
        <f>IF(A73&lt;&gt;"...",IF(SUMPRODUCT(--(G73:W73&lt;&gt;""))=0,IF(AND('Population Definitions'!D8&lt;&gt;"",'Population Definitions'!C8&lt;&gt;""),1/('Population Definitions'!D8-'Population Definitions'!C8+1),0),"N.A."),"")</f>
        <v/>
      </c>
      <c r="F73" t="str">
        <f t="shared" si="5"/>
        <v/>
      </c>
    </row>
    <row r="74" spans="1:6" x14ac:dyDescent="0.55000000000000004">
      <c r="A74" t="str">
        <f>IF('Transfer Definitions'!I8="y",'Population Definitions'!$A$8,"...")</f>
        <v>...</v>
      </c>
      <c r="B74" t="str">
        <f>IF('Transfer Definitions'!I8="y","---&gt;","")</f>
        <v/>
      </c>
      <c r="C74" t="str">
        <f>IF('Transfer Definitions'!I8="y",'Population Definitions'!$A$9,"")</f>
        <v/>
      </c>
      <c r="D74" t="str">
        <f t="shared" si="4"/>
        <v/>
      </c>
      <c r="E74" t="str">
        <f>IF(A74&lt;&gt;"...",IF(SUMPRODUCT(--(G74:W74&lt;&gt;""))=0,IF(AND('Population Definitions'!D8&lt;&gt;"",'Population Definitions'!C8&lt;&gt;""),1/('Population Definitions'!D8-'Population Definitions'!C8+1),0),"N.A."),"")</f>
        <v/>
      </c>
      <c r="F74" t="str">
        <f t="shared" si="5"/>
        <v/>
      </c>
    </row>
    <row r="75" spans="1:6" x14ac:dyDescent="0.55000000000000004">
      <c r="A75" t="str">
        <f>IF('Transfer Definitions'!J8="y",'Population Definitions'!$A$8,"...")</f>
        <v>...</v>
      </c>
      <c r="B75" t="str">
        <f>IF('Transfer Definitions'!J8="y","---&gt;","")</f>
        <v/>
      </c>
      <c r="C75" t="str">
        <f>IF('Transfer Definitions'!J8="y",'Population Definitions'!$A$10,"")</f>
        <v/>
      </c>
      <c r="D75" t="str">
        <f t="shared" si="4"/>
        <v/>
      </c>
      <c r="E75" t="str">
        <f>IF(A75&lt;&gt;"...",IF(SUMPRODUCT(--(G75:W75&lt;&gt;""))=0,IF(AND('Population Definitions'!D8&lt;&gt;"",'Population Definitions'!C8&lt;&gt;""),1/('Population Definitions'!D8-'Population Definitions'!C8+1),0),"N.A."),"")</f>
        <v/>
      </c>
      <c r="F75" t="str">
        <f t="shared" si="5"/>
        <v/>
      </c>
    </row>
    <row r="76" spans="1:6" x14ac:dyDescent="0.55000000000000004">
      <c r="A76" t="str">
        <f>IF('Transfer Definitions'!K8="y",'Population Definitions'!$A$8,"...")</f>
        <v>...</v>
      </c>
      <c r="B76" t="str">
        <f>IF('Transfer Definitions'!K8="y","---&gt;","")</f>
        <v/>
      </c>
      <c r="C76" t="str">
        <f>IF('Transfer Definitions'!K8="y",'Population Definitions'!$A$11,"")</f>
        <v/>
      </c>
      <c r="D76" t="str">
        <f t="shared" si="4"/>
        <v/>
      </c>
      <c r="E76" t="str">
        <f>IF(A76&lt;&gt;"...",IF(SUMPRODUCT(--(G76:W76&lt;&gt;""))=0,IF(AND('Population Definitions'!D8&lt;&gt;"",'Population Definitions'!C8&lt;&gt;""),1/('Population Definitions'!D8-'Population Definitions'!C8+1),0),"N.A."),"")</f>
        <v/>
      </c>
      <c r="F76" t="str">
        <f t="shared" si="5"/>
        <v/>
      </c>
    </row>
    <row r="77" spans="1:6" x14ac:dyDescent="0.55000000000000004">
      <c r="A77" t="str">
        <f>IF('Transfer Definitions'!L8="y",'Population Definitions'!$A$8,"...")</f>
        <v>...</v>
      </c>
      <c r="B77" t="str">
        <f>IF('Transfer Definitions'!L8="y","---&gt;","")</f>
        <v/>
      </c>
      <c r="C77" t="str">
        <f>IF('Transfer Definitions'!L8="y",'Population Definitions'!$A$12,"")</f>
        <v/>
      </c>
      <c r="D77" t="str">
        <f t="shared" si="4"/>
        <v/>
      </c>
      <c r="E77" t="str">
        <f>IF(A77&lt;&gt;"...",IF(SUMPRODUCT(--(G77:W77&lt;&gt;""))=0,IF(AND('Population Definitions'!D8&lt;&gt;"",'Population Definitions'!C8&lt;&gt;""),1/('Population Definitions'!D8-'Population Definitions'!C8+1),0),"N.A."),"")</f>
        <v/>
      </c>
      <c r="F77" t="str">
        <f t="shared" si="5"/>
        <v/>
      </c>
    </row>
    <row r="78" spans="1:6" x14ac:dyDescent="0.55000000000000004">
      <c r="A78" t="str">
        <f>IF('Transfer Definitions'!M8="y",'Population Definitions'!$A$8,"...")</f>
        <v>...</v>
      </c>
      <c r="B78" t="str">
        <f>IF('Transfer Definitions'!M8="y","---&gt;","")</f>
        <v/>
      </c>
      <c r="C78" t="str">
        <f>IF('Transfer Definitions'!M8="y",'Population Definitions'!$A$13,"")</f>
        <v/>
      </c>
      <c r="D78" t="str">
        <f t="shared" si="4"/>
        <v/>
      </c>
      <c r="E78" t="str">
        <f>IF(A78&lt;&gt;"...",IF(SUMPRODUCT(--(G78:W78&lt;&gt;""))=0,IF(AND('Population Definitions'!D8&lt;&gt;"",'Population Definitions'!C8&lt;&gt;""),1/('Population Definitions'!D8-'Population Definitions'!C8+1),0),"N.A."),"")</f>
        <v/>
      </c>
      <c r="F78" t="str">
        <f t="shared" si="5"/>
        <v/>
      </c>
    </row>
    <row r="79" spans="1:6" x14ac:dyDescent="0.55000000000000004">
      <c r="A79" t="str">
        <f>IF('Transfer Definitions'!B9="y",'Population Definitions'!$A$9,"...")</f>
        <v>...</v>
      </c>
      <c r="B79" t="str">
        <f>IF('Transfer Definitions'!B9="y","---&gt;","")</f>
        <v/>
      </c>
      <c r="C79" t="str">
        <f>IF('Transfer Definitions'!B9="y",'Population Definitions'!$A$2,"")</f>
        <v/>
      </c>
      <c r="D79" t="str">
        <f t="shared" si="4"/>
        <v/>
      </c>
      <c r="E79" t="str">
        <f>IF(A79&lt;&gt;"...",IF(SUMPRODUCT(--(G79:W79&lt;&gt;""))=0,IF(AND('Population Definitions'!D9&lt;&gt;"",'Population Definitions'!C9&lt;&gt;""),1/('Population Definitions'!D9-'Population Definitions'!C9+1),0),"N.A."),"")</f>
        <v/>
      </c>
      <c r="F79" t="str">
        <f t="shared" si="5"/>
        <v/>
      </c>
    </row>
    <row r="80" spans="1:6" x14ac:dyDescent="0.55000000000000004">
      <c r="A80" t="str">
        <f>IF('Transfer Definitions'!C9="y",'Population Definitions'!$A$9,"...")</f>
        <v>...</v>
      </c>
      <c r="B80" t="str">
        <f>IF('Transfer Definitions'!C9="y","---&gt;","")</f>
        <v/>
      </c>
      <c r="C80" t="str">
        <f>IF('Transfer Definitions'!C9="y",'Population Definitions'!$A$3,"")</f>
        <v/>
      </c>
      <c r="D80" t="str">
        <f t="shared" si="4"/>
        <v/>
      </c>
      <c r="E80" t="str">
        <f>IF(A80&lt;&gt;"...",IF(SUMPRODUCT(--(G80:W80&lt;&gt;""))=0,IF(AND('Population Definitions'!D9&lt;&gt;"",'Population Definitions'!C9&lt;&gt;""),1/('Population Definitions'!D9-'Population Definitions'!C9+1),0),"N.A."),"")</f>
        <v/>
      </c>
      <c r="F80" t="str">
        <f t="shared" si="5"/>
        <v/>
      </c>
    </row>
    <row r="81" spans="1:6" x14ac:dyDescent="0.55000000000000004">
      <c r="A81" t="str">
        <f>IF('Transfer Definitions'!D9="y",'Population Definitions'!$A$9,"...")</f>
        <v>...</v>
      </c>
      <c r="B81" t="str">
        <f>IF('Transfer Definitions'!D9="y","---&gt;","")</f>
        <v/>
      </c>
      <c r="C81" t="str">
        <f>IF('Transfer Definitions'!D9="y",'Population Definitions'!$A$4,"")</f>
        <v/>
      </c>
      <c r="D81" t="str">
        <f t="shared" si="4"/>
        <v/>
      </c>
      <c r="E81" t="str">
        <f>IF(A81&lt;&gt;"...",IF(SUMPRODUCT(--(G81:W81&lt;&gt;""))=0,IF(AND('Population Definitions'!D9&lt;&gt;"",'Population Definitions'!C9&lt;&gt;""),1/('Population Definitions'!D9-'Population Definitions'!C9+1),0),"N.A."),"")</f>
        <v/>
      </c>
      <c r="F81" t="str">
        <f t="shared" si="5"/>
        <v/>
      </c>
    </row>
    <row r="82" spans="1:6" x14ac:dyDescent="0.55000000000000004">
      <c r="A82" t="str">
        <f>IF('Transfer Definitions'!E9="y",'Population Definitions'!$A$9,"...")</f>
        <v>...</v>
      </c>
      <c r="B82" t="str">
        <f>IF('Transfer Definitions'!E9="y","---&gt;","")</f>
        <v/>
      </c>
      <c r="C82" t="str">
        <f>IF('Transfer Definitions'!E9="y",'Population Definitions'!$A$5,"")</f>
        <v/>
      </c>
      <c r="D82" t="str">
        <f t="shared" si="4"/>
        <v/>
      </c>
      <c r="E82" t="str">
        <f>IF(A82&lt;&gt;"...",IF(SUMPRODUCT(--(G82:W82&lt;&gt;""))=0,IF(AND('Population Definitions'!D9&lt;&gt;"",'Population Definitions'!C9&lt;&gt;""),1/('Population Definitions'!D9-'Population Definitions'!C9+1),0),"N.A."),"")</f>
        <v/>
      </c>
      <c r="F82" t="str">
        <f t="shared" si="5"/>
        <v/>
      </c>
    </row>
    <row r="83" spans="1:6" x14ac:dyDescent="0.55000000000000004">
      <c r="A83" t="str">
        <f>IF('Transfer Definitions'!F9="y",'Population Definitions'!$A$9,"...")</f>
        <v>...</v>
      </c>
      <c r="B83" t="str">
        <f>IF('Transfer Definitions'!F9="y","---&gt;","")</f>
        <v/>
      </c>
      <c r="C83" t="str">
        <f>IF('Transfer Definitions'!F9="y",'Population Definitions'!$A$6,"")</f>
        <v/>
      </c>
      <c r="D83" t="str">
        <f t="shared" si="4"/>
        <v/>
      </c>
      <c r="E83" t="str">
        <f>IF(A83&lt;&gt;"...",IF(SUMPRODUCT(--(G83:W83&lt;&gt;""))=0,IF(AND('Population Definitions'!D9&lt;&gt;"",'Population Definitions'!C9&lt;&gt;""),1/('Population Definitions'!D9-'Population Definitions'!C9+1),0),"N.A."),"")</f>
        <v/>
      </c>
      <c r="F83" t="str">
        <f t="shared" si="5"/>
        <v/>
      </c>
    </row>
    <row r="84" spans="1:6" x14ac:dyDescent="0.55000000000000004">
      <c r="A84" t="str">
        <f>IF('Transfer Definitions'!G9="y",'Population Definitions'!$A$9,"...")</f>
        <v>...</v>
      </c>
      <c r="B84" t="str">
        <f>IF('Transfer Definitions'!G9="y","---&gt;","")</f>
        <v/>
      </c>
      <c r="C84" t="str">
        <f>IF('Transfer Definitions'!G9="y",'Population Definitions'!$A$7,"")</f>
        <v/>
      </c>
      <c r="D84" t="str">
        <f t="shared" si="4"/>
        <v/>
      </c>
      <c r="E84" t="str">
        <f>IF(A84&lt;&gt;"...",IF(SUMPRODUCT(--(G84:W84&lt;&gt;""))=0,IF(AND('Population Definitions'!D9&lt;&gt;"",'Population Definitions'!C9&lt;&gt;""),1/('Population Definitions'!D9-'Population Definitions'!C9+1),0),"N.A."),"")</f>
        <v/>
      </c>
      <c r="F84" t="str">
        <f t="shared" si="5"/>
        <v/>
      </c>
    </row>
    <row r="85" spans="1:6" x14ac:dyDescent="0.55000000000000004">
      <c r="A85" t="str">
        <f>IF('Transfer Definitions'!H9="y",'Population Definitions'!$A$9,"...")</f>
        <v>...</v>
      </c>
      <c r="B85" t="str">
        <f>IF('Transfer Definitions'!H9="y","---&gt;","")</f>
        <v/>
      </c>
      <c r="C85" t="str">
        <f>IF('Transfer Definitions'!H9="y",'Population Definitions'!$A$8,"")</f>
        <v/>
      </c>
      <c r="D85" t="str">
        <f t="shared" si="4"/>
        <v/>
      </c>
      <c r="E85" t="str">
        <f>IF(A85&lt;&gt;"...",IF(SUMPRODUCT(--(G85:W85&lt;&gt;""))=0,IF(AND('Population Definitions'!D9&lt;&gt;"",'Population Definitions'!C9&lt;&gt;""),1/('Population Definitions'!D9-'Population Definitions'!C9+1),0),"N.A."),"")</f>
        <v/>
      </c>
      <c r="F85" t="str">
        <f t="shared" si="5"/>
        <v/>
      </c>
    </row>
    <row r="86" spans="1:6" x14ac:dyDescent="0.55000000000000004">
      <c r="A86" t="str">
        <f>IF('Transfer Definitions'!J9="y",'Population Definitions'!$A$9,"...")</f>
        <v>...</v>
      </c>
      <c r="B86" t="str">
        <f>IF('Transfer Definitions'!J9="y","---&gt;","")</f>
        <v/>
      </c>
      <c r="C86" t="str">
        <f>IF('Transfer Definitions'!J9="y",'Population Definitions'!$A$10,"")</f>
        <v/>
      </c>
      <c r="D86" t="str">
        <f t="shared" si="4"/>
        <v/>
      </c>
      <c r="E86" t="str">
        <f>IF(A86&lt;&gt;"...",IF(SUMPRODUCT(--(G86:W86&lt;&gt;""))=0,IF(AND('Population Definitions'!D9&lt;&gt;"",'Population Definitions'!C9&lt;&gt;""),1/('Population Definitions'!D9-'Population Definitions'!C9+1),0),"N.A."),"")</f>
        <v/>
      </c>
      <c r="F86" t="str">
        <f t="shared" si="5"/>
        <v/>
      </c>
    </row>
    <row r="87" spans="1:6" x14ac:dyDescent="0.55000000000000004">
      <c r="A87" t="str">
        <f>IF('Transfer Definitions'!K9="y",'Population Definitions'!$A$9,"...")</f>
        <v>...</v>
      </c>
      <c r="B87" t="str">
        <f>IF('Transfer Definitions'!K9="y","---&gt;","")</f>
        <v/>
      </c>
      <c r="C87" t="str">
        <f>IF('Transfer Definitions'!K9="y",'Population Definitions'!$A$11,"")</f>
        <v/>
      </c>
      <c r="D87" t="str">
        <f t="shared" si="4"/>
        <v/>
      </c>
      <c r="E87" t="str">
        <f>IF(A87&lt;&gt;"...",IF(SUMPRODUCT(--(G87:W87&lt;&gt;""))=0,IF(AND('Population Definitions'!D9&lt;&gt;"",'Population Definitions'!C9&lt;&gt;""),1/('Population Definitions'!D9-'Population Definitions'!C9+1),0),"N.A."),"")</f>
        <v/>
      </c>
      <c r="F87" t="str">
        <f t="shared" si="5"/>
        <v/>
      </c>
    </row>
    <row r="88" spans="1:6" x14ac:dyDescent="0.55000000000000004">
      <c r="A88" t="str">
        <f>IF('Transfer Definitions'!L9="y",'Population Definitions'!$A$9,"...")</f>
        <v>...</v>
      </c>
      <c r="B88" t="str">
        <f>IF('Transfer Definitions'!L9="y","---&gt;","")</f>
        <v/>
      </c>
      <c r="C88" t="str">
        <f>IF('Transfer Definitions'!L9="y",'Population Definitions'!$A$12,"")</f>
        <v/>
      </c>
      <c r="D88" t="str">
        <f t="shared" si="4"/>
        <v/>
      </c>
      <c r="E88" t="str">
        <f>IF(A88&lt;&gt;"...",IF(SUMPRODUCT(--(G88:W88&lt;&gt;""))=0,IF(AND('Population Definitions'!D9&lt;&gt;"",'Population Definitions'!C9&lt;&gt;""),1/('Population Definitions'!D9-'Population Definitions'!C9+1),0),"N.A."),"")</f>
        <v/>
      </c>
      <c r="F88" t="str">
        <f t="shared" si="5"/>
        <v/>
      </c>
    </row>
    <row r="89" spans="1:6" x14ac:dyDescent="0.55000000000000004">
      <c r="A89" t="str">
        <f>IF('Transfer Definitions'!M9="y",'Population Definitions'!$A$9,"...")</f>
        <v>...</v>
      </c>
      <c r="B89" t="str">
        <f>IF('Transfer Definitions'!M9="y","---&gt;","")</f>
        <v/>
      </c>
      <c r="C89" t="str">
        <f>IF('Transfer Definitions'!M9="y",'Population Definitions'!$A$13,"")</f>
        <v/>
      </c>
      <c r="D89" t="str">
        <f t="shared" si="4"/>
        <v/>
      </c>
      <c r="E89" t="str">
        <f>IF(A89&lt;&gt;"...",IF(SUMPRODUCT(--(G89:W89&lt;&gt;""))=0,IF(AND('Population Definitions'!D9&lt;&gt;"",'Population Definitions'!C9&lt;&gt;""),1/('Population Definitions'!D9-'Population Definitions'!C9+1),0),"N.A."),"")</f>
        <v/>
      </c>
      <c r="F89" t="str">
        <f t="shared" si="5"/>
        <v/>
      </c>
    </row>
    <row r="90" spans="1:6" x14ac:dyDescent="0.55000000000000004">
      <c r="A90" t="str">
        <f>IF('Transfer Definitions'!B10="y",'Population Definitions'!$A$10,"...")</f>
        <v>...</v>
      </c>
      <c r="B90" t="str">
        <f>IF('Transfer Definitions'!B10="y","---&gt;","")</f>
        <v/>
      </c>
      <c r="C90" t="str">
        <f>IF('Transfer Definitions'!B10="y",'Population Definitions'!$A$2,"")</f>
        <v/>
      </c>
      <c r="D90" t="str">
        <f t="shared" si="4"/>
        <v/>
      </c>
      <c r="E90" t="str">
        <f>IF(A90&lt;&gt;"...",IF(SUMPRODUCT(--(G90:W90&lt;&gt;""))=0,IF(AND('Population Definitions'!D10&lt;&gt;"",'Population Definitions'!C10&lt;&gt;""),1/('Population Definitions'!D10-'Population Definitions'!C10+1),0),"N.A."),"")</f>
        <v/>
      </c>
      <c r="F90" t="str">
        <f t="shared" si="5"/>
        <v/>
      </c>
    </row>
    <row r="91" spans="1:6" x14ac:dyDescent="0.55000000000000004">
      <c r="A91" t="str">
        <f>IF('Transfer Definitions'!C10="y",'Population Definitions'!$A$10,"...")</f>
        <v>...</v>
      </c>
      <c r="B91" t="str">
        <f>IF('Transfer Definitions'!C10="y","---&gt;","")</f>
        <v/>
      </c>
      <c r="C91" t="str">
        <f>IF('Transfer Definitions'!C10="y",'Population Definitions'!$A$3,"")</f>
        <v/>
      </c>
      <c r="D91" t="str">
        <f t="shared" si="4"/>
        <v/>
      </c>
      <c r="E91" t="str">
        <f>IF(A91&lt;&gt;"...",IF(SUMPRODUCT(--(G91:W91&lt;&gt;""))=0,IF(AND('Population Definitions'!D10&lt;&gt;"",'Population Definitions'!C10&lt;&gt;""),1/('Population Definitions'!D10-'Population Definitions'!C10+1),0),"N.A."),"")</f>
        <v/>
      </c>
      <c r="F91" t="str">
        <f t="shared" si="5"/>
        <v/>
      </c>
    </row>
    <row r="92" spans="1:6" x14ac:dyDescent="0.55000000000000004">
      <c r="A92" t="str">
        <f>IF('Transfer Definitions'!D10="y",'Population Definitions'!$A$10,"...")</f>
        <v>...</v>
      </c>
      <c r="B92" t="str">
        <f>IF('Transfer Definitions'!D10="y","---&gt;","")</f>
        <v/>
      </c>
      <c r="C92" t="str">
        <f>IF('Transfer Definitions'!D10="y",'Population Definitions'!$A$4,"")</f>
        <v/>
      </c>
      <c r="D92" t="str">
        <f t="shared" si="4"/>
        <v/>
      </c>
      <c r="E92" t="str">
        <f>IF(A92&lt;&gt;"...",IF(SUMPRODUCT(--(G92:W92&lt;&gt;""))=0,IF(AND('Population Definitions'!D10&lt;&gt;"",'Population Definitions'!C10&lt;&gt;""),1/('Population Definitions'!D10-'Population Definitions'!C10+1),0),"N.A."),"")</f>
        <v/>
      </c>
      <c r="F92" t="str">
        <f t="shared" si="5"/>
        <v/>
      </c>
    </row>
    <row r="93" spans="1:6" x14ac:dyDescent="0.55000000000000004">
      <c r="A93" t="str">
        <f>IF('Transfer Definitions'!E10="y",'Population Definitions'!$A$10,"...")</f>
        <v>...</v>
      </c>
      <c r="B93" t="str">
        <f>IF('Transfer Definitions'!E10="y","---&gt;","")</f>
        <v/>
      </c>
      <c r="C93" t="str">
        <f>IF('Transfer Definitions'!E10="y",'Population Definitions'!$A$5,"")</f>
        <v/>
      </c>
      <c r="D93" t="str">
        <f t="shared" si="4"/>
        <v/>
      </c>
      <c r="E93" t="str">
        <f>IF(A93&lt;&gt;"...",IF(SUMPRODUCT(--(G93:W93&lt;&gt;""))=0,IF(AND('Population Definitions'!D10&lt;&gt;"",'Population Definitions'!C10&lt;&gt;""),1/('Population Definitions'!D10-'Population Definitions'!C10+1),0),"N.A."),"")</f>
        <v/>
      </c>
      <c r="F93" t="str">
        <f t="shared" si="5"/>
        <v/>
      </c>
    </row>
    <row r="94" spans="1:6" x14ac:dyDescent="0.55000000000000004">
      <c r="A94" t="str">
        <f>IF('Transfer Definitions'!F10="y",'Population Definitions'!$A$10,"...")</f>
        <v>...</v>
      </c>
      <c r="B94" t="str">
        <f>IF('Transfer Definitions'!F10="y","---&gt;","")</f>
        <v/>
      </c>
      <c r="C94" t="str">
        <f>IF('Transfer Definitions'!F10="y",'Population Definitions'!$A$6,"")</f>
        <v/>
      </c>
      <c r="D94" t="str">
        <f t="shared" si="4"/>
        <v/>
      </c>
      <c r="E94" t="str">
        <f>IF(A94&lt;&gt;"...",IF(SUMPRODUCT(--(G94:W94&lt;&gt;""))=0,IF(AND('Population Definitions'!D10&lt;&gt;"",'Population Definitions'!C10&lt;&gt;""),1/('Population Definitions'!D10-'Population Definitions'!C10+1),0),"N.A."),"")</f>
        <v/>
      </c>
      <c r="F94" t="str">
        <f t="shared" si="5"/>
        <v/>
      </c>
    </row>
    <row r="95" spans="1:6" x14ac:dyDescent="0.55000000000000004">
      <c r="A95" t="str">
        <f>IF('Transfer Definitions'!G10="y",'Population Definitions'!$A$10,"...")</f>
        <v>...</v>
      </c>
      <c r="B95" t="str">
        <f>IF('Transfer Definitions'!G10="y","---&gt;","")</f>
        <v/>
      </c>
      <c r="C95" t="str">
        <f>IF('Transfer Definitions'!G10="y",'Population Definitions'!$A$7,"")</f>
        <v/>
      </c>
      <c r="D95" t="str">
        <f t="shared" si="4"/>
        <v/>
      </c>
      <c r="E95" t="str">
        <f>IF(A95&lt;&gt;"...",IF(SUMPRODUCT(--(G95:W95&lt;&gt;""))=0,IF(AND('Population Definitions'!D10&lt;&gt;"",'Population Definitions'!C10&lt;&gt;""),1/('Population Definitions'!D10-'Population Definitions'!C10+1),0),"N.A."),"")</f>
        <v/>
      </c>
      <c r="F95" t="str">
        <f t="shared" si="5"/>
        <v/>
      </c>
    </row>
    <row r="96" spans="1:6" x14ac:dyDescent="0.55000000000000004">
      <c r="A96" t="str">
        <f>IF('Transfer Definitions'!H10="y",'Population Definitions'!$A$10,"...")</f>
        <v>...</v>
      </c>
      <c r="B96" t="str">
        <f>IF('Transfer Definitions'!H10="y","---&gt;","")</f>
        <v/>
      </c>
      <c r="C96" t="str">
        <f>IF('Transfer Definitions'!H10="y",'Population Definitions'!$A$8,"")</f>
        <v/>
      </c>
      <c r="D96" t="str">
        <f t="shared" si="4"/>
        <v/>
      </c>
      <c r="E96" t="str">
        <f>IF(A96&lt;&gt;"...",IF(SUMPRODUCT(--(G96:W96&lt;&gt;""))=0,IF(AND('Population Definitions'!D10&lt;&gt;"",'Population Definitions'!C10&lt;&gt;""),1/('Population Definitions'!D10-'Population Definitions'!C10+1),0),"N.A."),"")</f>
        <v/>
      </c>
      <c r="F96" t="str">
        <f t="shared" si="5"/>
        <v/>
      </c>
    </row>
    <row r="97" spans="1:6" x14ac:dyDescent="0.55000000000000004">
      <c r="A97" t="str">
        <f>IF('Transfer Definitions'!I10="y",'Population Definitions'!$A$10,"...")</f>
        <v>...</v>
      </c>
      <c r="B97" t="str">
        <f>IF('Transfer Definitions'!I10="y","---&gt;","")</f>
        <v/>
      </c>
      <c r="C97" t="str">
        <f>IF('Transfer Definitions'!I10="y",'Population Definitions'!$A$9,"")</f>
        <v/>
      </c>
      <c r="D97" t="str">
        <f t="shared" si="4"/>
        <v/>
      </c>
      <c r="E97" t="str">
        <f>IF(A97&lt;&gt;"...",IF(SUMPRODUCT(--(G97:W97&lt;&gt;""))=0,IF(AND('Population Definitions'!D10&lt;&gt;"",'Population Definitions'!C10&lt;&gt;""),1/('Population Definitions'!D10-'Population Definitions'!C10+1),0),"N.A."),"")</f>
        <v/>
      </c>
      <c r="F97" t="str">
        <f t="shared" si="5"/>
        <v/>
      </c>
    </row>
    <row r="98" spans="1:6" x14ac:dyDescent="0.55000000000000004">
      <c r="A98" t="str">
        <f>IF('Transfer Definitions'!K10="y",'Population Definitions'!$A$10,"...")</f>
        <v>...</v>
      </c>
      <c r="B98" t="str">
        <f>IF('Transfer Definitions'!K10="y","---&gt;","")</f>
        <v/>
      </c>
      <c r="C98" t="str">
        <f>IF('Transfer Definitions'!K10="y",'Population Definitions'!$A$11,"")</f>
        <v/>
      </c>
      <c r="D98" t="str">
        <f t="shared" ref="D98:D133" si="6">IF(A98&lt;&gt;"...","Fraction","")</f>
        <v/>
      </c>
      <c r="E98" t="str">
        <f>IF(A98&lt;&gt;"...",IF(SUMPRODUCT(--(G98:W98&lt;&gt;""))=0,IF(AND('Population Definitions'!D10&lt;&gt;"",'Population Definitions'!C10&lt;&gt;""),1/('Population Definitions'!D10-'Population Definitions'!C10+1),0),"N.A."),"")</f>
        <v/>
      </c>
      <c r="F98" t="str">
        <f t="shared" ref="F98:F133" si="7">IF(A98&lt;&gt;"...","OR","")</f>
        <v/>
      </c>
    </row>
    <row r="99" spans="1:6" x14ac:dyDescent="0.55000000000000004">
      <c r="A99" t="str">
        <f>IF('Transfer Definitions'!L10="y",'Population Definitions'!$A$10,"...")</f>
        <v>...</v>
      </c>
      <c r="B99" t="str">
        <f>IF('Transfer Definitions'!L10="y","---&gt;","")</f>
        <v/>
      </c>
      <c r="C99" t="str">
        <f>IF('Transfer Definitions'!L10="y",'Population Definitions'!$A$12,"")</f>
        <v/>
      </c>
      <c r="D99" t="str">
        <f t="shared" si="6"/>
        <v/>
      </c>
      <c r="E99" t="str">
        <f>IF(A99&lt;&gt;"...",IF(SUMPRODUCT(--(G99:W99&lt;&gt;""))=0,IF(AND('Population Definitions'!D10&lt;&gt;"",'Population Definitions'!C10&lt;&gt;""),1/('Population Definitions'!D10-'Population Definitions'!C10+1),0),"N.A."),"")</f>
        <v/>
      </c>
      <c r="F99" t="str">
        <f t="shared" si="7"/>
        <v/>
      </c>
    </row>
    <row r="100" spans="1:6" x14ac:dyDescent="0.55000000000000004">
      <c r="A100" t="str">
        <f>IF('Transfer Definitions'!M10="y",'Population Definitions'!$A$10,"...")</f>
        <v>...</v>
      </c>
      <c r="B100" t="str">
        <f>IF('Transfer Definitions'!M10="y","---&gt;","")</f>
        <v/>
      </c>
      <c r="C100" t="str">
        <f>IF('Transfer Definitions'!M10="y",'Population Definitions'!$A$13,"")</f>
        <v/>
      </c>
      <c r="D100" t="str">
        <f t="shared" si="6"/>
        <v/>
      </c>
      <c r="E100" t="str">
        <f>IF(A100&lt;&gt;"...",IF(SUMPRODUCT(--(G100:W100&lt;&gt;""))=0,IF(AND('Population Definitions'!D10&lt;&gt;"",'Population Definitions'!C10&lt;&gt;""),1/('Population Definitions'!D10-'Population Definitions'!C10+1),0),"N.A."),"")</f>
        <v/>
      </c>
      <c r="F100" t="str">
        <f t="shared" si="7"/>
        <v/>
      </c>
    </row>
    <row r="101" spans="1:6" x14ac:dyDescent="0.55000000000000004">
      <c r="A101" t="str">
        <f>IF('Transfer Definitions'!B11="y",'Population Definitions'!$A$11,"...")</f>
        <v>...</v>
      </c>
      <c r="B101" t="str">
        <f>IF('Transfer Definitions'!B11="y","---&gt;","")</f>
        <v/>
      </c>
      <c r="C101" t="str">
        <f>IF('Transfer Definitions'!B11="y",'Population Definitions'!$A$2,"")</f>
        <v/>
      </c>
      <c r="D101" t="str">
        <f t="shared" si="6"/>
        <v/>
      </c>
      <c r="E101" t="str">
        <f>IF(A101&lt;&gt;"...",IF(SUMPRODUCT(--(G101:W101&lt;&gt;""))=0,IF(AND('Population Definitions'!D11&lt;&gt;"",'Population Definitions'!C11&lt;&gt;""),1/('Population Definitions'!D11-'Population Definitions'!C11+1),0),"N.A."),"")</f>
        <v/>
      </c>
      <c r="F101" t="str">
        <f t="shared" si="7"/>
        <v/>
      </c>
    </row>
    <row r="102" spans="1:6" x14ac:dyDescent="0.55000000000000004">
      <c r="A102" t="str">
        <f>IF('Transfer Definitions'!C11="y",'Population Definitions'!$A$11,"...")</f>
        <v>...</v>
      </c>
      <c r="B102" t="str">
        <f>IF('Transfer Definitions'!C11="y","---&gt;","")</f>
        <v/>
      </c>
      <c r="C102" t="str">
        <f>IF('Transfer Definitions'!C11="y",'Population Definitions'!$A$3,"")</f>
        <v/>
      </c>
      <c r="D102" t="str">
        <f t="shared" si="6"/>
        <v/>
      </c>
      <c r="E102" t="str">
        <f>IF(A102&lt;&gt;"...",IF(SUMPRODUCT(--(G102:W102&lt;&gt;""))=0,IF(AND('Population Definitions'!D11&lt;&gt;"",'Population Definitions'!C11&lt;&gt;""),1/('Population Definitions'!D11-'Population Definitions'!C11+1),0),"N.A."),"")</f>
        <v/>
      </c>
      <c r="F102" t="str">
        <f t="shared" si="7"/>
        <v/>
      </c>
    </row>
    <row r="103" spans="1:6" x14ac:dyDescent="0.55000000000000004">
      <c r="A103" t="str">
        <f>IF('Transfer Definitions'!D11="y",'Population Definitions'!$A$11,"...")</f>
        <v>...</v>
      </c>
      <c r="B103" t="str">
        <f>IF('Transfer Definitions'!D11="y","---&gt;","")</f>
        <v/>
      </c>
      <c r="C103" t="str">
        <f>IF('Transfer Definitions'!D11="y",'Population Definitions'!$A$4,"")</f>
        <v/>
      </c>
      <c r="D103" t="str">
        <f t="shared" si="6"/>
        <v/>
      </c>
      <c r="E103" t="str">
        <f>IF(A103&lt;&gt;"...",IF(SUMPRODUCT(--(G103:W103&lt;&gt;""))=0,IF(AND('Population Definitions'!D11&lt;&gt;"",'Population Definitions'!C11&lt;&gt;""),1/('Population Definitions'!D11-'Population Definitions'!C11+1),0),"N.A."),"")</f>
        <v/>
      </c>
      <c r="F103" t="str">
        <f t="shared" si="7"/>
        <v/>
      </c>
    </row>
    <row r="104" spans="1:6" x14ac:dyDescent="0.55000000000000004">
      <c r="A104" t="str">
        <f>IF('Transfer Definitions'!E11="y",'Population Definitions'!$A$11,"...")</f>
        <v>...</v>
      </c>
      <c r="B104" t="str">
        <f>IF('Transfer Definitions'!E11="y","---&gt;","")</f>
        <v/>
      </c>
      <c r="C104" t="str">
        <f>IF('Transfer Definitions'!E11="y",'Population Definitions'!$A$5,"")</f>
        <v/>
      </c>
      <c r="D104" t="str">
        <f t="shared" si="6"/>
        <v/>
      </c>
      <c r="E104" t="str">
        <f>IF(A104&lt;&gt;"...",IF(SUMPRODUCT(--(G104:W104&lt;&gt;""))=0,IF(AND('Population Definitions'!D11&lt;&gt;"",'Population Definitions'!C11&lt;&gt;""),1/('Population Definitions'!D11-'Population Definitions'!C11+1),0),"N.A."),"")</f>
        <v/>
      </c>
      <c r="F104" t="str">
        <f t="shared" si="7"/>
        <v/>
      </c>
    </row>
    <row r="105" spans="1:6" x14ac:dyDescent="0.55000000000000004">
      <c r="A105" t="str">
        <f>IF('Transfer Definitions'!F11="y",'Population Definitions'!$A$11,"...")</f>
        <v>...</v>
      </c>
      <c r="B105" t="str">
        <f>IF('Transfer Definitions'!F11="y","---&gt;","")</f>
        <v/>
      </c>
      <c r="C105" t="str">
        <f>IF('Transfer Definitions'!F11="y",'Population Definitions'!$A$6,"")</f>
        <v/>
      </c>
      <c r="D105" t="str">
        <f t="shared" si="6"/>
        <v/>
      </c>
      <c r="E105" t="str">
        <f>IF(A105&lt;&gt;"...",IF(SUMPRODUCT(--(G105:W105&lt;&gt;""))=0,IF(AND('Population Definitions'!D11&lt;&gt;"",'Population Definitions'!C11&lt;&gt;""),1/('Population Definitions'!D11-'Population Definitions'!C11+1),0),"N.A."),"")</f>
        <v/>
      </c>
      <c r="F105" t="str">
        <f t="shared" si="7"/>
        <v/>
      </c>
    </row>
    <row r="106" spans="1:6" x14ac:dyDescent="0.55000000000000004">
      <c r="A106" t="str">
        <f>IF('Transfer Definitions'!G11="y",'Population Definitions'!$A$11,"...")</f>
        <v>...</v>
      </c>
      <c r="B106" t="str">
        <f>IF('Transfer Definitions'!G11="y","---&gt;","")</f>
        <v/>
      </c>
      <c r="C106" t="str">
        <f>IF('Transfer Definitions'!G11="y",'Population Definitions'!$A$7,"")</f>
        <v/>
      </c>
      <c r="D106" t="str">
        <f t="shared" si="6"/>
        <v/>
      </c>
      <c r="E106" t="str">
        <f>IF(A106&lt;&gt;"...",IF(SUMPRODUCT(--(G106:W106&lt;&gt;""))=0,IF(AND('Population Definitions'!D11&lt;&gt;"",'Population Definitions'!C11&lt;&gt;""),1/('Population Definitions'!D11-'Population Definitions'!C11+1),0),"N.A."),"")</f>
        <v/>
      </c>
      <c r="F106" t="str">
        <f t="shared" si="7"/>
        <v/>
      </c>
    </row>
    <row r="107" spans="1:6" x14ac:dyDescent="0.55000000000000004">
      <c r="A107" t="str">
        <f>IF('Transfer Definitions'!H11="y",'Population Definitions'!$A$11,"...")</f>
        <v>...</v>
      </c>
      <c r="B107" t="str">
        <f>IF('Transfer Definitions'!H11="y","---&gt;","")</f>
        <v/>
      </c>
      <c r="C107" t="str">
        <f>IF('Transfer Definitions'!H11="y",'Population Definitions'!$A$8,"")</f>
        <v/>
      </c>
      <c r="D107" t="str">
        <f t="shared" si="6"/>
        <v/>
      </c>
      <c r="E107" t="str">
        <f>IF(A107&lt;&gt;"...",IF(SUMPRODUCT(--(G107:W107&lt;&gt;""))=0,IF(AND('Population Definitions'!D11&lt;&gt;"",'Population Definitions'!C11&lt;&gt;""),1/('Population Definitions'!D11-'Population Definitions'!C11+1),0),"N.A."),"")</f>
        <v/>
      </c>
      <c r="F107" t="str">
        <f t="shared" si="7"/>
        <v/>
      </c>
    </row>
    <row r="108" spans="1:6" x14ac:dyDescent="0.55000000000000004">
      <c r="A108" t="str">
        <f>IF('Transfer Definitions'!I11="y",'Population Definitions'!$A$11,"...")</f>
        <v>...</v>
      </c>
      <c r="B108" t="str">
        <f>IF('Transfer Definitions'!I11="y","---&gt;","")</f>
        <v/>
      </c>
      <c r="C108" t="str">
        <f>IF('Transfer Definitions'!I11="y",'Population Definitions'!$A$9,"")</f>
        <v/>
      </c>
      <c r="D108" t="str">
        <f t="shared" si="6"/>
        <v/>
      </c>
      <c r="E108" t="str">
        <f>IF(A108&lt;&gt;"...",IF(SUMPRODUCT(--(G108:W108&lt;&gt;""))=0,IF(AND('Population Definitions'!D11&lt;&gt;"",'Population Definitions'!C11&lt;&gt;""),1/('Population Definitions'!D11-'Population Definitions'!C11+1),0),"N.A."),"")</f>
        <v/>
      </c>
      <c r="F108" t="str">
        <f t="shared" si="7"/>
        <v/>
      </c>
    </row>
    <row r="109" spans="1:6" x14ac:dyDescent="0.55000000000000004">
      <c r="A109" t="str">
        <f>IF('Transfer Definitions'!J11="y",'Population Definitions'!$A$11,"...")</f>
        <v>...</v>
      </c>
      <c r="B109" t="str">
        <f>IF('Transfer Definitions'!J11="y","---&gt;","")</f>
        <v/>
      </c>
      <c r="C109" t="str">
        <f>IF('Transfer Definitions'!J11="y",'Population Definitions'!$A$10,"")</f>
        <v/>
      </c>
      <c r="D109" t="str">
        <f t="shared" si="6"/>
        <v/>
      </c>
      <c r="E109" t="str">
        <f>IF(A109&lt;&gt;"...",IF(SUMPRODUCT(--(G109:W109&lt;&gt;""))=0,IF(AND('Population Definitions'!D11&lt;&gt;"",'Population Definitions'!C11&lt;&gt;""),1/('Population Definitions'!D11-'Population Definitions'!C11+1),0),"N.A."),"")</f>
        <v/>
      </c>
      <c r="F109" t="str">
        <f t="shared" si="7"/>
        <v/>
      </c>
    </row>
    <row r="110" spans="1:6" x14ac:dyDescent="0.55000000000000004">
      <c r="A110" t="str">
        <f>IF('Transfer Definitions'!L11="y",'Population Definitions'!$A$11,"...")</f>
        <v>...</v>
      </c>
      <c r="B110" t="str">
        <f>IF('Transfer Definitions'!L11="y","---&gt;","")</f>
        <v/>
      </c>
      <c r="C110" t="str">
        <f>IF('Transfer Definitions'!L11="y",'Population Definitions'!$A$12,"")</f>
        <v/>
      </c>
      <c r="D110" t="str">
        <f t="shared" si="6"/>
        <v/>
      </c>
      <c r="E110" t="str">
        <f>IF(A110&lt;&gt;"...",IF(SUMPRODUCT(--(G110:W110&lt;&gt;""))=0,IF(AND('Population Definitions'!D11&lt;&gt;"",'Population Definitions'!C11&lt;&gt;""),1/('Population Definitions'!D11-'Population Definitions'!C11+1),0),"N.A."),"")</f>
        <v/>
      </c>
      <c r="F110" t="str">
        <f t="shared" si="7"/>
        <v/>
      </c>
    </row>
    <row r="111" spans="1:6" x14ac:dyDescent="0.55000000000000004">
      <c r="A111" t="str">
        <f>IF('Transfer Definitions'!M11="y",'Population Definitions'!$A$11,"...")</f>
        <v>...</v>
      </c>
      <c r="B111" t="str">
        <f>IF('Transfer Definitions'!M11="y","---&gt;","")</f>
        <v/>
      </c>
      <c r="C111" t="str">
        <f>IF('Transfer Definitions'!M11="y",'Population Definitions'!$A$13,"")</f>
        <v/>
      </c>
      <c r="D111" t="str">
        <f t="shared" si="6"/>
        <v/>
      </c>
      <c r="E111" t="str">
        <f>IF(A111&lt;&gt;"...",IF(SUMPRODUCT(--(G111:W111&lt;&gt;""))=0,IF(AND('Population Definitions'!D11&lt;&gt;"",'Population Definitions'!C11&lt;&gt;""),1/('Population Definitions'!D11-'Population Definitions'!C11+1),0),"N.A."),"")</f>
        <v/>
      </c>
      <c r="F111" t="str">
        <f t="shared" si="7"/>
        <v/>
      </c>
    </row>
    <row r="112" spans="1:6" x14ac:dyDescent="0.55000000000000004">
      <c r="A112" t="str">
        <f>IF('Transfer Definitions'!B12="y",'Population Definitions'!$A$12,"...")</f>
        <v>...</v>
      </c>
      <c r="B112" t="str">
        <f>IF('Transfer Definitions'!B12="y","---&gt;","")</f>
        <v/>
      </c>
      <c r="C112" t="str">
        <f>IF('Transfer Definitions'!B12="y",'Population Definitions'!$A$2,"")</f>
        <v/>
      </c>
      <c r="D112" t="str">
        <f t="shared" si="6"/>
        <v/>
      </c>
      <c r="E112" t="str">
        <f>IF(A112&lt;&gt;"...",IF(SUMPRODUCT(--(G112:W112&lt;&gt;""))=0,IF(AND('Population Definitions'!D12&lt;&gt;"",'Population Definitions'!C12&lt;&gt;""),1/('Population Definitions'!D12-'Population Definitions'!C12+1),0),"N.A."),"")</f>
        <v/>
      </c>
      <c r="F112" t="str">
        <f t="shared" si="7"/>
        <v/>
      </c>
    </row>
    <row r="113" spans="1:6" x14ac:dyDescent="0.55000000000000004">
      <c r="A113" t="str">
        <f>IF('Transfer Definitions'!C12="y",'Population Definitions'!$A$12,"...")</f>
        <v>...</v>
      </c>
      <c r="B113" t="str">
        <f>IF('Transfer Definitions'!C12="y","---&gt;","")</f>
        <v/>
      </c>
      <c r="C113" t="str">
        <f>IF('Transfer Definitions'!C12="y",'Population Definitions'!$A$3,"")</f>
        <v/>
      </c>
      <c r="D113" t="str">
        <f t="shared" si="6"/>
        <v/>
      </c>
      <c r="E113" t="str">
        <f>IF(A113&lt;&gt;"...",IF(SUMPRODUCT(--(G113:W113&lt;&gt;""))=0,IF(AND('Population Definitions'!D12&lt;&gt;"",'Population Definitions'!C12&lt;&gt;""),1/('Population Definitions'!D12-'Population Definitions'!C12+1),0),"N.A."),"")</f>
        <v/>
      </c>
      <c r="F113" t="str">
        <f t="shared" si="7"/>
        <v/>
      </c>
    </row>
    <row r="114" spans="1:6" x14ac:dyDescent="0.55000000000000004">
      <c r="A114" t="str">
        <f>IF('Transfer Definitions'!D12="y",'Population Definitions'!$A$12,"...")</f>
        <v>...</v>
      </c>
      <c r="B114" t="str">
        <f>IF('Transfer Definitions'!D12="y","---&gt;","")</f>
        <v/>
      </c>
      <c r="C114" t="str">
        <f>IF('Transfer Definitions'!D12="y",'Population Definitions'!$A$4,"")</f>
        <v/>
      </c>
      <c r="D114" t="str">
        <f t="shared" si="6"/>
        <v/>
      </c>
      <c r="E114" t="str">
        <f>IF(A114&lt;&gt;"...",IF(SUMPRODUCT(--(G114:W114&lt;&gt;""))=0,IF(AND('Population Definitions'!D12&lt;&gt;"",'Population Definitions'!C12&lt;&gt;""),1/('Population Definitions'!D12-'Population Definitions'!C12+1),0),"N.A."),"")</f>
        <v/>
      </c>
      <c r="F114" t="str">
        <f t="shared" si="7"/>
        <v/>
      </c>
    </row>
    <row r="115" spans="1:6" x14ac:dyDescent="0.55000000000000004">
      <c r="A115" t="str">
        <f>IF('Transfer Definitions'!E12="y",'Population Definitions'!$A$12,"...")</f>
        <v>...</v>
      </c>
      <c r="B115" t="str">
        <f>IF('Transfer Definitions'!E12="y","---&gt;","")</f>
        <v/>
      </c>
      <c r="C115" t="str">
        <f>IF('Transfer Definitions'!E12="y",'Population Definitions'!$A$5,"")</f>
        <v/>
      </c>
      <c r="D115" t="str">
        <f t="shared" si="6"/>
        <v/>
      </c>
      <c r="E115" t="str">
        <f>IF(A115&lt;&gt;"...",IF(SUMPRODUCT(--(G115:W115&lt;&gt;""))=0,IF(AND('Population Definitions'!D12&lt;&gt;"",'Population Definitions'!C12&lt;&gt;""),1/('Population Definitions'!D12-'Population Definitions'!C12+1),0),"N.A."),"")</f>
        <v/>
      </c>
      <c r="F115" t="str">
        <f t="shared" si="7"/>
        <v/>
      </c>
    </row>
    <row r="116" spans="1:6" x14ac:dyDescent="0.55000000000000004">
      <c r="A116" t="str">
        <f>IF('Transfer Definitions'!F12="y",'Population Definitions'!$A$12,"...")</f>
        <v>...</v>
      </c>
      <c r="B116" t="str">
        <f>IF('Transfer Definitions'!F12="y","---&gt;","")</f>
        <v/>
      </c>
      <c r="C116" t="str">
        <f>IF('Transfer Definitions'!F12="y",'Population Definitions'!$A$6,"")</f>
        <v/>
      </c>
      <c r="D116" t="str">
        <f t="shared" si="6"/>
        <v/>
      </c>
      <c r="E116" t="str">
        <f>IF(A116&lt;&gt;"...",IF(SUMPRODUCT(--(G116:W116&lt;&gt;""))=0,IF(AND('Population Definitions'!D12&lt;&gt;"",'Population Definitions'!C12&lt;&gt;""),1/('Population Definitions'!D12-'Population Definitions'!C12+1),0),"N.A."),"")</f>
        <v/>
      </c>
      <c r="F116" t="str">
        <f t="shared" si="7"/>
        <v/>
      </c>
    </row>
    <row r="117" spans="1:6" x14ac:dyDescent="0.55000000000000004">
      <c r="A117" t="str">
        <f>IF('Transfer Definitions'!G12="y",'Population Definitions'!$A$12,"...")</f>
        <v>...</v>
      </c>
      <c r="B117" t="str">
        <f>IF('Transfer Definitions'!G12="y","---&gt;","")</f>
        <v/>
      </c>
      <c r="C117" t="str">
        <f>IF('Transfer Definitions'!G12="y",'Population Definitions'!$A$7,"")</f>
        <v/>
      </c>
      <c r="D117" t="str">
        <f t="shared" si="6"/>
        <v/>
      </c>
      <c r="E117" t="str">
        <f>IF(A117&lt;&gt;"...",IF(SUMPRODUCT(--(G117:W117&lt;&gt;""))=0,IF(AND('Population Definitions'!D12&lt;&gt;"",'Population Definitions'!C12&lt;&gt;""),1/('Population Definitions'!D12-'Population Definitions'!C12+1),0),"N.A."),"")</f>
        <v/>
      </c>
      <c r="F117" t="str">
        <f t="shared" si="7"/>
        <v/>
      </c>
    </row>
    <row r="118" spans="1:6" x14ac:dyDescent="0.55000000000000004">
      <c r="A118" t="str">
        <f>IF('Transfer Definitions'!H12="y",'Population Definitions'!$A$12,"...")</f>
        <v>...</v>
      </c>
      <c r="B118" t="str">
        <f>IF('Transfer Definitions'!H12="y","---&gt;","")</f>
        <v/>
      </c>
      <c r="C118" t="str">
        <f>IF('Transfer Definitions'!H12="y",'Population Definitions'!$A$8,"")</f>
        <v/>
      </c>
      <c r="D118" t="str">
        <f t="shared" si="6"/>
        <v/>
      </c>
      <c r="E118" t="str">
        <f>IF(A118&lt;&gt;"...",IF(SUMPRODUCT(--(G118:W118&lt;&gt;""))=0,IF(AND('Population Definitions'!D12&lt;&gt;"",'Population Definitions'!C12&lt;&gt;""),1/('Population Definitions'!D12-'Population Definitions'!C12+1),0),"N.A."),"")</f>
        <v/>
      </c>
      <c r="F118" t="str">
        <f t="shared" si="7"/>
        <v/>
      </c>
    </row>
    <row r="119" spans="1:6" x14ac:dyDescent="0.55000000000000004">
      <c r="A119" t="str">
        <f>IF('Transfer Definitions'!I12="y",'Population Definitions'!$A$12,"...")</f>
        <v>...</v>
      </c>
      <c r="B119" t="str">
        <f>IF('Transfer Definitions'!I12="y","---&gt;","")</f>
        <v/>
      </c>
      <c r="C119" t="str">
        <f>IF('Transfer Definitions'!I12="y",'Population Definitions'!$A$9,"")</f>
        <v/>
      </c>
      <c r="D119" t="str">
        <f t="shared" si="6"/>
        <v/>
      </c>
      <c r="E119" t="str">
        <f>IF(A119&lt;&gt;"...",IF(SUMPRODUCT(--(G119:W119&lt;&gt;""))=0,IF(AND('Population Definitions'!D12&lt;&gt;"",'Population Definitions'!C12&lt;&gt;""),1/('Population Definitions'!D12-'Population Definitions'!C12+1),0),"N.A."),"")</f>
        <v/>
      </c>
      <c r="F119" t="str">
        <f t="shared" si="7"/>
        <v/>
      </c>
    </row>
    <row r="120" spans="1:6" x14ac:dyDescent="0.55000000000000004">
      <c r="A120" t="str">
        <f>IF('Transfer Definitions'!J12="y",'Population Definitions'!$A$12,"...")</f>
        <v>...</v>
      </c>
      <c r="B120" t="str">
        <f>IF('Transfer Definitions'!J12="y","---&gt;","")</f>
        <v/>
      </c>
      <c r="C120" t="str">
        <f>IF('Transfer Definitions'!J12="y",'Population Definitions'!$A$10,"")</f>
        <v/>
      </c>
      <c r="D120" t="str">
        <f t="shared" si="6"/>
        <v/>
      </c>
      <c r="E120" t="str">
        <f>IF(A120&lt;&gt;"...",IF(SUMPRODUCT(--(G120:W120&lt;&gt;""))=0,IF(AND('Population Definitions'!D12&lt;&gt;"",'Population Definitions'!C12&lt;&gt;""),1/('Population Definitions'!D12-'Population Definitions'!C12+1),0),"N.A."),"")</f>
        <v/>
      </c>
      <c r="F120" t="str">
        <f t="shared" si="7"/>
        <v/>
      </c>
    </row>
    <row r="121" spans="1:6" x14ac:dyDescent="0.55000000000000004">
      <c r="A121" t="str">
        <f>IF('Transfer Definitions'!K12="y",'Population Definitions'!$A$12,"...")</f>
        <v>...</v>
      </c>
      <c r="B121" t="str">
        <f>IF('Transfer Definitions'!K12="y","---&gt;","")</f>
        <v/>
      </c>
      <c r="C121" t="str">
        <f>IF('Transfer Definitions'!K12="y",'Population Definitions'!$A$11,"")</f>
        <v/>
      </c>
      <c r="D121" t="str">
        <f t="shared" si="6"/>
        <v/>
      </c>
      <c r="E121" t="str">
        <f>IF(A121&lt;&gt;"...",IF(SUMPRODUCT(--(G121:W121&lt;&gt;""))=0,IF(AND('Population Definitions'!D12&lt;&gt;"",'Population Definitions'!C12&lt;&gt;""),1/('Population Definitions'!D12-'Population Definitions'!C12+1),0),"N.A."),"")</f>
        <v/>
      </c>
      <c r="F121" t="str">
        <f t="shared" si="7"/>
        <v/>
      </c>
    </row>
    <row r="122" spans="1:6" x14ac:dyDescent="0.55000000000000004">
      <c r="A122" t="str">
        <f>IF('Transfer Definitions'!M12="y",'Population Definitions'!$A$12,"...")</f>
        <v>...</v>
      </c>
      <c r="B122" t="str">
        <f>IF('Transfer Definitions'!M12="y","---&gt;","")</f>
        <v/>
      </c>
      <c r="C122" t="str">
        <f>IF('Transfer Definitions'!M12="y",'Population Definitions'!$A$13,"")</f>
        <v/>
      </c>
      <c r="D122" t="str">
        <f t="shared" si="6"/>
        <v/>
      </c>
      <c r="E122" t="str">
        <f>IF(A122&lt;&gt;"...",IF(SUMPRODUCT(--(G122:W122&lt;&gt;""))=0,IF(AND('Population Definitions'!D12&lt;&gt;"",'Population Definitions'!C12&lt;&gt;""),1/('Population Definitions'!D12-'Population Definitions'!C12+1),0),"N.A."),"")</f>
        <v/>
      </c>
      <c r="F122" t="str">
        <f t="shared" si="7"/>
        <v/>
      </c>
    </row>
    <row r="123" spans="1:6" x14ac:dyDescent="0.55000000000000004">
      <c r="A123" t="str">
        <f>IF('Transfer Definitions'!B13="y",'Population Definitions'!$A$13,"...")</f>
        <v>...</v>
      </c>
      <c r="B123" t="str">
        <f>IF('Transfer Definitions'!B13="y","---&gt;","")</f>
        <v/>
      </c>
      <c r="C123" t="str">
        <f>IF('Transfer Definitions'!B13="y",'Population Definitions'!$A$2,"")</f>
        <v/>
      </c>
      <c r="D123" t="str">
        <f t="shared" si="6"/>
        <v/>
      </c>
      <c r="E123" t="str">
        <f>IF(A123&lt;&gt;"...",IF(SUMPRODUCT(--(G123:W123&lt;&gt;""))=0,IF(AND('Population Definitions'!D13&lt;&gt;"",'Population Definitions'!C13&lt;&gt;""),1/('Population Definitions'!D13-'Population Definitions'!C13+1),0),"N.A."),"")</f>
        <v/>
      </c>
      <c r="F123" t="str">
        <f t="shared" si="7"/>
        <v/>
      </c>
    </row>
    <row r="124" spans="1:6" x14ac:dyDescent="0.55000000000000004">
      <c r="A124" t="str">
        <f>IF('Transfer Definitions'!C13="y",'Population Definitions'!$A$13,"...")</f>
        <v>...</v>
      </c>
      <c r="B124" t="str">
        <f>IF('Transfer Definitions'!C13="y","---&gt;","")</f>
        <v/>
      </c>
      <c r="C124" t="str">
        <f>IF('Transfer Definitions'!C13="y",'Population Definitions'!$A$3,"")</f>
        <v/>
      </c>
      <c r="D124" t="str">
        <f t="shared" si="6"/>
        <v/>
      </c>
      <c r="E124" t="str">
        <f>IF(A124&lt;&gt;"...",IF(SUMPRODUCT(--(G124:W124&lt;&gt;""))=0,IF(AND('Population Definitions'!D13&lt;&gt;"",'Population Definitions'!C13&lt;&gt;""),1/('Population Definitions'!D13-'Population Definitions'!C13+1),0),"N.A."),"")</f>
        <v/>
      </c>
      <c r="F124" t="str">
        <f t="shared" si="7"/>
        <v/>
      </c>
    </row>
    <row r="125" spans="1:6" x14ac:dyDescent="0.55000000000000004">
      <c r="A125" t="str">
        <f>IF('Transfer Definitions'!D13="y",'Population Definitions'!$A$13,"...")</f>
        <v>...</v>
      </c>
      <c r="B125" t="str">
        <f>IF('Transfer Definitions'!D13="y","---&gt;","")</f>
        <v/>
      </c>
      <c r="C125" t="str">
        <f>IF('Transfer Definitions'!D13="y",'Population Definitions'!$A$4,"")</f>
        <v/>
      </c>
      <c r="D125" t="str">
        <f t="shared" si="6"/>
        <v/>
      </c>
      <c r="E125" t="str">
        <f>IF(A125&lt;&gt;"...",IF(SUMPRODUCT(--(G125:W125&lt;&gt;""))=0,IF(AND('Population Definitions'!D13&lt;&gt;"",'Population Definitions'!C13&lt;&gt;""),1/('Population Definitions'!D13-'Population Definitions'!C13+1),0),"N.A."),"")</f>
        <v/>
      </c>
      <c r="F125" t="str">
        <f t="shared" si="7"/>
        <v/>
      </c>
    </row>
    <row r="126" spans="1:6" x14ac:dyDescent="0.55000000000000004">
      <c r="A126" t="str">
        <f>IF('Transfer Definitions'!E13="y",'Population Definitions'!$A$13,"...")</f>
        <v>...</v>
      </c>
      <c r="B126" t="str">
        <f>IF('Transfer Definitions'!E13="y","---&gt;","")</f>
        <v/>
      </c>
      <c r="C126" t="str">
        <f>IF('Transfer Definitions'!E13="y",'Population Definitions'!$A$5,"")</f>
        <v/>
      </c>
      <c r="D126" t="str">
        <f t="shared" si="6"/>
        <v/>
      </c>
      <c r="E126" t="str">
        <f>IF(A126&lt;&gt;"...",IF(SUMPRODUCT(--(G126:W126&lt;&gt;""))=0,IF(AND('Population Definitions'!D13&lt;&gt;"",'Population Definitions'!C13&lt;&gt;""),1/('Population Definitions'!D13-'Population Definitions'!C13+1),0),"N.A."),"")</f>
        <v/>
      </c>
      <c r="F126" t="str">
        <f t="shared" si="7"/>
        <v/>
      </c>
    </row>
    <row r="127" spans="1:6" x14ac:dyDescent="0.55000000000000004">
      <c r="A127" t="str">
        <f>IF('Transfer Definitions'!F13="y",'Population Definitions'!$A$13,"...")</f>
        <v>...</v>
      </c>
      <c r="B127" t="str">
        <f>IF('Transfer Definitions'!F13="y","---&gt;","")</f>
        <v/>
      </c>
      <c r="C127" t="str">
        <f>IF('Transfer Definitions'!F13="y",'Population Definitions'!$A$6,"")</f>
        <v/>
      </c>
      <c r="D127" t="str">
        <f t="shared" si="6"/>
        <v/>
      </c>
      <c r="E127" t="str">
        <f>IF(A127&lt;&gt;"...",IF(SUMPRODUCT(--(G127:W127&lt;&gt;""))=0,IF(AND('Population Definitions'!D13&lt;&gt;"",'Population Definitions'!C13&lt;&gt;""),1/('Population Definitions'!D13-'Population Definitions'!C13+1),0),"N.A."),"")</f>
        <v/>
      </c>
      <c r="F127" t="str">
        <f t="shared" si="7"/>
        <v/>
      </c>
    </row>
    <row r="128" spans="1:6" x14ac:dyDescent="0.55000000000000004">
      <c r="A128" t="str">
        <f>IF('Transfer Definitions'!G13="y",'Population Definitions'!$A$13,"...")</f>
        <v>...</v>
      </c>
      <c r="B128" t="str">
        <f>IF('Transfer Definitions'!G13="y","---&gt;","")</f>
        <v/>
      </c>
      <c r="C128" t="str">
        <f>IF('Transfer Definitions'!G13="y",'Population Definitions'!$A$7,"")</f>
        <v/>
      </c>
      <c r="D128" t="str">
        <f t="shared" si="6"/>
        <v/>
      </c>
      <c r="E128" t="str">
        <f>IF(A128&lt;&gt;"...",IF(SUMPRODUCT(--(G128:W128&lt;&gt;""))=0,IF(AND('Population Definitions'!D13&lt;&gt;"",'Population Definitions'!C13&lt;&gt;""),1/('Population Definitions'!D13-'Population Definitions'!C13+1),0),"N.A."),"")</f>
        <v/>
      </c>
      <c r="F128" t="str">
        <f t="shared" si="7"/>
        <v/>
      </c>
    </row>
    <row r="129" spans="1:23" x14ac:dyDescent="0.55000000000000004">
      <c r="A129" t="str">
        <f>IF('Transfer Definitions'!H13="y",'Population Definitions'!$A$13,"...")</f>
        <v>...</v>
      </c>
      <c r="B129" t="str">
        <f>IF('Transfer Definitions'!H13="y","---&gt;","")</f>
        <v/>
      </c>
      <c r="C129" t="str">
        <f>IF('Transfer Definitions'!H13="y",'Population Definitions'!$A$8,"")</f>
        <v/>
      </c>
      <c r="D129" t="str">
        <f t="shared" si="6"/>
        <v/>
      </c>
      <c r="E129" t="str">
        <f>IF(A129&lt;&gt;"...",IF(SUMPRODUCT(--(G129:W129&lt;&gt;""))=0,IF(AND('Population Definitions'!D13&lt;&gt;"",'Population Definitions'!C13&lt;&gt;""),1/('Population Definitions'!D13-'Population Definitions'!C13+1),0),"N.A."),"")</f>
        <v/>
      </c>
      <c r="F129" t="str">
        <f t="shared" si="7"/>
        <v/>
      </c>
    </row>
    <row r="130" spans="1:23" x14ac:dyDescent="0.55000000000000004">
      <c r="A130" t="str">
        <f>IF('Transfer Definitions'!I13="y",'Population Definitions'!$A$13,"...")</f>
        <v>...</v>
      </c>
      <c r="B130" t="str">
        <f>IF('Transfer Definitions'!I13="y","---&gt;","")</f>
        <v/>
      </c>
      <c r="C130" t="str">
        <f>IF('Transfer Definitions'!I13="y",'Population Definitions'!$A$9,"")</f>
        <v/>
      </c>
      <c r="D130" t="str">
        <f t="shared" si="6"/>
        <v/>
      </c>
      <c r="E130" t="str">
        <f>IF(A130&lt;&gt;"...",IF(SUMPRODUCT(--(G130:W130&lt;&gt;""))=0,IF(AND('Population Definitions'!D13&lt;&gt;"",'Population Definitions'!C13&lt;&gt;""),1/('Population Definitions'!D13-'Population Definitions'!C13+1),0),"N.A."),"")</f>
        <v/>
      </c>
      <c r="F130" t="str">
        <f t="shared" si="7"/>
        <v/>
      </c>
    </row>
    <row r="131" spans="1:23" x14ac:dyDescent="0.55000000000000004">
      <c r="A131" t="str">
        <f>IF('Transfer Definitions'!J13="y",'Population Definitions'!$A$13,"...")</f>
        <v>...</v>
      </c>
      <c r="B131" t="str">
        <f>IF('Transfer Definitions'!J13="y","---&gt;","")</f>
        <v/>
      </c>
      <c r="C131" t="str">
        <f>IF('Transfer Definitions'!J13="y",'Population Definitions'!$A$10,"")</f>
        <v/>
      </c>
      <c r="D131" t="str">
        <f t="shared" si="6"/>
        <v/>
      </c>
      <c r="E131" t="str">
        <f>IF(A131&lt;&gt;"...",IF(SUMPRODUCT(--(G131:W131&lt;&gt;""))=0,IF(AND('Population Definitions'!D13&lt;&gt;"",'Population Definitions'!C13&lt;&gt;""),1/('Population Definitions'!D13-'Population Definitions'!C13+1),0),"N.A."),"")</f>
        <v/>
      </c>
      <c r="F131" t="str">
        <f t="shared" si="7"/>
        <v/>
      </c>
    </row>
    <row r="132" spans="1:23" x14ac:dyDescent="0.55000000000000004">
      <c r="A132" t="str">
        <f>IF('Transfer Definitions'!K13="y",'Population Definitions'!$A$13,"...")</f>
        <v>...</v>
      </c>
      <c r="B132" t="str">
        <f>IF('Transfer Definitions'!K13="y","---&gt;","")</f>
        <v/>
      </c>
      <c r="C132" t="str">
        <f>IF('Transfer Definitions'!K13="y",'Population Definitions'!$A$11,"")</f>
        <v/>
      </c>
      <c r="D132" t="str">
        <f t="shared" si="6"/>
        <v/>
      </c>
      <c r="E132" t="str">
        <f>IF(A132&lt;&gt;"...",IF(SUMPRODUCT(--(G132:W132&lt;&gt;""))=0,IF(AND('Population Definitions'!D13&lt;&gt;"",'Population Definitions'!C13&lt;&gt;""),1/('Population Definitions'!D13-'Population Definitions'!C13+1),0),"N.A."),"")</f>
        <v/>
      </c>
      <c r="F132" t="str">
        <f t="shared" si="7"/>
        <v/>
      </c>
    </row>
    <row r="133" spans="1:23" x14ac:dyDescent="0.55000000000000004">
      <c r="A133" t="str">
        <f>IF('Transfer Definitions'!L13="y",'Population Definitions'!$A$13,"...")</f>
        <v>...</v>
      </c>
      <c r="B133" t="str">
        <f>IF('Transfer Definitions'!L13="y","---&gt;","")</f>
        <v/>
      </c>
      <c r="C133" t="str">
        <f>IF('Transfer Definitions'!L13="y",'Population Definitions'!$A$12,"")</f>
        <v/>
      </c>
      <c r="D133" t="str">
        <f t="shared" si="6"/>
        <v/>
      </c>
      <c r="E133" t="str">
        <f>IF(A133&lt;&gt;"...",IF(SUMPRODUCT(--(G133:W133&lt;&gt;""))=0,IF(AND('Population Definitions'!D13&lt;&gt;"",'Population Definitions'!C13&lt;&gt;""),1/('Population Definitions'!D13-'Population Definitions'!C13+1),0),"N.A."),"")</f>
        <v/>
      </c>
      <c r="F133" t="str">
        <f t="shared" si="7"/>
        <v/>
      </c>
    </row>
    <row r="135" spans="1:23" x14ac:dyDescent="0.55000000000000004">
      <c r="A135" s="1" t="str">
        <f>'Transfer Definitions'!A15</f>
        <v>HIV Infections</v>
      </c>
      <c r="B135" s="1"/>
      <c r="C135" s="1"/>
      <c r="D135" s="1" t="s">
        <v>8</v>
      </c>
      <c r="E135" s="1" t="s">
        <v>9</v>
      </c>
      <c r="F135" s="1"/>
      <c r="G135" s="1">
        <v>2000</v>
      </c>
      <c r="H135" s="1">
        <v>2001</v>
      </c>
      <c r="I135" s="1">
        <v>2002</v>
      </c>
      <c r="J135" s="1">
        <v>2003</v>
      </c>
      <c r="K135" s="1">
        <v>2004</v>
      </c>
      <c r="L135" s="1">
        <v>2005</v>
      </c>
      <c r="M135" s="1">
        <v>2006</v>
      </c>
      <c r="N135" s="1">
        <v>2007</v>
      </c>
      <c r="O135" s="1">
        <v>2008</v>
      </c>
      <c r="P135" s="1">
        <v>2009</v>
      </c>
      <c r="Q135" s="1">
        <v>2010</v>
      </c>
      <c r="R135" s="1">
        <v>2011</v>
      </c>
      <c r="S135" s="1">
        <v>2012</v>
      </c>
      <c r="T135" s="1">
        <v>2013</v>
      </c>
      <c r="U135" s="1">
        <v>2014</v>
      </c>
      <c r="V135" s="1">
        <v>2015</v>
      </c>
      <c r="W135" s="1">
        <v>2016</v>
      </c>
    </row>
    <row r="136" spans="1:23" x14ac:dyDescent="0.55000000000000004">
      <c r="A136" t="str">
        <f>IF('Transfer Definitions'!C16="y",'Population Definitions'!$A$2,"...")</f>
        <v>...</v>
      </c>
      <c r="B136" t="str">
        <f>IF('Transfer Definitions'!C16="y","---&gt;","")</f>
        <v/>
      </c>
      <c r="C136" t="str">
        <f>IF('Transfer Definitions'!C16="y",'Population Definitions'!$A$3,"")</f>
        <v/>
      </c>
      <c r="D136" t="str">
        <f t="shared" ref="D136:D167" si="8">IF(A136&lt;&gt;"...","Fraction","")</f>
        <v/>
      </c>
      <c r="E136" t="str">
        <f t="shared" ref="E136:E167" si="9">IF(A136&lt;&gt;"...",IF(SUMPRODUCT(--(G136:W136&lt;&gt;""))=0,0,"N.A."),"")</f>
        <v/>
      </c>
      <c r="F136" t="str">
        <f t="shared" ref="F136:F167" si="10">IF(A136&lt;&gt;"...","OR","")</f>
        <v/>
      </c>
    </row>
    <row r="137" spans="1:23" x14ac:dyDescent="0.55000000000000004">
      <c r="A137" t="str">
        <f>IF('Transfer Definitions'!D16="y",'Population Definitions'!$A$2,"...")</f>
        <v>...</v>
      </c>
      <c r="B137" t="str">
        <f>IF('Transfer Definitions'!D16="y","---&gt;","")</f>
        <v/>
      </c>
      <c r="C137" t="str">
        <f>IF('Transfer Definitions'!D16="y",'Population Definitions'!$A$4,"")</f>
        <v/>
      </c>
      <c r="D137" t="str">
        <f t="shared" si="8"/>
        <v/>
      </c>
      <c r="E137" t="str">
        <f t="shared" si="9"/>
        <v/>
      </c>
      <c r="F137" t="str">
        <f t="shared" si="10"/>
        <v/>
      </c>
    </row>
    <row r="138" spans="1:23" x14ac:dyDescent="0.55000000000000004">
      <c r="A138" t="str">
        <f>IF('Transfer Definitions'!E16="y",'Population Definitions'!$A$2,"...")</f>
        <v>...</v>
      </c>
      <c r="B138" t="str">
        <f>IF('Transfer Definitions'!E16="y","---&gt;","")</f>
        <v/>
      </c>
      <c r="C138" t="str">
        <f>IF('Transfer Definitions'!E16="y",'Population Definitions'!$A$5,"")</f>
        <v/>
      </c>
      <c r="D138" t="str">
        <f t="shared" si="8"/>
        <v/>
      </c>
      <c r="E138" t="str">
        <f t="shared" si="9"/>
        <v/>
      </c>
      <c r="F138" t="str">
        <f t="shared" si="10"/>
        <v/>
      </c>
    </row>
    <row r="139" spans="1:23" x14ac:dyDescent="0.55000000000000004">
      <c r="A139" t="str">
        <f>IF('Transfer Definitions'!F16="y",'Population Definitions'!$A$2,"...")</f>
        <v>...</v>
      </c>
      <c r="B139" t="str">
        <f>IF('Transfer Definitions'!F16="y","---&gt;","")</f>
        <v/>
      </c>
      <c r="C139" t="str">
        <f>IF('Transfer Definitions'!F16="y",'Population Definitions'!$A$6,"")</f>
        <v/>
      </c>
      <c r="D139" t="str">
        <f t="shared" si="8"/>
        <v/>
      </c>
      <c r="E139" t="str">
        <f t="shared" si="9"/>
        <v/>
      </c>
      <c r="F139" t="str">
        <f t="shared" si="10"/>
        <v/>
      </c>
    </row>
    <row r="140" spans="1:23" x14ac:dyDescent="0.55000000000000004">
      <c r="A140" t="str">
        <f>IF('Transfer Definitions'!G16="y",'Population Definitions'!$A$2,"...")</f>
        <v>...</v>
      </c>
      <c r="B140" t="str">
        <f>IF('Transfer Definitions'!G16="y","---&gt;","")</f>
        <v/>
      </c>
      <c r="C140" t="str">
        <f>IF('Transfer Definitions'!G16="y",'Population Definitions'!$A$7,"")</f>
        <v/>
      </c>
      <c r="D140" t="str">
        <f t="shared" si="8"/>
        <v/>
      </c>
      <c r="E140" t="str">
        <f t="shared" si="9"/>
        <v/>
      </c>
      <c r="F140" t="str">
        <f t="shared" si="10"/>
        <v/>
      </c>
    </row>
    <row r="141" spans="1:23" x14ac:dyDescent="0.55000000000000004">
      <c r="A141" t="str">
        <f>IF('Transfer Definitions'!H16="y",'Population Definitions'!$A$2,"...")</f>
        <v>...</v>
      </c>
      <c r="B141" t="str">
        <f>IF('Transfer Definitions'!H16="y","---&gt;","")</f>
        <v/>
      </c>
      <c r="C141" t="str">
        <f>IF('Transfer Definitions'!H16="y",'Population Definitions'!$A$8,"")</f>
        <v/>
      </c>
      <c r="D141" t="str">
        <f t="shared" si="8"/>
        <v/>
      </c>
      <c r="E141" t="str">
        <f t="shared" si="9"/>
        <v/>
      </c>
      <c r="F141" t="str">
        <f t="shared" si="10"/>
        <v/>
      </c>
    </row>
    <row r="142" spans="1:23" x14ac:dyDescent="0.55000000000000004">
      <c r="A142" t="str">
        <f>IF('Transfer Definitions'!I16="y",'Population Definitions'!$A$2,"...")</f>
        <v>...</v>
      </c>
      <c r="B142" t="str">
        <f>IF('Transfer Definitions'!I16="y","---&gt;","")</f>
        <v/>
      </c>
      <c r="C142" t="str">
        <f>IF('Transfer Definitions'!I16="y",'Population Definitions'!$A$9,"")</f>
        <v/>
      </c>
      <c r="D142" t="str">
        <f t="shared" si="8"/>
        <v/>
      </c>
      <c r="E142" t="str">
        <f t="shared" si="9"/>
        <v/>
      </c>
      <c r="F142" t="str">
        <f t="shared" si="10"/>
        <v/>
      </c>
    </row>
    <row r="143" spans="1:23" x14ac:dyDescent="0.55000000000000004">
      <c r="A143" t="str">
        <f>IF('Transfer Definitions'!J16="y",'Population Definitions'!$A$2,"...")</f>
        <v>...</v>
      </c>
      <c r="B143" t="str">
        <f>IF('Transfer Definitions'!J16="y","---&gt;","")</f>
        <v/>
      </c>
      <c r="C143" t="str">
        <f>IF('Transfer Definitions'!J16="y",'Population Definitions'!$A$10,"")</f>
        <v/>
      </c>
      <c r="D143" t="str">
        <f t="shared" si="8"/>
        <v/>
      </c>
      <c r="E143" t="str">
        <f t="shared" si="9"/>
        <v/>
      </c>
      <c r="F143" t="str">
        <f t="shared" si="10"/>
        <v/>
      </c>
    </row>
    <row r="144" spans="1:23" x14ac:dyDescent="0.55000000000000004">
      <c r="A144" t="str">
        <f>IF('Transfer Definitions'!K16="y",'Population Definitions'!$A$2,"...")</f>
        <v>...</v>
      </c>
      <c r="B144" t="str">
        <f>IF('Transfer Definitions'!K16="y","---&gt;","")</f>
        <v/>
      </c>
      <c r="C144" t="str">
        <f>IF('Transfer Definitions'!K16="y",'Population Definitions'!$A$11,"")</f>
        <v/>
      </c>
      <c r="D144" t="str">
        <f t="shared" si="8"/>
        <v/>
      </c>
      <c r="E144" t="str">
        <f t="shared" si="9"/>
        <v/>
      </c>
      <c r="F144" t="str">
        <f t="shared" si="10"/>
        <v/>
      </c>
    </row>
    <row r="145" spans="1:6" x14ac:dyDescent="0.55000000000000004">
      <c r="A145" t="str">
        <f>IF('Transfer Definitions'!L16="y",'Population Definitions'!$A$2,"...")</f>
        <v>...</v>
      </c>
      <c r="B145" t="str">
        <f>IF('Transfer Definitions'!L16="y","---&gt;","")</f>
        <v/>
      </c>
      <c r="C145" t="str">
        <f>IF('Transfer Definitions'!L16="y",'Population Definitions'!$A$12,"")</f>
        <v/>
      </c>
      <c r="D145" t="str">
        <f t="shared" si="8"/>
        <v/>
      </c>
      <c r="E145" t="str">
        <f t="shared" si="9"/>
        <v/>
      </c>
      <c r="F145" t="str">
        <f t="shared" si="10"/>
        <v/>
      </c>
    </row>
    <row r="146" spans="1:6" x14ac:dyDescent="0.55000000000000004">
      <c r="A146" t="str">
        <f>IF('Transfer Definitions'!M16="y",'Population Definitions'!$A$2,"...")</f>
        <v>...</v>
      </c>
      <c r="B146" t="str">
        <f>IF('Transfer Definitions'!M16="y","---&gt;","")</f>
        <v/>
      </c>
      <c r="C146" t="str">
        <f>IF('Transfer Definitions'!M16="y",'Population Definitions'!$A$13,"")</f>
        <v/>
      </c>
      <c r="D146" t="str">
        <f t="shared" si="8"/>
        <v/>
      </c>
      <c r="E146" t="str">
        <f t="shared" si="9"/>
        <v/>
      </c>
      <c r="F146" t="str">
        <f t="shared" si="10"/>
        <v/>
      </c>
    </row>
    <row r="147" spans="1:6" x14ac:dyDescent="0.55000000000000004">
      <c r="A147" t="str">
        <f>IF('Transfer Definitions'!B17="y",'Population Definitions'!$A$3,"...")</f>
        <v>...</v>
      </c>
      <c r="B147" t="str">
        <f>IF('Transfer Definitions'!B17="y","---&gt;","")</f>
        <v/>
      </c>
      <c r="C147" t="str">
        <f>IF('Transfer Definitions'!B17="y",'Population Definitions'!$A$2,"")</f>
        <v/>
      </c>
      <c r="D147" t="str">
        <f t="shared" si="8"/>
        <v/>
      </c>
      <c r="E147" t="str">
        <f t="shared" si="9"/>
        <v/>
      </c>
      <c r="F147" t="str">
        <f t="shared" si="10"/>
        <v/>
      </c>
    </row>
    <row r="148" spans="1:6" x14ac:dyDescent="0.55000000000000004">
      <c r="A148" t="str">
        <f>IF('Transfer Definitions'!D17="y",'Population Definitions'!$A$3,"...")</f>
        <v>...</v>
      </c>
      <c r="B148" t="str">
        <f>IF('Transfer Definitions'!D17="y","---&gt;","")</f>
        <v/>
      </c>
      <c r="C148" t="str">
        <f>IF('Transfer Definitions'!D17="y",'Population Definitions'!$A$4,"")</f>
        <v/>
      </c>
      <c r="D148" t="str">
        <f t="shared" si="8"/>
        <v/>
      </c>
      <c r="E148" t="str">
        <f t="shared" si="9"/>
        <v/>
      </c>
      <c r="F148" t="str">
        <f t="shared" si="10"/>
        <v/>
      </c>
    </row>
    <row r="149" spans="1:6" x14ac:dyDescent="0.55000000000000004">
      <c r="A149" t="str">
        <f>IF('Transfer Definitions'!E17="y",'Population Definitions'!$A$3,"...")</f>
        <v>...</v>
      </c>
      <c r="B149" t="str">
        <f>IF('Transfer Definitions'!E17="y","---&gt;","")</f>
        <v/>
      </c>
      <c r="C149" t="str">
        <f>IF('Transfer Definitions'!E17="y",'Population Definitions'!$A$5,"")</f>
        <v/>
      </c>
      <c r="D149" t="str">
        <f t="shared" si="8"/>
        <v/>
      </c>
      <c r="E149" t="str">
        <f t="shared" si="9"/>
        <v/>
      </c>
      <c r="F149" t="str">
        <f t="shared" si="10"/>
        <v/>
      </c>
    </row>
    <row r="150" spans="1:6" x14ac:dyDescent="0.55000000000000004">
      <c r="A150" t="str">
        <f>IF('Transfer Definitions'!F17="y",'Population Definitions'!$A$3,"...")</f>
        <v>...</v>
      </c>
      <c r="B150" t="str">
        <f>IF('Transfer Definitions'!F17="y","---&gt;","")</f>
        <v/>
      </c>
      <c r="C150" t="str">
        <f>IF('Transfer Definitions'!F17="y",'Population Definitions'!$A$6,"")</f>
        <v/>
      </c>
      <c r="D150" t="str">
        <f t="shared" si="8"/>
        <v/>
      </c>
      <c r="E150" t="str">
        <f t="shared" si="9"/>
        <v/>
      </c>
      <c r="F150" t="str">
        <f t="shared" si="10"/>
        <v/>
      </c>
    </row>
    <row r="151" spans="1:6" x14ac:dyDescent="0.55000000000000004">
      <c r="A151" t="str">
        <f>IF('Transfer Definitions'!G17="y",'Population Definitions'!$A$3,"...")</f>
        <v>...</v>
      </c>
      <c r="B151" t="str">
        <f>IF('Transfer Definitions'!G17="y","---&gt;","")</f>
        <v/>
      </c>
      <c r="C151" t="str">
        <f>IF('Transfer Definitions'!G17="y",'Population Definitions'!$A$7,"")</f>
        <v/>
      </c>
      <c r="D151" t="str">
        <f t="shared" si="8"/>
        <v/>
      </c>
      <c r="E151" t="str">
        <f t="shared" si="9"/>
        <v/>
      </c>
      <c r="F151" t="str">
        <f t="shared" si="10"/>
        <v/>
      </c>
    </row>
    <row r="152" spans="1:6" x14ac:dyDescent="0.55000000000000004">
      <c r="A152" t="str">
        <f>IF('Transfer Definitions'!H17="y",'Population Definitions'!$A$3,"...")</f>
        <v>...</v>
      </c>
      <c r="B152" t="str">
        <f>IF('Transfer Definitions'!H17="y","---&gt;","")</f>
        <v/>
      </c>
      <c r="C152" t="str">
        <f>IF('Transfer Definitions'!H17="y",'Population Definitions'!$A$8,"")</f>
        <v/>
      </c>
      <c r="D152" t="str">
        <f t="shared" si="8"/>
        <v/>
      </c>
      <c r="E152" t="str">
        <f t="shared" si="9"/>
        <v/>
      </c>
      <c r="F152" t="str">
        <f t="shared" si="10"/>
        <v/>
      </c>
    </row>
    <row r="153" spans="1:6" x14ac:dyDescent="0.55000000000000004">
      <c r="A153" t="str">
        <f>IF('Transfer Definitions'!I17="y",'Population Definitions'!$A$3,"...")</f>
        <v>...</v>
      </c>
      <c r="B153" t="str">
        <f>IF('Transfer Definitions'!I17="y","---&gt;","")</f>
        <v/>
      </c>
      <c r="C153" t="str">
        <f>IF('Transfer Definitions'!I17="y",'Population Definitions'!$A$9,"")</f>
        <v/>
      </c>
      <c r="D153" t="str">
        <f t="shared" si="8"/>
        <v/>
      </c>
      <c r="E153" t="str">
        <f t="shared" si="9"/>
        <v/>
      </c>
      <c r="F153" t="str">
        <f t="shared" si="10"/>
        <v/>
      </c>
    </row>
    <row r="154" spans="1:6" x14ac:dyDescent="0.55000000000000004">
      <c r="A154" t="str">
        <f>IF('Transfer Definitions'!J17="y",'Population Definitions'!$A$3,"...")</f>
        <v>...</v>
      </c>
      <c r="B154" t="str">
        <f>IF('Transfer Definitions'!J17="y","---&gt;","")</f>
        <v/>
      </c>
      <c r="C154" t="str">
        <f>IF('Transfer Definitions'!J17="y",'Population Definitions'!$A$10,"")</f>
        <v/>
      </c>
      <c r="D154" t="str">
        <f t="shared" si="8"/>
        <v/>
      </c>
      <c r="E154" t="str">
        <f t="shared" si="9"/>
        <v/>
      </c>
      <c r="F154" t="str">
        <f t="shared" si="10"/>
        <v/>
      </c>
    </row>
    <row r="155" spans="1:6" x14ac:dyDescent="0.55000000000000004">
      <c r="A155" t="str">
        <f>IF('Transfer Definitions'!K17="y",'Population Definitions'!$A$3,"...")</f>
        <v>...</v>
      </c>
      <c r="B155" t="str">
        <f>IF('Transfer Definitions'!K17="y","---&gt;","")</f>
        <v/>
      </c>
      <c r="C155" t="str">
        <f>IF('Transfer Definitions'!K17="y",'Population Definitions'!$A$11,"")</f>
        <v/>
      </c>
      <c r="D155" t="str">
        <f t="shared" si="8"/>
        <v/>
      </c>
      <c r="E155" t="str">
        <f t="shared" si="9"/>
        <v/>
      </c>
      <c r="F155" t="str">
        <f t="shared" si="10"/>
        <v/>
      </c>
    </row>
    <row r="156" spans="1:6" x14ac:dyDescent="0.55000000000000004">
      <c r="A156" t="str">
        <f>IF('Transfer Definitions'!L17="y",'Population Definitions'!$A$3,"...")</f>
        <v>...</v>
      </c>
      <c r="B156" t="str">
        <f>IF('Transfer Definitions'!L17="y","---&gt;","")</f>
        <v/>
      </c>
      <c r="C156" t="str">
        <f>IF('Transfer Definitions'!L17="y",'Population Definitions'!$A$12,"")</f>
        <v/>
      </c>
      <c r="D156" t="str">
        <f t="shared" si="8"/>
        <v/>
      </c>
      <c r="E156" t="str">
        <f t="shared" si="9"/>
        <v/>
      </c>
      <c r="F156" t="str">
        <f t="shared" si="10"/>
        <v/>
      </c>
    </row>
    <row r="157" spans="1:6" x14ac:dyDescent="0.55000000000000004">
      <c r="A157" t="str">
        <f>IF('Transfer Definitions'!M17="y",'Population Definitions'!$A$3,"...")</f>
        <v>...</v>
      </c>
      <c r="B157" t="str">
        <f>IF('Transfer Definitions'!M17="y","---&gt;","")</f>
        <v/>
      </c>
      <c r="C157" t="str">
        <f>IF('Transfer Definitions'!M17="y",'Population Definitions'!$A$13,"")</f>
        <v/>
      </c>
      <c r="D157" t="str">
        <f t="shared" si="8"/>
        <v/>
      </c>
      <c r="E157" t="str">
        <f t="shared" si="9"/>
        <v/>
      </c>
      <c r="F157" t="str">
        <f t="shared" si="10"/>
        <v/>
      </c>
    </row>
    <row r="158" spans="1:6" x14ac:dyDescent="0.55000000000000004">
      <c r="A158" t="str">
        <f>IF('Transfer Definitions'!B18="y",'Population Definitions'!$A$4,"...")</f>
        <v>...</v>
      </c>
      <c r="B158" t="str">
        <f>IF('Transfer Definitions'!B18="y","---&gt;","")</f>
        <v/>
      </c>
      <c r="C158" t="str">
        <f>IF('Transfer Definitions'!B18="y",'Population Definitions'!$A$2,"")</f>
        <v/>
      </c>
      <c r="D158" t="str">
        <f t="shared" si="8"/>
        <v/>
      </c>
      <c r="E158" t="str">
        <f t="shared" si="9"/>
        <v/>
      </c>
      <c r="F158" t="str">
        <f t="shared" si="10"/>
        <v/>
      </c>
    </row>
    <row r="159" spans="1:6" x14ac:dyDescent="0.55000000000000004">
      <c r="A159" t="str">
        <f>IF('Transfer Definitions'!C18="y",'Population Definitions'!$A$4,"...")</f>
        <v>...</v>
      </c>
      <c r="B159" t="str">
        <f>IF('Transfer Definitions'!C18="y","---&gt;","")</f>
        <v/>
      </c>
      <c r="C159" t="str">
        <f>IF('Transfer Definitions'!C18="y",'Population Definitions'!$A$3,"")</f>
        <v/>
      </c>
      <c r="D159" t="str">
        <f t="shared" si="8"/>
        <v/>
      </c>
      <c r="E159" t="str">
        <f t="shared" si="9"/>
        <v/>
      </c>
      <c r="F159" t="str">
        <f t="shared" si="10"/>
        <v/>
      </c>
    </row>
    <row r="160" spans="1:6" x14ac:dyDescent="0.55000000000000004">
      <c r="A160" t="str">
        <f>IF('Transfer Definitions'!E18="y",'Population Definitions'!$A$4,"...")</f>
        <v>...</v>
      </c>
      <c r="B160" t="str">
        <f>IF('Transfer Definitions'!E18="y","---&gt;","")</f>
        <v/>
      </c>
      <c r="C160" t="str">
        <f>IF('Transfer Definitions'!E18="y",'Population Definitions'!$A$5,"")</f>
        <v/>
      </c>
      <c r="D160" t="str">
        <f t="shared" si="8"/>
        <v/>
      </c>
      <c r="E160" t="str">
        <f t="shared" si="9"/>
        <v/>
      </c>
      <c r="F160" t="str">
        <f t="shared" si="10"/>
        <v/>
      </c>
    </row>
    <row r="161" spans="1:23" x14ac:dyDescent="0.55000000000000004">
      <c r="A161" s="1" t="str">
        <f>IF('Transfer Definitions'!F18="y",'Population Definitions'!$A$4,"...")</f>
        <v>Gen 15-64</v>
      </c>
      <c r="B161" s="1" t="str">
        <f>IF('Transfer Definitions'!F18="y","---&gt;","")</f>
        <v>---&gt;</v>
      </c>
      <c r="C161" s="1" t="str">
        <f>IF('Transfer Definitions'!F18="y",'Population Definitions'!$A$6,"")</f>
        <v>PLHIV 15-64</v>
      </c>
      <c r="D161" s="1" t="str">
        <f t="shared" si="8"/>
        <v>Fraction</v>
      </c>
      <c r="E161" s="5" t="str">
        <f>IF(A161&lt;&gt;"...",IF(SUMPRODUCT(--(G161:W161&lt;&gt;""))=0,0,"N.A."),"")</f>
        <v>N.A.</v>
      </c>
      <c r="F161" s="1" t="str">
        <f t="shared" si="10"/>
        <v>OR</v>
      </c>
      <c r="G161" s="5">
        <v>4.1174226091461416E-2</v>
      </c>
      <c r="H161" s="5">
        <v>3.8647205222181229E-2</v>
      </c>
      <c r="I161" s="5">
        <v>3.6647199661541612E-2</v>
      </c>
      <c r="J161" s="5">
        <v>3.5171845864170097E-2</v>
      </c>
      <c r="K161" s="5">
        <v>3.3938908472140449E-2</v>
      </c>
      <c r="L161" s="5">
        <v>3.2695365821476779E-2</v>
      </c>
      <c r="M161" s="5">
        <v>3.2244997956803093E-2</v>
      </c>
      <c r="N161" s="5">
        <f>0.0303824245800057+0.001</f>
        <v>3.1382424580005702E-2</v>
      </c>
      <c r="O161" s="5">
        <f>0.0299720515045166+0.001</f>
        <v>3.0972051504516603E-2</v>
      </c>
      <c r="P161" s="5">
        <f>0.0285133256244588+0.001</f>
        <v>2.9513325624458801E-2</v>
      </c>
      <c r="Q161" s="5">
        <f>0.026316723664229+0.001</f>
        <v>2.7316723664228999E-2</v>
      </c>
      <c r="R161" s="5">
        <f>0.0247758603817635+0.001</f>
        <v>2.57758603817635E-2</v>
      </c>
      <c r="S161" s="5">
        <f>0.0228887609670285+0.001</f>
        <v>2.3888760967028501E-2</v>
      </c>
      <c r="T161" s="5">
        <f>0.0216136169512099+0.001</f>
        <v>2.2613616951209902E-2</v>
      </c>
      <c r="U161" s="5">
        <f>0.0209522660037206+0.001</f>
        <v>2.1952266003720602E-2</v>
      </c>
      <c r="V161" s="5">
        <f>0.0200890448578722+0.001</f>
        <v>2.1089044857872202E-2</v>
      </c>
      <c r="W161" s="5">
        <f>0.0177506269225303+0.001</f>
        <v>1.8750626922530302E-2</v>
      </c>
    </row>
    <row r="162" spans="1:23" x14ac:dyDescent="0.55000000000000004">
      <c r="A162" t="str">
        <f>IF('Transfer Definitions'!G18="y",'Population Definitions'!$A$4,"...")</f>
        <v>...</v>
      </c>
      <c r="B162" t="str">
        <f>IF('Transfer Definitions'!G18="y","---&gt;","")</f>
        <v/>
      </c>
      <c r="C162" t="str">
        <f>IF('Transfer Definitions'!G18="y",'Population Definitions'!$A$7,"")</f>
        <v/>
      </c>
      <c r="D162" t="str">
        <f t="shared" si="8"/>
        <v/>
      </c>
      <c r="E162" t="str">
        <f>IF(A162&lt;&gt;"...",IF(SUMPRODUCT(--(G162:W162&lt;&gt;""))=0,0,"N.A."),"")</f>
        <v/>
      </c>
      <c r="F162" t="str">
        <f t="shared" si="10"/>
        <v/>
      </c>
    </row>
    <row r="163" spans="1:23" x14ac:dyDescent="0.55000000000000004">
      <c r="A163" t="str">
        <f>IF('Transfer Definitions'!H18="y",'Population Definitions'!$A$4,"...")</f>
        <v>...</v>
      </c>
      <c r="B163" t="str">
        <f>IF('Transfer Definitions'!H18="y","---&gt;","")</f>
        <v/>
      </c>
      <c r="C163" t="str">
        <f>IF('Transfer Definitions'!H18="y",'Population Definitions'!$A$8,"")</f>
        <v/>
      </c>
      <c r="D163" t="str">
        <f t="shared" si="8"/>
        <v/>
      </c>
      <c r="E163" t="str">
        <f t="shared" si="9"/>
        <v/>
      </c>
      <c r="F163" t="str">
        <f t="shared" si="10"/>
        <v/>
      </c>
    </row>
    <row r="164" spans="1:23" x14ac:dyDescent="0.55000000000000004">
      <c r="A164" t="str">
        <f>IF('Transfer Definitions'!I18="y",'Population Definitions'!$A$4,"...")</f>
        <v>...</v>
      </c>
      <c r="B164" t="str">
        <f>IF('Transfer Definitions'!I18="y","---&gt;","")</f>
        <v/>
      </c>
      <c r="C164" t="str">
        <f>IF('Transfer Definitions'!I18="y",'Population Definitions'!$A$9,"")</f>
        <v/>
      </c>
      <c r="D164" t="str">
        <f t="shared" si="8"/>
        <v/>
      </c>
      <c r="E164" t="str">
        <f t="shared" si="9"/>
        <v/>
      </c>
      <c r="F164" t="str">
        <f t="shared" si="10"/>
        <v/>
      </c>
    </row>
    <row r="165" spans="1:23" x14ac:dyDescent="0.55000000000000004">
      <c r="A165" t="str">
        <f>IF('Transfer Definitions'!J18="y",'Population Definitions'!$A$4,"...")</f>
        <v>...</v>
      </c>
      <c r="B165" t="str">
        <f>IF('Transfer Definitions'!J18="y","---&gt;","")</f>
        <v/>
      </c>
      <c r="C165" t="str">
        <f>IF('Transfer Definitions'!J18="y",'Population Definitions'!$A$10,"")</f>
        <v/>
      </c>
      <c r="D165" t="str">
        <f t="shared" si="8"/>
        <v/>
      </c>
      <c r="E165" t="str">
        <f t="shared" si="9"/>
        <v/>
      </c>
      <c r="F165" t="str">
        <f t="shared" si="10"/>
        <v/>
      </c>
    </row>
    <row r="166" spans="1:23" x14ac:dyDescent="0.55000000000000004">
      <c r="A166" t="str">
        <f>IF('Transfer Definitions'!K18="y",'Population Definitions'!$A$4,"...")</f>
        <v>...</v>
      </c>
      <c r="B166" t="str">
        <f>IF('Transfer Definitions'!K18="y","---&gt;","")</f>
        <v/>
      </c>
      <c r="C166" t="str">
        <f>IF('Transfer Definitions'!K18="y",'Population Definitions'!$A$11,"")</f>
        <v/>
      </c>
      <c r="D166" t="str">
        <f t="shared" si="8"/>
        <v/>
      </c>
      <c r="E166" t="str">
        <f t="shared" si="9"/>
        <v/>
      </c>
      <c r="F166" t="str">
        <f t="shared" si="10"/>
        <v/>
      </c>
    </row>
    <row r="167" spans="1:23" x14ac:dyDescent="0.55000000000000004">
      <c r="A167" t="str">
        <f>IF('Transfer Definitions'!L18="y",'Population Definitions'!$A$4,"...")</f>
        <v>...</v>
      </c>
      <c r="B167" t="str">
        <f>IF('Transfer Definitions'!L18="y","---&gt;","")</f>
        <v/>
      </c>
      <c r="C167" t="str">
        <f>IF('Transfer Definitions'!L18="y",'Population Definitions'!$A$12,"")</f>
        <v/>
      </c>
      <c r="D167" t="str">
        <f t="shared" si="8"/>
        <v/>
      </c>
      <c r="E167" t="str">
        <f t="shared" si="9"/>
        <v/>
      </c>
      <c r="F167" t="str">
        <f t="shared" si="10"/>
        <v/>
      </c>
    </row>
    <row r="168" spans="1:23" x14ac:dyDescent="0.55000000000000004">
      <c r="A168" t="str">
        <f>IF('Transfer Definitions'!M18="y",'Population Definitions'!$A$4,"...")</f>
        <v>...</v>
      </c>
      <c r="B168" t="str">
        <f>IF('Transfer Definitions'!M18="y","---&gt;","")</f>
        <v/>
      </c>
      <c r="C168" t="str">
        <f>IF('Transfer Definitions'!M18="y",'Population Definitions'!$A$13,"")</f>
        <v/>
      </c>
      <c r="D168" t="str">
        <f t="shared" ref="D168:D199" si="11">IF(A168&lt;&gt;"...","Fraction","")</f>
        <v/>
      </c>
      <c r="E168" t="str">
        <f t="shared" ref="E168:E199" si="12">IF(A168&lt;&gt;"...",IF(SUMPRODUCT(--(G168:W168&lt;&gt;""))=0,0,"N.A."),"")</f>
        <v/>
      </c>
      <c r="F168" t="str">
        <f t="shared" ref="F168:F199" si="13">IF(A168&lt;&gt;"...","OR","")</f>
        <v/>
      </c>
    </row>
    <row r="169" spans="1:23" x14ac:dyDescent="0.55000000000000004">
      <c r="A169" t="str">
        <f>IF('Transfer Definitions'!B19="y",'Population Definitions'!$A$5,"...")</f>
        <v>...</v>
      </c>
      <c r="B169" t="str">
        <f>IF('Transfer Definitions'!B19="y","---&gt;","")</f>
        <v/>
      </c>
      <c r="C169" t="str">
        <f>IF('Transfer Definitions'!B19="y",'Population Definitions'!$A$2,"")</f>
        <v/>
      </c>
      <c r="D169" t="str">
        <f t="shared" si="11"/>
        <v/>
      </c>
      <c r="E169" t="str">
        <f t="shared" si="12"/>
        <v/>
      </c>
      <c r="F169" t="str">
        <f t="shared" si="13"/>
        <v/>
      </c>
    </row>
    <row r="170" spans="1:23" x14ac:dyDescent="0.55000000000000004">
      <c r="A170" t="str">
        <f>IF('Transfer Definitions'!C19="y",'Population Definitions'!$A$5,"...")</f>
        <v>...</v>
      </c>
      <c r="B170" t="str">
        <f>IF('Transfer Definitions'!C19="y","---&gt;","")</f>
        <v/>
      </c>
      <c r="C170" t="str">
        <f>IF('Transfer Definitions'!C19="y",'Population Definitions'!$A$3,"")</f>
        <v/>
      </c>
      <c r="D170" t="str">
        <f t="shared" si="11"/>
        <v/>
      </c>
      <c r="E170" t="str">
        <f t="shared" si="12"/>
        <v/>
      </c>
      <c r="F170" t="str">
        <f t="shared" si="13"/>
        <v/>
      </c>
    </row>
    <row r="171" spans="1:23" x14ac:dyDescent="0.55000000000000004">
      <c r="A171" t="str">
        <f>IF('Transfer Definitions'!D19="y",'Population Definitions'!$A$5,"...")</f>
        <v>...</v>
      </c>
      <c r="B171" t="str">
        <f>IF('Transfer Definitions'!D19="y","---&gt;","")</f>
        <v/>
      </c>
      <c r="C171" t="str">
        <f>IF('Transfer Definitions'!D19="y",'Population Definitions'!$A$4,"")</f>
        <v/>
      </c>
      <c r="D171" t="str">
        <f t="shared" si="11"/>
        <v/>
      </c>
      <c r="E171" t="str">
        <f t="shared" si="12"/>
        <v/>
      </c>
      <c r="F171" t="str">
        <f t="shared" si="13"/>
        <v/>
      </c>
    </row>
    <row r="172" spans="1:23" x14ac:dyDescent="0.55000000000000004">
      <c r="A172" t="str">
        <f>IF('Transfer Definitions'!F19="y",'Population Definitions'!$A$5,"...")</f>
        <v>...</v>
      </c>
      <c r="B172" t="str">
        <f>IF('Transfer Definitions'!F19="y","---&gt;","")</f>
        <v/>
      </c>
      <c r="C172" t="str">
        <f>IF('Transfer Definitions'!F19="y",'Population Definitions'!$A$6,"")</f>
        <v/>
      </c>
      <c r="D172" t="str">
        <f t="shared" si="11"/>
        <v/>
      </c>
      <c r="E172" t="str">
        <f t="shared" si="12"/>
        <v/>
      </c>
      <c r="F172" t="str">
        <f t="shared" si="13"/>
        <v/>
      </c>
    </row>
    <row r="173" spans="1:23" x14ac:dyDescent="0.55000000000000004">
      <c r="A173" s="1" t="str">
        <f>IF('Transfer Definitions'!G19="y",'Population Definitions'!$A$5,"...")</f>
        <v>Gen 65+</v>
      </c>
      <c r="B173" s="1" t="str">
        <f>IF('Transfer Definitions'!G19="y","---&gt;","")</f>
        <v>---&gt;</v>
      </c>
      <c r="C173" s="1" t="str">
        <f>IF('Transfer Definitions'!G19="y",'Population Definitions'!$A$7,"")</f>
        <v>PLHIV 65+</v>
      </c>
      <c r="D173" s="1" t="str">
        <f t="shared" si="11"/>
        <v>Fraction</v>
      </c>
      <c r="E173" s="5" t="str">
        <f t="shared" si="12"/>
        <v>N.A.</v>
      </c>
      <c r="F173" s="1" t="str">
        <f t="shared" si="13"/>
        <v>OR</v>
      </c>
      <c r="G173" s="5">
        <v>4.0000000000000001E-3</v>
      </c>
      <c r="H173" s="5"/>
      <c r="I173" s="5"/>
      <c r="J173" s="5"/>
      <c r="K173" s="5"/>
      <c r="L173" s="5"/>
      <c r="M173" s="5"/>
      <c r="N173" s="5"/>
      <c r="O173" s="5"/>
      <c r="P173" s="5"/>
      <c r="Q173" s="5">
        <v>4.0000000000000001E-3</v>
      </c>
      <c r="R173" s="12"/>
      <c r="S173" s="5"/>
      <c r="T173" s="5"/>
      <c r="U173" s="5"/>
      <c r="V173" s="5"/>
      <c r="W173" s="5">
        <v>3.5000000000000001E-3</v>
      </c>
    </row>
    <row r="174" spans="1:23" x14ac:dyDescent="0.55000000000000004">
      <c r="A174" t="str">
        <f>IF('Transfer Definitions'!H19="y",'Population Definitions'!$A$5,"...")</f>
        <v>...</v>
      </c>
      <c r="B174" t="str">
        <f>IF('Transfer Definitions'!H19="y","---&gt;","")</f>
        <v/>
      </c>
      <c r="C174" t="str">
        <f>IF('Transfer Definitions'!H19="y",'Population Definitions'!$A$8,"")</f>
        <v/>
      </c>
      <c r="D174" t="str">
        <f t="shared" si="11"/>
        <v/>
      </c>
      <c r="E174" t="str">
        <f t="shared" si="12"/>
        <v/>
      </c>
      <c r="F174" t="str">
        <f t="shared" si="13"/>
        <v/>
      </c>
    </row>
    <row r="175" spans="1:23" x14ac:dyDescent="0.55000000000000004">
      <c r="A175" t="str">
        <f>IF('Transfer Definitions'!I19="y",'Population Definitions'!$A$5,"...")</f>
        <v>...</v>
      </c>
      <c r="B175" t="str">
        <f>IF('Transfer Definitions'!I19="y","---&gt;","")</f>
        <v/>
      </c>
      <c r="C175" t="str">
        <f>IF('Transfer Definitions'!I19="y",'Population Definitions'!$A$9,"")</f>
        <v/>
      </c>
      <c r="D175" t="str">
        <f t="shared" si="11"/>
        <v/>
      </c>
      <c r="E175" t="str">
        <f t="shared" si="12"/>
        <v/>
      </c>
      <c r="F175" t="str">
        <f t="shared" si="13"/>
        <v/>
      </c>
    </row>
    <row r="176" spans="1:23" x14ac:dyDescent="0.55000000000000004">
      <c r="A176" t="str">
        <f>IF('Transfer Definitions'!J19="y",'Population Definitions'!$A$5,"...")</f>
        <v>...</v>
      </c>
      <c r="B176" t="str">
        <f>IF('Transfer Definitions'!J19="y","---&gt;","")</f>
        <v/>
      </c>
      <c r="C176" t="str">
        <f>IF('Transfer Definitions'!J19="y",'Population Definitions'!$A$10,"")</f>
        <v/>
      </c>
      <c r="D176" t="str">
        <f t="shared" si="11"/>
        <v/>
      </c>
      <c r="E176" t="str">
        <f t="shared" si="12"/>
        <v/>
      </c>
      <c r="F176" t="str">
        <f t="shared" si="13"/>
        <v/>
      </c>
    </row>
    <row r="177" spans="1:6" x14ac:dyDescent="0.55000000000000004">
      <c r="A177" t="str">
        <f>IF('Transfer Definitions'!K19="y",'Population Definitions'!$A$5,"...")</f>
        <v>...</v>
      </c>
      <c r="B177" t="str">
        <f>IF('Transfer Definitions'!K19="y","---&gt;","")</f>
        <v/>
      </c>
      <c r="C177" t="str">
        <f>IF('Transfer Definitions'!K19="y",'Population Definitions'!$A$11,"")</f>
        <v/>
      </c>
      <c r="D177" t="str">
        <f t="shared" si="11"/>
        <v/>
      </c>
      <c r="E177" t="str">
        <f t="shared" si="12"/>
        <v/>
      </c>
      <c r="F177" t="str">
        <f t="shared" si="13"/>
        <v/>
      </c>
    </row>
    <row r="178" spans="1:6" x14ac:dyDescent="0.55000000000000004">
      <c r="A178" t="str">
        <f>IF('Transfer Definitions'!L19="y",'Population Definitions'!$A$5,"...")</f>
        <v>...</v>
      </c>
      <c r="B178" t="str">
        <f>IF('Transfer Definitions'!L19="y","---&gt;","")</f>
        <v/>
      </c>
      <c r="C178" t="str">
        <f>IF('Transfer Definitions'!L19="y",'Population Definitions'!$A$12,"")</f>
        <v/>
      </c>
      <c r="D178" t="str">
        <f t="shared" si="11"/>
        <v/>
      </c>
      <c r="E178" t="str">
        <f t="shared" si="12"/>
        <v/>
      </c>
      <c r="F178" t="str">
        <f t="shared" si="13"/>
        <v/>
      </c>
    </row>
    <row r="179" spans="1:6" x14ac:dyDescent="0.55000000000000004">
      <c r="A179" t="str">
        <f>IF('Transfer Definitions'!M19="y",'Population Definitions'!$A$5,"...")</f>
        <v>...</v>
      </c>
      <c r="B179" t="str">
        <f>IF('Transfer Definitions'!M19="y","---&gt;","")</f>
        <v/>
      </c>
      <c r="C179" t="str">
        <f>IF('Transfer Definitions'!M19="y",'Population Definitions'!$A$13,"")</f>
        <v/>
      </c>
      <c r="D179" t="str">
        <f t="shared" si="11"/>
        <v/>
      </c>
      <c r="E179" t="str">
        <f t="shared" si="12"/>
        <v/>
      </c>
      <c r="F179" t="str">
        <f t="shared" si="13"/>
        <v/>
      </c>
    </row>
    <row r="180" spans="1:6" x14ac:dyDescent="0.55000000000000004">
      <c r="A180" t="str">
        <f>IF('Transfer Definitions'!B20="y",'Population Definitions'!$A$6,"...")</f>
        <v>...</v>
      </c>
      <c r="B180" t="str">
        <f>IF('Transfer Definitions'!B20="y","---&gt;","")</f>
        <v/>
      </c>
      <c r="C180" t="str">
        <f>IF('Transfer Definitions'!B20="y",'Population Definitions'!$A$2,"")</f>
        <v/>
      </c>
      <c r="D180" t="str">
        <f t="shared" si="11"/>
        <v/>
      </c>
      <c r="E180" t="str">
        <f t="shared" si="12"/>
        <v/>
      </c>
      <c r="F180" t="str">
        <f t="shared" si="13"/>
        <v/>
      </c>
    </row>
    <row r="181" spans="1:6" x14ac:dyDescent="0.55000000000000004">
      <c r="A181" t="str">
        <f>IF('Transfer Definitions'!C20="y",'Population Definitions'!$A$6,"...")</f>
        <v>...</v>
      </c>
      <c r="B181" t="str">
        <f>IF('Transfer Definitions'!C20="y","---&gt;","")</f>
        <v/>
      </c>
      <c r="C181" t="str">
        <f>IF('Transfer Definitions'!C20="y",'Population Definitions'!$A$3,"")</f>
        <v/>
      </c>
      <c r="D181" t="str">
        <f t="shared" si="11"/>
        <v/>
      </c>
      <c r="E181" t="str">
        <f t="shared" si="12"/>
        <v/>
      </c>
      <c r="F181" t="str">
        <f t="shared" si="13"/>
        <v/>
      </c>
    </row>
    <row r="182" spans="1:6" x14ac:dyDescent="0.55000000000000004">
      <c r="A182" t="str">
        <f>IF('Transfer Definitions'!D20="y",'Population Definitions'!$A$6,"...")</f>
        <v>...</v>
      </c>
      <c r="B182" t="str">
        <f>IF('Transfer Definitions'!D20="y","---&gt;","")</f>
        <v/>
      </c>
      <c r="C182" t="str">
        <f>IF('Transfer Definitions'!D20="y",'Population Definitions'!$A$4,"")</f>
        <v/>
      </c>
      <c r="D182" t="str">
        <f t="shared" si="11"/>
        <v/>
      </c>
      <c r="E182" t="str">
        <f t="shared" si="12"/>
        <v/>
      </c>
      <c r="F182" t="str">
        <f t="shared" si="13"/>
        <v/>
      </c>
    </row>
    <row r="183" spans="1:6" x14ac:dyDescent="0.55000000000000004">
      <c r="A183" t="str">
        <f>IF('Transfer Definitions'!E20="y",'Population Definitions'!$A$6,"...")</f>
        <v>...</v>
      </c>
      <c r="B183" t="str">
        <f>IF('Transfer Definitions'!E20="y","---&gt;","")</f>
        <v/>
      </c>
      <c r="C183" t="str">
        <f>IF('Transfer Definitions'!E20="y",'Population Definitions'!$A$5,"")</f>
        <v/>
      </c>
      <c r="D183" t="str">
        <f t="shared" si="11"/>
        <v/>
      </c>
      <c r="E183" t="str">
        <f t="shared" si="12"/>
        <v/>
      </c>
      <c r="F183" t="str">
        <f t="shared" si="13"/>
        <v/>
      </c>
    </row>
    <row r="184" spans="1:6" x14ac:dyDescent="0.55000000000000004">
      <c r="A184" t="str">
        <f>IF('Transfer Definitions'!G20="y",'Population Definitions'!$A$6,"...")</f>
        <v>...</v>
      </c>
      <c r="B184" t="str">
        <f>IF('Transfer Definitions'!G20="y","---&gt;","")</f>
        <v/>
      </c>
      <c r="C184" t="str">
        <f>IF('Transfer Definitions'!G20="y",'Population Definitions'!$A$7,"")</f>
        <v/>
      </c>
      <c r="D184" t="str">
        <f t="shared" si="11"/>
        <v/>
      </c>
      <c r="E184" t="str">
        <f t="shared" si="12"/>
        <v/>
      </c>
      <c r="F184" t="str">
        <f t="shared" si="13"/>
        <v/>
      </c>
    </row>
    <row r="185" spans="1:6" x14ac:dyDescent="0.55000000000000004">
      <c r="A185" t="str">
        <f>IF('Transfer Definitions'!H20="y",'Population Definitions'!$A$6,"...")</f>
        <v>...</v>
      </c>
      <c r="B185" t="str">
        <f>IF('Transfer Definitions'!H20="y","---&gt;","")</f>
        <v/>
      </c>
      <c r="C185" t="str">
        <f>IF('Transfer Definitions'!H20="y",'Population Definitions'!$A$8,"")</f>
        <v/>
      </c>
      <c r="D185" t="str">
        <f t="shared" si="11"/>
        <v/>
      </c>
      <c r="E185" t="str">
        <f t="shared" si="12"/>
        <v/>
      </c>
      <c r="F185" t="str">
        <f t="shared" si="13"/>
        <v/>
      </c>
    </row>
    <row r="186" spans="1:6" x14ac:dyDescent="0.55000000000000004">
      <c r="A186" t="str">
        <f>IF('Transfer Definitions'!I20="y",'Population Definitions'!$A$6,"...")</f>
        <v>...</v>
      </c>
      <c r="B186" t="str">
        <f>IF('Transfer Definitions'!I20="y","---&gt;","")</f>
        <v/>
      </c>
      <c r="C186" t="str">
        <f>IF('Transfer Definitions'!I20="y",'Population Definitions'!$A$9,"")</f>
        <v/>
      </c>
      <c r="D186" t="str">
        <f t="shared" si="11"/>
        <v/>
      </c>
      <c r="E186" t="str">
        <f t="shared" si="12"/>
        <v/>
      </c>
      <c r="F186" t="str">
        <f t="shared" si="13"/>
        <v/>
      </c>
    </row>
    <row r="187" spans="1:6" x14ac:dyDescent="0.55000000000000004">
      <c r="A187" t="str">
        <f>IF('Transfer Definitions'!J20="y",'Population Definitions'!$A$6,"...")</f>
        <v>...</v>
      </c>
      <c r="B187" t="str">
        <f>IF('Transfer Definitions'!J20="y","---&gt;","")</f>
        <v/>
      </c>
      <c r="C187" t="str">
        <f>IF('Transfer Definitions'!J20="y",'Population Definitions'!$A$10,"")</f>
        <v/>
      </c>
      <c r="D187" t="str">
        <f t="shared" si="11"/>
        <v/>
      </c>
      <c r="E187" t="str">
        <f t="shared" si="12"/>
        <v/>
      </c>
      <c r="F187" t="str">
        <f t="shared" si="13"/>
        <v/>
      </c>
    </row>
    <row r="188" spans="1:6" x14ac:dyDescent="0.55000000000000004">
      <c r="A188" t="str">
        <f>IF('Transfer Definitions'!K20="y",'Population Definitions'!$A$6,"...")</f>
        <v>...</v>
      </c>
      <c r="B188" t="str">
        <f>IF('Transfer Definitions'!K20="y","---&gt;","")</f>
        <v/>
      </c>
      <c r="C188" t="str">
        <f>IF('Transfer Definitions'!K20="y",'Population Definitions'!$A$11,"")</f>
        <v/>
      </c>
      <c r="D188" t="str">
        <f t="shared" si="11"/>
        <v/>
      </c>
      <c r="E188" t="str">
        <f t="shared" si="12"/>
        <v/>
      </c>
      <c r="F188" t="str">
        <f t="shared" si="13"/>
        <v/>
      </c>
    </row>
    <row r="189" spans="1:6" x14ac:dyDescent="0.55000000000000004">
      <c r="A189" t="str">
        <f>IF('Transfer Definitions'!L20="y",'Population Definitions'!$A$6,"...")</f>
        <v>...</v>
      </c>
      <c r="B189" t="str">
        <f>IF('Transfer Definitions'!L20="y","---&gt;","")</f>
        <v/>
      </c>
      <c r="C189" t="str">
        <f>IF('Transfer Definitions'!L20="y",'Population Definitions'!$A$12,"")</f>
        <v/>
      </c>
      <c r="D189" t="str">
        <f t="shared" si="11"/>
        <v/>
      </c>
      <c r="E189" t="str">
        <f t="shared" si="12"/>
        <v/>
      </c>
      <c r="F189" t="str">
        <f t="shared" si="13"/>
        <v/>
      </c>
    </row>
    <row r="190" spans="1:6" x14ac:dyDescent="0.55000000000000004">
      <c r="A190" t="str">
        <f>IF('Transfer Definitions'!M20="y",'Population Definitions'!$A$6,"...")</f>
        <v>...</v>
      </c>
      <c r="B190" t="str">
        <f>IF('Transfer Definitions'!M20="y","---&gt;","")</f>
        <v/>
      </c>
      <c r="C190" t="str">
        <f>IF('Transfer Definitions'!M20="y",'Population Definitions'!$A$13,"")</f>
        <v/>
      </c>
      <c r="D190" t="str">
        <f t="shared" si="11"/>
        <v/>
      </c>
      <c r="E190" t="str">
        <f t="shared" si="12"/>
        <v/>
      </c>
      <c r="F190" t="str">
        <f t="shared" si="13"/>
        <v/>
      </c>
    </row>
    <row r="191" spans="1:6" x14ac:dyDescent="0.55000000000000004">
      <c r="A191" t="str">
        <f>IF('Transfer Definitions'!B21="y",'Population Definitions'!$A$7,"...")</f>
        <v>...</v>
      </c>
      <c r="B191" t="str">
        <f>IF('Transfer Definitions'!B21="y","---&gt;","")</f>
        <v/>
      </c>
      <c r="C191" t="str">
        <f>IF('Transfer Definitions'!B21="y",'Population Definitions'!$A$2,"")</f>
        <v/>
      </c>
      <c r="D191" t="str">
        <f t="shared" si="11"/>
        <v/>
      </c>
      <c r="E191" t="str">
        <f t="shared" si="12"/>
        <v/>
      </c>
      <c r="F191" t="str">
        <f t="shared" si="13"/>
        <v/>
      </c>
    </row>
    <row r="192" spans="1:6" x14ac:dyDescent="0.55000000000000004">
      <c r="A192" t="str">
        <f>IF('Transfer Definitions'!C21="y",'Population Definitions'!$A$7,"...")</f>
        <v>...</v>
      </c>
      <c r="B192" t="str">
        <f>IF('Transfer Definitions'!C21="y","---&gt;","")</f>
        <v/>
      </c>
      <c r="C192" t="str">
        <f>IF('Transfer Definitions'!C21="y",'Population Definitions'!$A$3,"")</f>
        <v/>
      </c>
      <c r="D192" t="str">
        <f t="shared" si="11"/>
        <v/>
      </c>
      <c r="E192" t="str">
        <f t="shared" si="12"/>
        <v/>
      </c>
      <c r="F192" t="str">
        <f t="shared" si="13"/>
        <v/>
      </c>
    </row>
    <row r="193" spans="1:23" x14ac:dyDescent="0.55000000000000004">
      <c r="A193" t="str">
        <f>IF('Transfer Definitions'!D21="y",'Population Definitions'!$A$7,"...")</f>
        <v>...</v>
      </c>
      <c r="B193" t="str">
        <f>IF('Transfer Definitions'!D21="y","---&gt;","")</f>
        <v/>
      </c>
      <c r="C193" t="str">
        <f>IF('Transfer Definitions'!D21="y",'Population Definitions'!$A$4,"")</f>
        <v/>
      </c>
      <c r="D193" t="str">
        <f t="shared" si="11"/>
        <v/>
      </c>
      <c r="E193" t="str">
        <f t="shared" si="12"/>
        <v/>
      </c>
      <c r="F193" t="str">
        <f t="shared" si="13"/>
        <v/>
      </c>
    </row>
    <row r="194" spans="1:23" x14ac:dyDescent="0.55000000000000004">
      <c r="A194" t="str">
        <f>IF('Transfer Definitions'!E21="y",'Population Definitions'!$A$7,"...")</f>
        <v>...</v>
      </c>
      <c r="B194" t="str">
        <f>IF('Transfer Definitions'!E21="y","---&gt;","")</f>
        <v/>
      </c>
      <c r="C194" t="str">
        <f>IF('Transfer Definitions'!E21="y",'Population Definitions'!$A$5,"")</f>
        <v/>
      </c>
      <c r="D194" t="str">
        <f t="shared" si="11"/>
        <v/>
      </c>
      <c r="E194" t="str">
        <f t="shared" si="12"/>
        <v/>
      </c>
      <c r="F194" t="str">
        <f t="shared" si="13"/>
        <v/>
      </c>
    </row>
    <row r="195" spans="1:23" x14ac:dyDescent="0.55000000000000004">
      <c r="A195" t="str">
        <f>IF('Transfer Definitions'!F21="y",'Population Definitions'!$A$7,"...")</f>
        <v>...</v>
      </c>
      <c r="B195" t="str">
        <f>IF('Transfer Definitions'!F21="y","---&gt;","")</f>
        <v/>
      </c>
      <c r="C195" t="str">
        <f>IF('Transfer Definitions'!F21="y",'Population Definitions'!$A$6,"")</f>
        <v/>
      </c>
      <c r="D195" t="str">
        <f t="shared" si="11"/>
        <v/>
      </c>
      <c r="E195" t="str">
        <f t="shared" si="12"/>
        <v/>
      </c>
      <c r="F195" t="str">
        <f t="shared" si="13"/>
        <v/>
      </c>
    </row>
    <row r="196" spans="1:23" x14ac:dyDescent="0.55000000000000004">
      <c r="A196" t="str">
        <f>IF('Transfer Definitions'!H21="y",'Population Definitions'!$A$7,"...")</f>
        <v>...</v>
      </c>
      <c r="B196" t="str">
        <f>IF('Transfer Definitions'!H21="y","---&gt;","")</f>
        <v/>
      </c>
      <c r="C196" t="str">
        <f>IF('Transfer Definitions'!H21="y",'Population Definitions'!$A$8,"")</f>
        <v/>
      </c>
      <c r="D196" t="str">
        <f t="shared" si="11"/>
        <v/>
      </c>
      <c r="E196" t="str">
        <f t="shared" si="12"/>
        <v/>
      </c>
      <c r="F196" t="str">
        <f t="shared" si="13"/>
        <v/>
      </c>
    </row>
    <row r="197" spans="1:23" x14ac:dyDescent="0.55000000000000004">
      <c r="A197" t="str">
        <f>IF('Transfer Definitions'!I21="y",'Population Definitions'!$A$7,"...")</f>
        <v>...</v>
      </c>
      <c r="B197" t="str">
        <f>IF('Transfer Definitions'!I21="y","---&gt;","")</f>
        <v/>
      </c>
      <c r="C197" t="str">
        <f>IF('Transfer Definitions'!I21="y",'Population Definitions'!$A$9,"")</f>
        <v/>
      </c>
      <c r="D197" t="str">
        <f t="shared" si="11"/>
        <v/>
      </c>
      <c r="E197" t="str">
        <f t="shared" si="12"/>
        <v/>
      </c>
      <c r="F197" t="str">
        <f t="shared" si="13"/>
        <v/>
      </c>
    </row>
    <row r="198" spans="1:23" x14ac:dyDescent="0.55000000000000004">
      <c r="A198" t="str">
        <f>IF('Transfer Definitions'!J21="y",'Population Definitions'!$A$7,"...")</f>
        <v>...</v>
      </c>
      <c r="B198" t="str">
        <f>IF('Transfer Definitions'!J21="y","---&gt;","")</f>
        <v/>
      </c>
      <c r="C198" t="str">
        <f>IF('Transfer Definitions'!J21="y",'Population Definitions'!$A$10,"")</f>
        <v/>
      </c>
      <c r="D198" t="str">
        <f t="shared" si="11"/>
        <v/>
      </c>
      <c r="E198" t="str">
        <f t="shared" si="12"/>
        <v/>
      </c>
      <c r="F198" t="str">
        <f t="shared" si="13"/>
        <v/>
      </c>
    </row>
    <row r="199" spans="1:23" x14ac:dyDescent="0.55000000000000004">
      <c r="A199" t="str">
        <f>IF('Transfer Definitions'!K21="y",'Population Definitions'!$A$7,"...")</f>
        <v>...</v>
      </c>
      <c r="B199" t="str">
        <f>IF('Transfer Definitions'!K21="y","---&gt;","")</f>
        <v/>
      </c>
      <c r="C199" t="str">
        <f>IF('Transfer Definitions'!K21="y",'Population Definitions'!$A$11,"")</f>
        <v/>
      </c>
      <c r="D199" t="str">
        <f t="shared" si="11"/>
        <v/>
      </c>
      <c r="E199" t="str">
        <f t="shared" si="12"/>
        <v/>
      </c>
      <c r="F199" t="str">
        <f t="shared" si="13"/>
        <v/>
      </c>
    </row>
    <row r="200" spans="1:23" x14ac:dyDescent="0.55000000000000004">
      <c r="A200" t="str">
        <f>IF('Transfer Definitions'!L21="y",'Population Definitions'!$A$7,"...")</f>
        <v>...</v>
      </c>
      <c r="B200" t="str">
        <f>IF('Transfer Definitions'!L21="y","---&gt;","")</f>
        <v/>
      </c>
      <c r="C200" t="str">
        <f>IF('Transfer Definitions'!L21="y",'Population Definitions'!$A$12,"")</f>
        <v/>
      </c>
      <c r="D200" t="str">
        <f t="shared" ref="D200:D231" si="14">IF(A200&lt;&gt;"...","Fraction","")</f>
        <v/>
      </c>
      <c r="E200" t="str">
        <f t="shared" ref="E200:E231" si="15">IF(A200&lt;&gt;"...",IF(SUMPRODUCT(--(G200:W200&lt;&gt;""))=0,0,"N.A."),"")</f>
        <v/>
      </c>
      <c r="F200" t="str">
        <f t="shared" ref="F200:F231" si="16">IF(A200&lt;&gt;"...","OR","")</f>
        <v/>
      </c>
    </row>
    <row r="201" spans="1:23" x14ac:dyDescent="0.55000000000000004">
      <c r="A201" t="str">
        <f>IF('Transfer Definitions'!M21="y",'Population Definitions'!$A$7,"...")</f>
        <v>...</v>
      </c>
      <c r="B201" t="str">
        <f>IF('Transfer Definitions'!M21="y","---&gt;","")</f>
        <v/>
      </c>
      <c r="C201" t="str">
        <f>IF('Transfer Definitions'!M21="y",'Population Definitions'!$A$13,"")</f>
        <v/>
      </c>
      <c r="D201" t="str">
        <f t="shared" si="14"/>
        <v/>
      </c>
      <c r="E201" t="str">
        <f t="shared" si="15"/>
        <v/>
      </c>
      <c r="F201" t="str">
        <f t="shared" si="16"/>
        <v/>
      </c>
    </row>
    <row r="202" spans="1:23" x14ac:dyDescent="0.55000000000000004">
      <c r="A202" t="str">
        <f>IF('Transfer Definitions'!B22="y",'Population Definitions'!$A$8,"...")</f>
        <v>...</v>
      </c>
      <c r="B202" t="str">
        <f>IF('Transfer Definitions'!B22="y","---&gt;","")</f>
        <v/>
      </c>
      <c r="C202" t="str">
        <f>IF('Transfer Definitions'!B22="y",'Population Definitions'!$A$2,"")</f>
        <v/>
      </c>
      <c r="D202" t="str">
        <f t="shared" si="14"/>
        <v/>
      </c>
      <c r="E202" t="str">
        <f t="shared" si="15"/>
        <v/>
      </c>
      <c r="F202" t="str">
        <f t="shared" si="16"/>
        <v/>
      </c>
    </row>
    <row r="203" spans="1:23" x14ac:dyDescent="0.55000000000000004">
      <c r="A203" t="str">
        <f>IF('Transfer Definitions'!C22="y",'Population Definitions'!$A$8,"...")</f>
        <v>...</v>
      </c>
      <c r="B203" t="str">
        <f>IF('Transfer Definitions'!C22="y","---&gt;","")</f>
        <v/>
      </c>
      <c r="C203" t="str">
        <f>IF('Transfer Definitions'!C22="y",'Population Definitions'!$A$3,"")</f>
        <v/>
      </c>
      <c r="D203" t="str">
        <f t="shared" si="14"/>
        <v/>
      </c>
      <c r="E203" t="str">
        <f t="shared" si="15"/>
        <v/>
      </c>
      <c r="F203" t="str">
        <f t="shared" si="16"/>
        <v/>
      </c>
    </row>
    <row r="204" spans="1:23" x14ac:dyDescent="0.55000000000000004">
      <c r="A204" t="str">
        <f>IF('Transfer Definitions'!D22="y",'Population Definitions'!$A$8,"...")</f>
        <v>...</v>
      </c>
      <c r="B204" t="str">
        <f>IF('Transfer Definitions'!D22="y","---&gt;","")</f>
        <v/>
      </c>
      <c r="C204" t="str">
        <f>IF('Transfer Definitions'!D22="y",'Population Definitions'!$A$4,"")</f>
        <v/>
      </c>
      <c r="D204" t="str">
        <f t="shared" si="14"/>
        <v/>
      </c>
      <c r="E204" t="str">
        <f t="shared" si="15"/>
        <v/>
      </c>
      <c r="F204" t="str">
        <f t="shared" si="16"/>
        <v/>
      </c>
    </row>
    <row r="205" spans="1:23" x14ac:dyDescent="0.55000000000000004">
      <c r="A205" t="str">
        <f>IF('Transfer Definitions'!E22="y",'Population Definitions'!$A$8,"...")</f>
        <v>...</v>
      </c>
      <c r="B205" t="str">
        <f>IF('Transfer Definitions'!E22="y","---&gt;","")</f>
        <v/>
      </c>
      <c r="C205" t="str">
        <f>IF('Transfer Definitions'!E22="y",'Population Definitions'!$A$5,"")</f>
        <v/>
      </c>
      <c r="D205" t="str">
        <f t="shared" si="14"/>
        <v/>
      </c>
      <c r="E205" t="str">
        <f t="shared" si="15"/>
        <v/>
      </c>
      <c r="F205" t="str">
        <f t="shared" si="16"/>
        <v/>
      </c>
    </row>
    <row r="206" spans="1:23" x14ac:dyDescent="0.55000000000000004">
      <c r="A206" t="str">
        <f>IF('Transfer Definitions'!F22="y",'Population Definitions'!$A$8,"...")</f>
        <v>...</v>
      </c>
      <c r="B206" t="str">
        <f>IF('Transfer Definitions'!F22="y","---&gt;","")</f>
        <v/>
      </c>
      <c r="C206" t="str">
        <f>IF('Transfer Definitions'!F22="y",'Population Definitions'!$A$6,"")</f>
        <v/>
      </c>
      <c r="D206" t="str">
        <f t="shared" si="14"/>
        <v/>
      </c>
      <c r="E206" t="str">
        <f t="shared" si="15"/>
        <v/>
      </c>
      <c r="F206" t="str">
        <f t="shared" si="16"/>
        <v/>
      </c>
    </row>
    <row r="207" spans="1:23" x14ac:dyDescent="0.55000000000000004">
      <c r="A207" t="str">
        <f>IF('Transfer Definitions'!G22="y",'Population Definitions'!$A$8,"...")</f>
        <v>...</v>
      </c>
      <c r="B207" t="str">
        <f>IF('Transfer Definitions'!G22="y","---&gt;","")</f>
        <v/>
      </c>
      <c r="C207" t="str">
        <f>IF('Transfer Definitions'!G22="y",'Population Definitions'!$A$7,"")</f>
        <v/>
      </c>
      <c r="D207" t="str">
        <f t="shared" si="14"/>
        <v/>
      </c>
      <c r="E207" t="str">
        <f t="shared" si="15"/>
        <v/>
      </c>
      <c r="F207" t="str">
        <f t="shared" si="16"/>
        <v/>
      </c>
    </row>
    <row r="208" spans="1:23" x14ac:dyDescent="0.55000000000000004">
      <c r="A208" s="1" t="str">
        <f>IF('Transfer Definitions'!I22="y",'Population Definitions'!$A$8,"...")</f>
        <v>Prisoners</v>
      </c>
      <c r="B208" s="1" t="str">
        <f>IF('Transfer Definitions'!I22="y","---&gt;","")</f>
        <v>---&gt;</v>
      </c>
      <c r="C208" s="1" t="str">
        <f>IF('Transfer Definitions'!I22="y",'Population Definitions'!$A$9,"")</f>
        <v>PLHIV Prisoners</v>
      </c>
      <c r="D208" s="1" t="str">
        <f t="shared" si="14"/>
        <v>Fraction</v>
      </c>
      <c r="E208" s="5" t="str">
        <f t="shared" si="15"/>
        <v>N.A.</v>
      </c>
      <c r="F208" s="1" t="str">
        <f t="shared" si="16"/>
        <v>OR</v>
      </c>
      <c r="G208" s="5">
        <v>2.9808209607967359E-2</v>
      </c>
      <c r="H208" s="5">
        <v>2.822273906359641E-2</v>
      </c>
      <c r="I208" s="5">
        <v>2.6982918230214075E-2</v>
      </c>
      <c r="J208" s="5">
        <v>2.6091868711020785E-2</v>
      </c>
      <c r="K208" s="5">
        <v>2.5363817755597141E-2</v>
      </c>
      <c r="L208" s="5">
        <v>2.4606467899693982E-2</v>
      </c>
      <c r="M208" s="5">
        <v>2.3743946074686863E-2</v>
      </c>
      <c r="N208" s="5">
        <v>2.3563893604651314E-2</v>
      </c>
      <c r="O208" s="5">
        <v>2.3204880739884481E-2</v>
      </c>
      <c r="P208" s="5">
        <v>2.2499796660148817E-2</v>
      </c>
      <c r="Q208" s="5">
        <v>2.1136153801070812E-2</v>
      </c>
      <c r="R208" s="5">
        <v>1.940793655846643E-2</v>
      </c>
      <c r="S208" s="5">
        <v>1.7982715157469714E-2</v>
      </c>
      <c r="T208" s="5">
        <v>1.7028637506606471E-2</v>
      </c>
      <c r="U208" s="5">
        <v>1.6549703462333042E-2</v>
      </c>
      <c r="V208" s="5">
        <v>1.5898796457190504E-2</v>
      </c>
      <c r="W208" s="5">
        <v>1.4850220815269443E-2</v>
      </c>
    </row>
    <row r="209" spans="1:6" x14ac:dyDescent="0.55000000000000004">
      <c r="A209" t="str">
        <f>IF('Transfer Definitions'!J22="y",'Population Definitions'!$A$8,"...")</f>
        <v>...</v>
      </c>
      <c r="B209" t="str">
        <f>IF('Transfer Definitions'!J22="y","---&gt;","")</f>
        <v/>
      </c>
      <c r="C209" t="str">
        <f>IF('Transfer Definitions'!J22="y",'Population Definitions'!$A$10,"")</f>
        <v/>
      </c>
      <c r="D209" t="str">
        <f t="shared" si="14"/>
        <v/>
      </c>
      <c r="E209" t="str">
        <f t="shared" si="15"/>
        <v/>
      </c>
      <c r="F209" t="str">
        <f t="shared" si="16"/>
        <v/>
      </c>
    </row>
    <row r="210" spans="1:6" x14ac:dyDescent="0.55000000000000004">
      <c r="A210" t="str">
        <f>IF('Transfer Definitions'!K22="y",'Population Definitions'!$A$8,"...")</f>
        <v>...</v>
      </c>
      <c r="B210" t="str">
        <f>IF('Transfer Definitions'!K22="y","---&gt;","")</f>
        <v/>
      </c>
      <c r="C210" t="str">
        <f>IF('Transfer Definitions'!K22="y",'Population Definitions'!$A$11,"")</f>
        <v/>
      </c>
      <c r="D210" t="str">
        <f t="shared" si="14"/>
        <v/>
      </c>
      <c r="E210" t="str">
        <f t="shared" si="15"/>
        <v/>
      </c>
      <c r="F210" t="str">
        <f t="shared" si="16"/>
        <v/>
      </c>
    </row>
    <row r="211" spans="1:6" x14ac:dyDescent="0.55000000000000004">
      <c r="A211" t="str">
        <f>IF('Transfer Definitions'!L22="y",'Population Definitions'!$A$8,"...")</f>
        <v>...</v>
      </c>
      <c r="B211" t="str">
        <f>IF('Transfer Definitions'!L22="y","---&gt;","")</f>
        <v/>
      </c>
      <c r="C211" t="str">
        <f>IF('Transfer Definitions'!L22="y",'Population Definitions'!$A$12,"")</f>
        <v/>
      </c>
      <c r="D211" t="str">
        <f t="shared" si="14"/>
        <v/>
      </c>
      <c r="E211" t="str">
        <f t="shared" si="15"/>
        <v/>
      </c>
      <c r="F211" t="str">
        <f t="shared" si="16"/>
        <v/>
      </c>
    </row>
    <row r="212" spans="1:6" x14ac:dyDescent="0.55000000000000004">
      <c r="A212" t="str">
        <f>IF('Transfer Definitions'!M22="y",'Population Definitions'!$A$8,"...")</f>
        <v>...</v>
      </c>
      <c r="B212" t="str">
        <f>IF('Transfer Definitions'!M22="y","---&gt;","")</f>
        <v/>
      </c>
      <c r="C212" t="str">
        <f>IF('Transfer Definitions'!M22="y",'Population Definitions'!$A$13,"")</f>
        <v/>
      </c>
      <c r="D212" t="str">
        <f t="shared" si="14"/>
        <v/>
      </c>
      <c r="E212" t="str">
        <f t="shared" si="15"/>
        <v/>
      </c>
      <c r="F212" t="str">
        <f t="shared" si="16"/>
        <v/>
      </c>
    </row>
    <row r="213" spans="1:6" x14ac:dyDescent="0.55000000000000004">
      <c r="A213" t="str">
        <f>IF('Transfer Definitions'!B23="y",'Population Definitions'!$A$9,"...")</f>
        <v>...</v>
      </c>
      <c r="B213" t="str">
        <f>IF('Transfer Definitions'!B23="y","---&gt;","")</f>
        <v/>
      </c>
      <c r="C213" t="str">
        <f>IF('Transfer Definitions'!B23="y",'Population Definitions'!$A$2,"")</f>
        <v/>
      </c>
      <c r="D213" t="str">
        <f t="shared" si="14"/>
        <v/>
      </c>
      <c r="E213" t="str">
        <f t="shared" si="15"/>
        <v/>
      </c>
      <c r="F213" t="str">
        <f t="shared" si="16"/>
        <v/>
      </c>
    </row>
    <row r="214" spans="1:6" x14ac:dyDescent="0.55000000000000004">
      <c r="A214" t="str">
        <f>IF('Transfer Definitions'!C23="y",'Population Definitions'!$A$9,"...")</f>
        <v>...</v>
      </c>
      <c r="B214" t="str">
        <f>IF('Transfer Definitions'!C23="y","---&gt;","")</f>
        <v/>
      </c>
      <c r="C214" t="str">
        <f>IF('Transfer Definitions'!C23="y",'Population Definitions'!$A$3,"")</f>
        <v/>
      </c>
      <c r="D214" t="str">
        <f t="shared" si="14"/>
        <v/>
      </c>
      <c r="E214" t="str">
        <f t="shared" si="15"/>
        <v/>
      </c>
      <c r="F214" t="str">
        <f t="shared" si="16"/>
        <v/>
      </c>
    </row>
    <row r="215" spans="1:6" x14ac:dyDescent="0.55000000000000004">
      <c r="A215" t="str">
        <f>IF('Transfer Definitions'!D23="y",'Population Definitions'!$A$9,"...")</f>
        <v>...</v>
      </c>
      <c r="B215" t="str">
        <f>IF('Transfer Definitions'!D23="y","---&gt;","")</f>
        <v/>
      </c>
      <c r="C215" t="str">
        <f>IF('Transfer Definitions'!D23="y",'Population Definitions'!$A$4,"")</f>
        <v/>
      </c>
      <c r="D215" t="str">
        <f t="shared" si="14"/>
        <v/>
      </c>
      <c r="E215" t="str">
        <f t="shared" si="15"/>
        <v/>
      </c>
      <c r="F215" t="str">
        <f t="shared" si="16"/>
        <v/>
      </c>
    </row>
    <row r="216" spans="1:6" x14ac:dyDescent="0.55000000000000004">
      <c r="A216" t="str">
        <f>IF('Transfer Definitions'!E23="y",'Population Definitions'!$A$9,"...")</f>
        <v>...</v>
      </c>
      <c r="B216" t="str">
        <f>IF('Transfer Definitions'!E23="y","---&gt;","")</f>
        <v/>
      </c>
      <c r="C216" t="str">
        <f>IF('Transfer Definitions'!E23="y",'Population Definitions'!$A$5,"")</f>
        <v/>
      </c>
      <c r="D216" t="str">
        <f t="shared" si="14"/>
        <v/>
      </c>
      <c r="E216" t="str">
        <f t="shared" si="15"/>
        <v/>
      </c>
      <c r="F216" t="str">
        <f t="shared" si="16"/>
        <v/>
      </c>
    </row>
    <row r="217" spans="1:6" x14ac:dyDescent="0.55000000000000004">
      <c r="A217" t="str">
        <f>IF('Transfer Definitions'!F23="y",'Population Definitions'!$A$9,"...")</f>
        <v>...</v>
      </c>
      <c r="B217" t="str">
        <f>IF('Transfer Definitions'!F23="y","---&gt;","")</f>
        <v/>
      </c>
      <c r="C217" t="str">
        <f>IF('Transfer Definitions'!F23="y",'Population Definitions'!$A$6,"")</f>
        <v/>
      </c>
      <c r="D217" t="str">
        <f t="shared" si="14"/>
        <v/>
      </c>
      <c r="E217" t="str">
        <f t="shared" si="15"/>
        <v/>
      </c>
      <c r="F217" t="str">
        <f t="shared" si="16"/>
        <v/>
      </c>
    </row>
    <row r="218" spans="1:6" x14ac:dyDescent="0.55000000000000004">
      <c r="A218" t="str">
        <f>IF('Transfer Definitions'!G23="y",'Population Definitions'!$A$9,"...")</f>
        <v>...</v>
      </c>
      <c r="B218" t="str">
        <f>IF('Transfer Definitions'!G23="y","---&gt;","")</f>
        <v/>
      </c>
      <c r="C218" t="str">
        <f>IF('Transfer Definitions'!G23="y",'Population Definitions'!$A$7,"")</f>
        <v/>
      </c>
      <c r="D218" t="str">
        <f t="shared" si="14"/>
        <v/>
      </c>
      <c r="E218" t="str">
        <f t="shared" si="15"/>
        <v/>
      </c>
      <c r="F218" t="str">
        <f t="shared" si="16"/>
        <v/>
      </c>
    </row>
    <row r="219" spans="1:6" x14ac:dyDescent="0.55000000000000004">
      <c r="A219" t="str">
        <f>IF('Transfer Definitions'!H23="y",'Population Definitions'!$A$9,"...")</f>
        <v>...</v>
      </c>
      <c r="B219" t="str">
        <f>IF('Transfer Definitions'!H23="y","---&gt;","")</f>
        <v/>
      </c>
      <c r="C219" t="str">
        <f>IF('Transfer Definitions'!H23="y",'Population Definitions'!$A$8,"")</f>
        <v/>
      </c>
      <c r="D219" t="str">
        <f t="shared" si="14"/>
        <v/>
      </c>
      <c r="E219" t="str">
        <f t="shared" si="15"/>
        <v/>
      </c>
      <c r="F219" t="str">
        <f t="shared" si="16"/>
        <v/>
      </c>
    </row>
    <row r="220" spans="1:6" x14ac:dyDescent="0.55000000000000004">
      <c r="A220" t="str">
        <f>IF('Transfer Definitions'!J23="y",'Population Definitions'!$A$9,"...")</f>
        <v>...</v>
      </c>
      <c r="B220" t="str">
        <f>IF('Transfer Definitions'!J23="y","---&gt;","")</f>
        <v/>
      </c>
      <c r="C220" t="str">
        <f>IF('Transfer Definitions'!J23="y",'Population Definitions'!$A$10,"")</f>
        <v/>
      </c>
      <c r="D220" t="str">
        <f t="shared" si="14"/>
        <v/>
      </c>
      <c r="E220" t="str">
        <f t="shared" si="15"/>
        <v/>
      </c>
      <c r="F220" t="str">
        <f t="shared" si="16"/>
        <v/>
      </c>
    </row>
    <row r="221" spans="1:6" x14ac:dyDescent="0.55000000000000004">
      <c r="A221" t="str">
        <f>IF('Transfer Definitions'!K23="y",'Population Definitions'!$A$9,"...")</f>
        <v>...</v>
      </c>
      <c r="B221" t="str">
        <f>IF('Transfer Definitions'!K23="y","---&gt;","")</f>
        <v/>
      </c>
      <c r="C221" t="str">
        <f>IF('Transfer Definitions'!K23="y",'Population Definitions'!$A$11,"")</f>
        <v/>
      </c>
      <c r="D221" t="str">
        <f t="shared" si="14"/>
        <v/>
      </c>
      <c r="E221" t="str">
        <f t="shared" si="15"/>
        <v/>
      </c>
      <c r="F221" t="str">
        <f t="shared" si="16"/>
        <v/>
      </c>
    </row>
    <row r="222" spans="1:6" x14ac:dyDescent="0.55000000000000004">
      <c r="A222" t="str">
        <f>IF('Transfer Definitions'!L23="y",'Population Definitions'!$A$9,"...")</f>
        <v>...</v>
      </c>
      <c r="B222" t="str">
        <f>IF('Transfer Definitions'!L23="y","---&gt;","")</f>
        <v/>
      </c>
      <c r="C222" t="str">
        <f>IF('Transfer Definitions'!L23="y",'Population Definitions'!$A$12,"")</f>
        <v/>
      </c>
      <c r="D222" t="str">
        <f t="shared" si="14"/>
        <v/>
      </c>
      <c r="E222" t="str">
        <f t="shared" si="15"/>
        <v/>
      </c>
      <c r="F222" t="str">
        <f t="shared" si="16"/>
        <v/>
      </c>
    </row>
    <row r="223" spans="1:6" x14ac:dyDescent="0.55000000000000004">
      <c r="A223" t="str">
        <f>IF('Transfer Definitions'!M23="y",'Population Definitions'!$A$9,"...")</f>
        <v>...</v>
      </c>
      <c r="B223" t="str">
        <f>IF('Transfer Definitions'!M23="y","---&gt;","")</f>
        <v/>
      </c>
      <c r="C223" t="str">
        <f>IF('Transfer Definitions'!M23="y",'Population Definitions'!$A$13,"")</f>
        <v/>
      </c>
      <c r="D223" t="str">
        <f t="shared" si="14"/>
        <v/>
      </c>
      <c r="E223" t="str">
        <f t="shared" si="15"/>
        <v/>
      </c>
      <c r="F223" t="str">
        <f t="shared" si="16"/>
        <v/>
      </c>
    </row>
    <row r="224" spans="1:6" x14ac:dyDescent="0.55000000000000004">
      <c r="A224" t="str">
        <f>IF('Transfer Definitions'!B24="y",'Population Definitions'!$A$10,"...")</f>
        <v>...</v>
      </c>
      <c r="B224" t="str">
        <f>IF('Transfer Definitions'!B24="y","---&gt;","")</f>
        <v/>
      </c>
      <c r="C224" t="str">
        <f>IF('Transfer Definitions'!B24="y",'Population Definitions'!$A$2,"")</f>
        <v/>
      </c>
      <c r="D224" t="str">
        <f t="shared" si="14"/>
        <v/>
      </c>
      <c r="E224" t="str">
        <f t="shared" si="15"/>
        <v/>
      </c>
      <c r="F224" t="str">
        <f t="shared" si="16"/>
        <v/>
      </c>
    </row>
    <row r="225" spans="1:23" x14ac:dyDescent="0.55000000000000004">
      <c r="A225" t="str">
        <f>IF('Transfer Definitions'!C24="y",'Population Definitions'!$A$10,"...")</f>
        <v>...</v>
      </c>
      <c r="B225" t="str">
        <f>IF('Transfer Definitions'!C24="y","---&gt;","")</f>
        <v/>
      </c>
      <c r="C225" t="str">
        <f>IF('Transfer Definitions'!C24="y",'Population Definitions'!$A$3,"")</f>
        <v/>
      </c>
      <c r="D225" t="str">
        <f t="shared" si="14"/>
        <v/>
      </c>
      <c r="E225" t="str">
        <f t="shared" si="15"/>
        <v/>
      </c>
      <c r="F225" t="str">
        <f t="shared" si="16"/>
        <v/>
      </c>
    </row>
    <row r="226" spans="1:23" x14ac:dyDescent="0.55000000000000004">
      <c r="A226" t="str">
        <f>IF('Transfer Definitions'!D24="y",'Population Definitions'!$A$10,"...")</f>
        <v>...</v>
      </c>
      <c r="B226" t="str">
        <f>IF('Transfer Definitions'!D24="y","---&gt;","")</f>
        <v/>
      </c>
      <c r="C226" t="str">
        <f>IF('Transfer Definitions'!D24="y",'Population Definitions'!$A$4,"")</f>
        <v/>
      </c>
      <c r="D226" t="str">
        <f t="shared" si="14"/>
        <v/>
      </c>
      <c r="E226" t="str">
        <f t="shared" si="15"/>
        <v/>
      </c>
      <c r="F226" t="str">
        <f t="shared" si="16"/>
        <v/>
      </c>
    </row>
    <row r="227" spans="1:23" x14ac:dyDescent="0.55000000000000004">
      <c r="A227" t="str">
        <f>IF('Transfer Definitions'!E24="y",'Population Definitions'!$A$10,"...")</f>
        <v>...</v>
      </c>
      <c r="B227" t="str">
        <f>IF('Transfer Definitions'!E24="y","---&gt;","")</f>
        <v/>
      </c>
      <c r="C227" t="str">
        <f>IF('Transfer Definitions'!E24="y",'Population Definitions'!$A$5,"")</f>
        <v/>
      </c>
      <c r="D227" t="str">
        <f t="shared" si="14"/>
        <v/>
      </c>
      <c r="E227" t="str">
        <f t="shared" si="15"/>
        <v/>
      </c>
      <c r="F227" t="str">
        <f t="shared" si="16"/>
        <v/>
      </c>
    </row>
    <row r="228" spans="1:23" x14ac:dyDescent="0.55000000000000004">
      <c r="A228" t="str">
        <f>IF('Transfer Definitions'!F24="y",'Population Definitions'!$A$10,"...")</f>
        <v>...</v>
      </c>
      <c r="B228" t="str">
        <f>IF('Transfer Definitions'!F24="y","---&gt;","")</f>
        <v/>
      </c>
      <c r="C228" t="str">
        <f>IF('Transfer Definitions'!F24="y",'Population Definitions'!$A$6,"")</f>
        <v/>
      </c>
      <c r="D228" t="str">
        <f t="shared" si="14"/>
        <v/>
      </c>
      <c r="E228" t="str">
        <f t="shared" si="15"/>
        <v/>
      </c>
      <c r="F228" t="str">
        <f t="shared" si="16"/>
        <v/>
      </c>
    </row>
    <row r="229" spans="1:23" x14ac:dyDescent="0.55000000000000004">
      <c r="A229" t="str">
        <f>IF('Transfer Definitions'!G24="y",'Population Definitions'!$A$10,"...")</f>
        <v>...</v>
      </c>
      <c r="B229" t="str">
        <f>IF('Transfer Definitions'!G24="y","---&gt;","")</f>
        <v/>
      </c>
      <c r="C229" t="str">
        <f>IF('Transfer Definitions'!G24="y",'Population Definitions'!$A$7,"")</f>
        <v/>
      </c>
      <c r="D229" t="str">
        <f t="shared" si="14"/>
        <v/>
      </c>
      <c r="E229" t="str">
        <f t="shared" si="15"/>
        <v/>
      </c>
      <c r="F229" t="str">
        <f t="shared" si="16"/>
        <v/>
      </c>
    </row>
    <row r="230" spans="1:23" x14ac:dyDescent="0.55000000000000004">
      <c r="A230" t="str">
        <f>IF('Transfer Definitions'!H24="y",'Population Definitions'!$A$10,"...")</f>
        <v>...</v>
      </c>
      <c r="B230" t="str">
        <f>IF('Transfer Definitions'!H24="y","---&gt;","")</f>
        <v/>
      </c>
      <c r="C230" t="str">
        <f>IF('Transfer Definitions'!H24="y",'Population Definitions'!$A$8,"")</f>
        <v/>
      </c>
      <c r="D230" t="str">
        <f t="shared" si="14"/>
        <v/>
      </c>
      <c r="E230" t="str">
        <f t="shared" si="15"/>
        <v/>
      </c>
      <c r="F230" t="str">
        <f t="shared" si="16"/>
        <v/>
      </c>
    </row>
    <row r="231" spans="1:23" x14ac:dyDescent="0.55000000000000004">
      <c r="A231" t="str">
        <f>IF('Transfer Definitions'!I24="y",'Population Definitions'!$A$10,"...")</f>
        <v>...</v>
      </c>
      <c r="B231" t="str">
        <f>IF('Transfer Definitions'!I24="y","---&gt;","")</f>
        <v/>
      </c>
      <c r="C231" t="str">
        <f>IF('Transfer Definitions'!I24="y",'Population Definitions'!$A$9,"")</f>
        <v/>
      </c>
      <c r="D231" t="str">
        <f t="shared" si="14"/>
        <v/>
      </c>
      <c r="E231" t="str">
        <f t="shared" si="15"/>
        <v/>
      </c>
      <c r="F231" t="str">
        <f t="shared" si="16"/>
        <v/>
      </c>
    </row>
    <row r="232" spans="1:23" x14ac:dyDescent="0.55000000000000004">
      <c r="A232" s="1" t="str">
        <f>IF('Transfer Definitions'!K24="y",'Population Definitions'!$A$10,"...")</f>
        <v>HCW</v>
      </c>
      <c r="B232" s="1" t="str">
        <f>IF('Transfer Definitions'!K24="y","---&gt;","")</f>
        <v>---&gt;</v>
      </c>
      <c r="C232" s="1" t="str">
        <f>IF('Transfer Definitions'!K24="y",'Population Definitions'!$A$11,"")</f>
        <v>PLHIV HCW</v>
      </c>
      <c r="D232" s="1" t="str">
        <f t="shared" ref="D232:D267" si="17">IF(A232&lt;&gt;"...","Fraction","")</f>
        <v>Fraction</v>
      </c>
      <c r="E232" s="5" t="str">
        <f>IF(A232&lt;&gt;"...",IF(SUMPRODUCT(--(G232:W232&lt;&gt;""))=0,0.0001,"N.A."),"")</f>
        <v>N.A.</v>
      </c>
      <c r="F232" s="1" t="str">
        <f t="shared" ref="F232:F267" si="18">IF(A232&lt;&gt;"...","OR","")</f>
        <v>OR</v>
      </c>
      <c r="G232" s="5">
        <v>3.2762111784949061E-2</v>
      </c>
      <c r="H232" s="5">
        <v>3.106042339845802E-2</v>
      </c>
      <c r="I232" s="5">
        <v>2.9731470263672604E-2</v>
      </c>
      <c r="J232" s="5">
        <v>2.7286127834237506E-2</v>
      </c>
      <c r="K232" s="5">
        <v>2.6545934045276668E-2</v>
      </c>
      <c r="L232" s="5">
        <v>2.5767776338538564E-2</v>
      </c>
      <c r="M232" s="5">
        <v>2.4552679514587384E-2</v>
      </c>
      <c r="N232" s="5">
        <v>2.3767984798286405E-2</v>
      </c>
      <c r="O232" s="5">
        <v>2.3013176142810156E-2</v>
      </c>
      <c r="P232" s="5">
        <v>2.2541717250445653E-2</v>
      </c>
      <c r="Q232" s="5">
        <v>2.0852908314879882E-2</v>
      </c>
      <c r="R232" s="12">
        <v>1.912588720940718E-2</v>
      </c>
      <c r="S232" s="5">
        <v>1.7677174250409274E-2</v>
      </c>
      <c r="T232" s="5">
        <v>1.6918628547577537E-2</v>
      </c>
      <c r="U232" s="5">
        <v>1.6392749495866839E-2</v>
      </c>
      <c r="V232" s="5">
        <v>1.5740581497454408E-2</v>
      </c>
      <c r="W232" s="5">
        <v>1.4694295931495628E-2</v>
      </c>
    </row>
    <row r="233" spans="1:23" x14ac:dyDescent="0.55000000000000004">
      <c r="A233" t="str">
        <f>IF('Transfer Definitions'!L24="y",'Population Definitions'!$A$10,"...")</f>
        <v>...</v>
      </c>
      <c r="B233" t="str">
        <f>IF('Transfer Definitions'!L24="y","---&gt;","")</f>
        <v/>
      </c>
      <c r="C233" t="str">
        <f>IF('Transfer Definitions'!L24="y",'Population Definitions'!$A$12,"")</f>
        <v/>
      </c>
      <c r="D233" t="str">
        <f t="shared" si="17"/>
        <v/>
      </c>
      <c r="E233" t="str">
        <f t="shared" ref="E233:E267" si="19">IF(A233&lt;&gt;"...",IF(SUMPRODUCT(--(G233:W233&lt;&gt;""))=0,0,"N.A."),"")</f>
        <v/>
      </c>
      <c r="F233" t="str">
        <f t="shared" si="18"/>
        <v/>
      </c>
    </row>
    <row r="234" spans="1:23" x14ac:dyDescent="0.55000000000000004">
      <c r="A234" t="str">
        <f>IF('Transfer Definitions'!M24="y",'Population Definitions'!$A$10,"...")</f>
        <v>...</v>
      </c>
      <c r="B234" t="str">
        <f>IF('Transfer Definitions'!M24="y","---&gt;","")</f>
        <v/>
      </c>
      <c r="C234" t="str">
        <f>IF('Transfer Definitions'!M24="y",'Population Definitions'!$A$13,"")</f>
        <v/>
      </c>
      <c r="D234" t="str">
        <f t="shared" si="17"/>
        <v/>
      </c>
      <c r="E234" t="str">
        <f t="shared" si="19"/>
        <v/>
      </c>
      <c r="F234" t="str">
        <f t="shared" si="18"/>
        <v/>
      </c>
    </row>
    <row r="235" spans="1:23" x14ac:dyDescent="0.55000000000000004">
      <c r="A235" t="str">
        <f>IF('Transfer Definitions'!B25="y",'Population Definitions'!$A$11,"...")</f>
        <v>...</v>
      </c>
      <c r="B235" t="str">
        <f>IF('Transfer Definitions'!B25="y","---&gt;","")</f>
        <v/>
      </c>
      <c r="C235" t="str">
        <f>IF('Transfer Definitions'!B25="y",'Population Definitions'!$A$2,"")</f>
        <v/>
      </c>
      <c r="D235" t="str">
        <f t="shared" si="17"/>
        <v/>
      </c>
      <c r="E235" t="str">
        <f t="shared" si="19"/>
        <v/>
      </c>
      <c r="F235" t="str">
        <f t="shared" si="18"/>
        <v/>
      </c>
    </row>
    <row r="236" spans="1:23" x14ac:dyDescent="0.55000000000000004">
      <c r="A236" t="str">
        <f>IF('Transfer Definitions'!C25="y",'Population Definitions'!$A$11,"...")</f>
        <v>...</v>
      </c>
      <c r="B236" t="str">
        <f>IF('Transfer Definitions'!C25="y","---&gt;","")</f>
        <v/>
      </c>
      <c r="C236" t="str">
        <f>IF('Transfer Definitions'!C25="y",'Population Definitions'!$A$3,"")</f>
        <v/>
      </c>
      <c r="D236" t="str">
        <f t="shared" si="17"/>
        <v/>
      </c>
      <c r="E236" t="str">
        <f t="shared" si="19"/>
        <v/>
      </c>
      <c r="F236" t="str">
        <f t="shared" si="18"/>
        <v/>
      </c>
    </row>
    <row r="237" spans="1:23" x14ac:dyDescent="0.55000000000000004">
      <c r="A237" t="str">
        <f>IF('Transfer Definitions'!D25="y",'Population Definitions'!$A$11,"...")</f>
        <v>...</v>
      </c>
      <c r="B237" t="str">
        <f>IF('Transfer Definitions'!D25="y","---&gt;","")</f>
        <v/>
      </c>
      <c r="C237" t="str">
        <f>IF('Transfer Definitions'!D25="y",'Population Definitions'!$A$4,"")</f>
        <v/>
      </c>
      <c r="D237" t="str">
        <f t="shared" si="17"/>
        <v/>
      </c>
      <c r="E237" t="str">
        <f t="shared" si="19"/>
        <v/>
      </c>
      <c r="F237" t="str">
        <f t="shared" si="18"/>
        <v/>
      </c>
    </row>
    <row r="238" spans="1:23" x14ac:dyDescent="0.55000000000000004">
      <c r="A238" t="str">
        <f>IF('Transfer Definitions'!E25="y",'Population Definitions'!$A$11,"...")</f>
        <v>...</v>
      </c>
      <c r="B238" t="str">
        <f>IF('Transfer Definitions'!E25="y","---&gt;","")</f>
        <v/>
      </c>
      <c r="C238" t="str">
        <f>IF('Transfer Definitions'!E25="y",'Population Definitions'!$A$5,"")</f>
        <v/>
      </c>
      <c r="D238" t="str">
        <f t="shared" si="17"/>
        <v/>
      </c>
      <c r="E238" t="str">
        <f t="shared" si="19"/>
        <v/>
      </c>
      <c r="F238" t="str">
        <f t="shared" si="18"/>
        <v/>
      </c>
    </row>
    <row r="239" spans="1:23" x14ac:dyDescent="0.55000000000000004">
      <c r="A239" t="str">
        <f>IF('Transfer Definitions'!F25="y",'Population Definitions'!$A$11,"...")</f>
        <v>...</v>
      </c>
      <c r="B239" t="str">
        <f>IF('Transfer Definitions'!F25="y","---&gt;","")</f>
        <v/>
      </c>
      <c r="C239" t="str">
        <f>IF('Transfer Definitions'!F25="y",'Population Definitions'!$A$6,"")</f>
        <v/>
      </c>
      <c r="D239" t="str">
        <f t="shared" si="17"/>
        <v/>
      </c>
      <c r="E239" t="str">
        <f t="shared" si="19"/>
        <v/>
      </c>
      <c r="F239" t="str">
        <f t="shared" si="18"/>
        <v/>
      </c>
    </row>
    <row r="240" spans="1:23" x14ac:dyDescent="0.55000000000000004">
      <c r="A240" t="str">
        <f>IF('Transfer Definitions'!G25="y",'Population Definitions'!$A$11,"...")</f>
        <v>...</v>
      </c>
      <c r="B240" t="str">
        <f>IF('Transfer Definitions'!G25="y","---&gt;","")</f>
        <v/>
      </c>
      <c r="C240" t="str">
        <f>IF('Transfer Definitions'!G25="y",'Population Definitions'!$A$7,"")</f>
        <v/>
      </c>
      <c r="D240" t="str">
        <f t="shared" si="17"/>
        <v/>
      </c>
      <c r="E240" t="str">
        <f t="shared" si="19"/>
        <v/>
      </c>
      <c r="F240" t="str">
        <f t="shared" si="18"/>
        <v/>
      </c>
    </row>
    <row r="241" spans="1:23" x14ac:dyDescent="0.55000000000000004">
      <c r="A241" t="str">
        <f>IF('Transfer Definitions'!H25="y",'Population Definitions'!$A$11,"...")</f>
        <v>...</v>
      </c>
      <c r="B241" t="str">
        <f>IF('Transfer Definitions'!H25="y","---&gt;","")</f>
        <v/>
      </c>
      <c r="C241" t="str">
        <f>IF('Transfer Definitions'!H25="y",'Population Definitions'!$A$8,"")</f>
        <v/>
      </c>
      <c r="D241" t="str">
        <f t="shared" si="17"/>
        <v/>
      </c>
      <c r="E241" t="str">
        <f t="shared" si="19"/>
        <v/>
      </c>
      <c r="F241" t="str">
        <f t="shared" si="18"/>
        <v/>
      </c>
    </row>
    <row r="242" spans="1:23" x14ac:dyDescent="0.55000000000000004">
      <c r="A242" t="str">
        <f>IF('Transfer Definitions'!I25="y",'Population Definitions'!$A$11,"...")</f>
        <v>...</v>
      </c>
      <c r="B242" t="str">
        <f>IF('Transfer Definitions'!I25="y","---&gt;","")</f>
        <v/>
      </c>
      <c r="C242" t="str">
        <f>IF('Transfer Definitions'!I25="y",'Population Definitions'!$A$9,"")</f>
        <v/>
      </c>
      <c r="D242" t="str">
        <f t="shared" si="17"/>
        <v/>
      </c>
      <c r="E242" t="str">
        <f t="shared" si="19"/>
        <v/>
      </c>
      <c r="F242" t="str">
        <f t="shared" si="18"/>
        <v/>
      </c>
    </row>
    <row r="243" spans="1:23" x14ac:dyDescent="0.55000000000000004">
      <c r="A243" t="str">
        <f>IF('Transfer Definitions'!J25="y",'Population Definitions'!$A$11,"...")</f>
        <v>...</v>
      </c>
      <c r="B243" t="str">
        <f>IF('Transfer Definitions'!J25="y","---&gt;","")</f>
        <v/>
      </c>
      <c r="C243" t="str">
        <f>IF('Transfer Definitions'!J25="y",'Population Definitions'!$A$10,"")</f>
        <v/>
      </c>
      <c r="D243" t="str">
        <f t="shared" si="17"/>
        <v/>
      </c>
      <c r="E243" t="str">
        <f t="shared" si="19"/>
        <v/>
      </c>
      <c r="F243" t="str">
        <f t="shared" si="18"/>
        <v/>
      </c>
    </row>
    <row r="244" spans="1:23" x14ac:dyDescent="0.55000000000000004">
      <c r="A244" t="str">
        <f>IF('Transfer Definitions'!L25="y",'Population Definitions'!$A$11,"...")</f>
        <v>...</v>
      </c>
      <c r="B244" t="str">
        <f>IF('Transfer Definitions'!L25="y","---&gt;","")</f>
        <v/>
      </c>
      <c r="C244" t="str">
        <f>IF('Transfer Definitions'!L25="y",'Population Definitions'!$A$12,"")</f>
        <v/>
      </c>
      <c r="D244" t="str">
        <f t="shared" si="17"/>
        <v/>
      </c>
      <c r="E244" t="str">
        <f t="shared" si="19"/>
        <v/>
      </c>
      <c r="F244" t="str">
        <f t="shared" si="18"/>
        <v/>
      </c>
    </row>
    <row r="245" spans="1:23" x14ac:dyDescent="0.55000000000000004">
      <c r="A245" t="str">
        <f>IF('Transfer Definitions'!M25="y",'Population Definitions'!$A$11,"...")</f>
        <v>...</v>
      </c>
      <c r="B245" t="str">
        <f>IF('Transfer Definitions'!M25="y","---&gt;","")</f>
        <v/>
      </c>
      <c r="C245" t="str">
        <f>IF('Transfer Definitions'!M25="y",'Population Definitions'!$A$13,"")</f>
        <v/>
      </c>
      <c r="D245" t="str">
        <f t="shared" si="17"/>
        <v/>
      </c>
      <c r="E245" t="str">
        <f t="shared" si="19"/>
        <v/>
      </c>
      <c r="F245" t="str">
        <f t="shared" si="18"/>
        <v/>
      </c>
    </row>
    <row r="246" spans="1:23" x14ac:dyDescent="0.55000000000000004">
      <c r="A246" t="str">
        <f>IF('Transfer Definitions'!B26="y",'Population Definitions'!$A$12,"...")</f>
        <v>...</v>
      </c>
      <c r="B246" t="str">
        <f>IF('Transfer Definitions'!B26="y","---&gt;","")</f>
        <v/>
      </c>
      <c r="C246" t="str">
        <f>IF('Transfer Definitions'!B26="y",'Population Definitions'!$A$2,"")</f>
        <v/>
      </c>
      <c r="D246" t="str">
        <f t="shared" si="17"/>
        <v/>
      </c>
      <c r="E246" t="str">
        <f t="shared" si="19"/>
        <v/>
      </c>
      <c r="F246" t="str">
        <f t="shared" si="18"/>
        <v/>
      </c>
    </row>
    <row r="247" spans="1:23" x14ac:dyDescent="0.55000000000000004">
      <c r="A247" t="str">
        <f>IF('Transfer Definitions'!C26="y",'Population Definitions'!$A$12,"...")</f>
        <v>...</v>
      </c>
      <c r="B247" t="str">
        <f>IF('Transfer Definitions'!C26="y","---&gt;","")</f>
        <v/>
      </c>
      <c r="C247" t="str">
        <f>IF('Transfer Definitions'!C26="y",'Population Definitions'!$A$3,"")</f>
        <v/>
      </c>
      <c r="D247" t="str">
        <f t="shared" si="17"/>
        <v/>
      </c>
      <c r="E247" t="str">
        <f t="shared" si="19"/>
        <v/>
      </c>
      <c r="F247" t="str">
        <f t="shared" si="18"/>
        <v/>
      </c>
    </row>
    <row r="248" spans="1:23" x14ac:dyDescent="0.55000000000000004">
      <c r="A248" t="str">
        <f>IF('Transfer Definitions'!D26="y",'Population Definitions'!$A$12,"...")</f>
        <v>...</v>
      </c>
      <c r="B248" t="str">
        <f>IF('Transfer Definitions'!D26="y","---&gt;","")</f>
        <v/>
      </c>
      <c r="C248" t="str">
        <f>IF('Transfer Definitions'!D26="y",'Population Definitions'!$A$4,"")</f>
        <v/>
      </c>
      <c r="D248" t="str">
        <f t="shared" si="17"/>
        <v/>
      </c>
      <c r="E248" t="str">
        <f t="shared" si="19"/>
        <v/>
      </c>
      <c r="F248" t="str">
        <f t="shared" si="18"/>
        <v/>
      </c>
    </row>
    <row r="249" spans="1:23" x14ac:dyDescent="0.55000000000000004">
      <c r="A249" t="str">
        <f>IF('Transfer Definitions'!E26="y",'Population Definitions'!$A$12,"...")</f>
        <v>...</v>
      </c>
      <c r="B249" t="str">
        <f>IF('Transfer Definitions'!E26="y","---&gt;","")</f>
        <v/>
      </c>
      <c r="C249" t="str">
        <f>IF('Transfer Definitions'!E26="y",'Population Definitions'!$A$5,"")</f>
        <v/>
      </c>
      <c r="D249" t="str">
        <f t="shared" si="17"/>
        <v/>
      </c>
      <c r="E249" t="str">
        <f t="shared" si="19"/>
        <v/>
      </c>
      <c r="F249" t="str">
        <f t="shared" si="18"/>
        <v/>
      </c>
    </row>
    <row r="250" spans="1:23" x14ac:dyDescent="0.55000000000000004">
      <c r="A250" t="str">
        <f>IF('Transfer Definitions'!F26="y",'Population Definitions'!$A$12,"...")</f>
        <v>...</v>
      </c>
      <c r="B250" t="str">
        <f>IF('Transfer Definitions'!F26="y","---&gt;","")</f>
        <v/>
      </c>
      <c r="C250" t="str">
        <f>IF('Transfer Definitions'!F26="y",'Population Definitions'!$A$6,"")</f>
        <v/>
      </c>
      <c r="D250" t="str">
        <f t="shared" si="17"/>
        <v/>
      </c>
      <c r="E250" t="str">
        <f t="shared" si="19"/>
        <v/>
      </c>
      <c r="F250" t="str">
        <f t="shared" si="18"/>
        <v/>
      </c>
    </row>
    <row r="251" spans="1:23" x14ac:dyDescent="0.55000000000000004">
      <c r="A251" t="str">
        <f>IF('Transfer Definitions'!G26="y",'Population Definitions'!$A$12,"...")</f>
        <v>...</v>
      </c>
      <c r="B251" t="str">
        <f>IF('Transfer Definitions'!G26="y","---&gt;","")</f>
        <v/>
      </c>
      <c r="C251" t="str">
        <f>IF('Transfer Definitions'!G26="y",'Population Definitions'!$A$7,"")</f>
        <v/>
      </c>
      <c r="D251" t="str">
        <f t="shared" si="17"/>
        <v/>
      </c>
      <c r="E251" t="str">
        <f t="shared" si="19"/>
        <v/>
      </c>
      <c r="F251" t="str">
        <f t="shared" si="18"/>
        <v/>
      </c>
    </row>
    <row r="252" spans="1:23" x14ac:dyDescent="0.55000000000000004">
      <c r="A252" t="str">
        <f>IF('Transfer Definitions'!H26="y",'Population Definitions'!$A$12,"...")</f>
        <v>...</v>
      </c>
      <c r="B252" t="str">
        <f>IF('Transfer Definitions'!H26="y","---&gt;","")</f>
        <v/>
      </c>
      <c r="C252" t="str">
        <f>IF('Transfer Definitions'!H26="y",'Population Definitions'!$A$8,"")</f>
        <v/>
      </c>
      <c r="D252" t="str">
        <f t="shared" si="17"/>
        <v/>
      </c>
      <c r="E252" t="str">
        <f t="shared" si="19"/>
        <v/>
      </c>
      <c r="F252" t="str">
        <f t="shared" si="18"/>
        <v/>
      </c>
    </row>
    <row r="253" spans="1:23" x14ac:dyDescent="0.55000000000000004">
      <c r="A253" t="str">
        <f>IF('Transfer Definitions'!I26="y",'Population Definitions'!$A$12,"...")</f>
        <v>...</v>
      </c>
      <c r="B253" t="str">
        <f>IF('Transfer Definitions'!I26="y","---&gt;","")</f>
        <v/>
      </c>
      <c r="C253" t="str">
        <f>IF('Transfer Definitions'!I26="y",'Population Definitions'!$A$9,"")</f>
        <v/>
      </c>
      <c r="D253" t="str">
        <f t="shared" si="17"/>
        <v/>
      </c>
      <c r="E253" t="str">
        <f t="shared" si="19"/>
        <v/>
      </c>
      <c r="F253" t="str">
        <f t="shared" si="18"/>
        <v/>
      </c>
    </row>
    <row r="254" spans="1:23" x14ac:dyDescent="0.55000000000000004">
      <c r="A254" t="str">
        <f>IF('Transfer Definitions'!J26="y",'Population Definitions'!$A$12,"...")</f>
        <v>...</v>
      </c>
      <c r="B254" t="str">
        <f>IF('Transfer Definitions'!J26="y","---&gt;","")</f>
        <v/>
      </c>
      <c r="C254" t="str">
        <f>IF('Transfer Definitions'!J26="y",'Population Definitions'!$A$10,"")</f>
        <v/>
      </c>
      <c r="D254" t="str">
        <f t="shared" si="17"/>
        <v/>
      </c>
      <c r="E254" t="str">
        <f t="shared" si="19"/>
        <v/>
      </c>
      <c r="F254" t="str">
        <f t="shared" si="18"/>
        <v/>
      </c>
    </row>
    <row r="255" spans="1:23" x14ac:dyDescent="0.55000000000000004">
      <c r="A255" t="str">
        <f>IF('Transfer Definitions'!K26="y",'Population Definitions'!$A$12,"...")</f>
        <v>...</v>
      </c>
      <c r="B255" t="str">
        <f>IF('Transfer Definitions'!K26="y","---&gt;","")</f>
        <v/>
      </c>
      <c r="C255" t="str">
        <f>IF('Transfer Definitions'!K26="y",'Population Definitions'!$A$11,"")</f>
        <v/>
      </c>
      <c r="D255" t="str">
        <f t="shared" si="17"/>
        <v/>
      </c>
      <c r="E255" t="str">
        <f t="shared" si="19"/>
        <v/>
      </c>
      <c r="F255" t="str">
        <f t="shared" si="18"/>
        <v/>
      </c>
    </row>
    <row r="256" spans="1:23" x14ac:dyDescent="0.55000000000000004">
      <c r="A256" s="1" t="str">
        <f>IF('Transfer Definitions'!M26="y",'Population Definitions'!$A$12,"...")</f>
        <v>Miners</v>
      </c>
      <c r="B256" s="1" t="str">
        <f>IF('Transfer Definitions'!M26="y","---&gt;","")</f>
        <v>---&gt;</v>
      </c>
      <c r="C256" s="1" t="str">
        <f>IF('Transfer Definitions'!M26="y",'Population Definitions'!$A$13,"")</f>
        <v>PLHIV Miners</v>
      </c>
      <c r="D256" s="1" t="str">
        <f t="shared" si="17"/>
        <v>Fraction</v>
      </c>
      <c r="E256" s="5" t="str">
        <f t="shared" si="19"/>
        <v>N.A.</v>
      </c>
      <c r="F256" s="1" t="str">
        <f t="shared" si="18"/>
        <v>OR</v>
      </c>
      <c r="G256" s="5">
        <v>1.4999999999999999E-2</v>
      </c>
      <c r="H256" s="5"/>
      <c r="I256" s="5"/>
      <c r="J256" s="5"/>
      <c r="K256" s="5"/>
      <c r="L256" s="5"/>
      <c r="M256" s="5">
        <v>1.4999999999999999E-2</v>
      </c>
      <c r="N256" s="5">
        <v>0.01</v>
      </c>
      <c r="O256" s="5"/>
      <c r="P256" s="5"/>
      <c r="Q256" s="5"/>
      <c r="R256" s="5"/>
      <c r="S256" s="5"/>
      <c r="T256" s="5">
        <v>0.01</v>
      </c>
      <c r="U256" s="5">
        <v>5.0000000000000001E-3</v>
      </c>
      <c r="V256" s="5"/>
      <c r="W256" s="5"/>
    </row>
    <row r="257" spans="1:23" x14ac:dyDescent="0.55000000000000004">
      <c r="A257" t="str">
        <f>IF('Transfer Definitions'!B27="y",'Population Definitions'!$A$13,"...")</f>
        <v>...</v>
      </c>
      <c r="B257" t="str">
        <f>IF('Transfer Definitions'!B27="y","---&gt;","")</f>
        <v/>
      </c>
      <c r="C257" t="str">
        <f>IF('Transfer Definitions'!B27="y",'Population Definitions'!$A$2,"")</f>
        <v/>
      </c>
      <c r="D257" t="str">
        <f t="shared" si="17"/>
        <v/>
      </c>
      <c r="E257" t="str">
        <f t="shared" si="19"/>
        <v/>
      </c>
      <c r="F257" t="str">
        <f t="shared" si="18"/>
        <v/>
      </c>
    </row>
    <row r="258" spans="1:23" x14ac:dyDescent="0.55000000000000004">
      <c r="A258" t="str">
        <f>IF('Transfer Definitions'!C27="y",'Population Definitions'!$A$13,"...")</f>
        <v>...</v>
      </c>
      <c r="B258" t="str">
        <f>IF('Transfer Definitions'!C27="y","---&gt;","")</f>
        <v/>
      </c>
      <c r="C258" t="str">
        <f>IF('Transfer Definitions'!C27="y",'Population Definitions'!$A$3,"")</f>
        <v/>
      </c>
      <c r="D258" t="str">
        <f t="shared" si="17"/>
        <v/>
      </c>
      <c r="E258" t="str">
        <f t="shared" si="19"/>
        <v/>
      </c>
      <c r="F258" t="str">
        <f t="shared" si="18"/>
        <v/>
      </c>
    </row>
    <row r="259" spans="1:23" x14ac:dyDescent="0.55000000000000004">
      <c r="A259" t="str">
        <f>IF('Transfer Definitions'!D27="y",'Population Definitions'!$A$13,"...")</f>
        <v>...</v>
      </c>
      <c r="B259" t="str">
        <f>IF('Transfer Definitions'!D27="y","---&gt;","")</f>
        <v/>
      </c>
      <c r="C259" t="str">
        <f>IF('Transfer Definitions'!D27="y",'Population Definitions'!$A$4,"")</f>
        <v/>
      </c>
      <c r="D259" t="str">
        <f t="shared" si="17"/>
        <v/>
      </c>
      <c r="E259" t="str">
        <f t="shared" si="19"/>
        <v/>
      </c>
      <c r="F259" t="str">
        <f t="shared" si="18"/>
        <v/>
      </c>
    </row>
    <row r="260" spans="1:23" x14ac:dyDescent="0.55000000000000004">
      <c r="A260" t="str">
        <f>IF('Transfer Definitions'!E27="y",'Population Definitions'!$A$13,"...")</f>
        <v>...</v>
      </c>
      <c r="B260" t="str">
        <f>IF('Transfer Definitions'!E27="y","---&gt;","")</f>
        <v/>
      </c>
      <c r="C260" t="str">
        <f>IF('Transfer Definitions'!E27="y",'Population Definitions'!$A$5,"")</f>
        <v/>
      </c>
      <c r="D260" t="str">
        <f t="shared" si="17"/>
        <v/>
      </c>
      <c r="E260" t="str">
        <f t="shared" si="19"/>
        <v/>
      </c>
      <c r="F260" t="str">
        <f t="shared" si="18"/>
        <v/>
      </c>
    </row>
    <row r="261" spans="1:23" x14ac:dyDescent="0.55000000000000004">
      <c r="A261" t="str">
        <f>IF('Transfer Definitions'!F27="y",'Population Definitions'!$A$13,"...")</f>
        <v>...</v>
      </c>
      <c r="B261" t="str">
        <f>IF('Transfer Definitions'!F27="y","---&gt;","")</f>
        <v/>
      </c>
      <c r="C261" t="str">
        <f>IF('Transfer Definitions'!F27="y",'Population Definitions'!$A$6,"")</f>
        <v/>
      </c>
      <c r="D261" t="str">
        <f t="shared" si="17"/>
        <v/>
      </c>
      <c r="E261" t="str">
        <f t="shared" si="19"/>
        <v/>
      </c>
      <c r="F261" t="str">
        <f t="shared" si="18"/>
        <v/>
      </c>
    </row>
    <row r="262" spans="1:23" x14ac:dyDescent="0.55000000000000004">
      <c r="A262" t="str">
        <f>IF('Transfer Definitions'!G27="y",'Population Definitions'!$A$13,"...")</f>
        <v>...</v>
      </c>
      <c r="B262" t="str">
        <f>IF('Transfer Definitions'!G27="y","---&gt;","")</f>
        <v/>
      </c>
      <c r="C262" t="str">
        <f>IF('Transfer Definitions'!G27="y",'Population Definitions'!$A$7,"")</f>
        <v/>
      </c>
      <c r="D262" t="str">
        <f t="shared" si="17"/>
        <v/>
      </c>
      <c r="E262" t="str">
        <f t="shared" si="19"/>
        <v/>
      </c>
      <c r="F262" t="str">
        <f t="shared" si="18"/>
        <v/>
      </c>
    </row>
    <row r="263" spans="1:23" x14ac:dyDescent="0.55000000000000004">
      <c r="A263" t="str">
        <f>IF('Transfer Definitions'!H27="y",'Population Definitions'!$A$13,"...")</f>
        <v>...</v>
      </c>
      <c r="B263" t="str">
        <f>IF('Transfer Definitions'!H27="y","---&gt;","")</f>
        <v/>
      </c>
      <c r="C263" t="str">
        <f>IF('Transfer Definitions'!H27="y",'Population Definitions'!$A$8,"")</f>
        <v/>
      </c>
      <c r="D263" t="str">
        <f t="shared" si="17"/>
        <v/>
      </c>
      <c r="E263" t="str">
        <f t="shared" si="19"/>
        <v/>
      </c>
      <c r="F263" t="str">
        <f t="shared" si="18"/>
        <v/>
      </c>
    </row>
    <row r="264" spans="1:23" x14ac:dyDescent="0.55000000000000004">
      <c r="A264" t="str">
        <f>IF('Transfer Definitions'!I27="y",'Population Definitions'!$A$13,"...")</f>
        <v>...</v>
      </c>
      <c r="B264" t="str">
        <f>IF('Transfer Definitions'!I27="y","---&gt;","")</f>
        <v/>
      </c>
      <c r="C264" t="str">
        <f>IF('Transfer Definitions'!I27="y",'Population Definitions'!$A$9,"")</f>
        <v/>
      </c>
      <c r="D264" t="str">
        <f t="shared" si="17"/>
        <v/>
      </c>
      <c r="E264" t="str">
        <f t="shared" si="19"/>
        <v/>
      </c>
      <c r="F264" t="str">
        <f t="shared" si="18"/>
        <v/>
      </c>
    </row>
    <row r="265" spans="1:23" x14ac:dyDescent="0.55000000000000004">
      <c r="A265" t="str">
        <f>IF('Transfer Definitions'!J27="y",'Population Definitions'!$A$13,"...")</f>
        <v>...</v>
      </c>
      <c r="B265" t="str">
        <f>IF('Transfer Definitions'!J27="y","---&gt;","")</f>
        <v/>
      </c>
      <c r="C265" t="str">
        <f>IF('Transfer Definitions'!J27="y",'Population Definitions'!$A$10,"")</f>
        <v/>
      </c>
      <c r="D265" t="str">
        <f t="shared" si="17"/>
        <v/>
      </c>
      <c r="E265" t="str">
        <f t="shared" si="19"/>
        <v/>
      </c>
      <c r="F265" t="str">
        <f t="shared" si="18"/>
        <v/>
      </c>
    </row>
    <row r="266" spans="1:23" x14ac:dyDescent="0.55000000000000004">
      <c r="A266" t="str">
        <f>IF('Transfer Definitions'!K27="y",'Population Definitions'!$A$13,"...")</f>
        <v>...</v>
      </c>
      <c r="B266" t="str">
        <f>IF('Transfer Definitions'!K27="y","---&gt;","")</f>
        <v/>
      </c>
      <c r="C266" t="str">
        <f>IF('Transfer Definitions'!K27="y",'Population Definitions'!$A$11,"")</f>
        <v/>
      </c>
      <c r="D266" t="str">
        <f t="shared" si="17"/>
        <v/>
      </c>
      <c r="E266" t="str">
        <f t="shared" si="19"/>
        <v/>
      </c>
      <c r="F266" t="str">
        <f t="shared" si="18"/>
        <v/>
      </c>
    </row>
    <row r="267" spans="1:23" x14ac:dyDescent="0.55000000000000004">
      <c r="A267" t="str">
        <f>IF('Transfer Definitions'!L27="y",'Population Definitions'!$A$13,"...")</f>
        <v>...</v>
      </c>
      <c r="B267" t="str">
        <f>IF('Transfer Definitions'!L27="y","---&gt;","")</f>
        <v/>
      </c>
      <c r="C267" t="str">
        <f>IF('Transfer Definitions'!L27="y",'Population Definitions'!$A$12,"")</f>
        <v/>
      </c>
      <c r="D267" t="str">
        <f t="shared" si="17"/>
        <v/>
      </c>
      <c r="E267" t="str">
        <f t="shared" si="19"/>
        <v/>
      </c>
      <c r="F267" t="str">
        <f t="shared" si="18"/>
        <v/>
      </c>
    </row>
    <row r="269" spans="1:23" x14ac:dyDescent="0.55000000000000004">
      <c r="A269" s="1" t="str">
        <f>'Transfer Definitions'!A29</f>
        <v>Risk-related transfers</v>
      </c>
      <c r="B269" s="1"/>
      <c r="C269" s="1"/>
      <c r="D269" s="1" t="s">
        <v>8</v>
      </c>
      <c r="E269" s="1" t="s">
        <v>9</v>
      </c>
      <c r="F269" s="1"/>
      <c r="G269" s="1">
        <v>2000</v>
      </c>
      <c r="H269" s="1">
        <v>2001</v>
      </c>
      <c r="I269" s="1">
        <v>2002</v>
      </c>
      <c r="J269" s="1">
        <v>2003</v>
      </c>
      <c r="K269" s="1">
        <v>2004</v>
      </c>
      <c r="L269" s="1">
        <v>2005</v>
      </c>
      <c r="M269" s="1">
        <v>2006</v>
      </c>
      <c r="N269" s="1">
        <v>2007</v>
      </c>
      <c r="O269" s="1">
        <v>2008</v>
      </c>
      <c r="P269" s="1">
        <v>2009</v>
      </c>
      <c r="Q269" s="1">
        <v>2010</v>
      </c>
      <c r="R269" s="1">
        <v>2011</v>
      </c>
      <c r="S269" s="1">
        <v>2012</v>
      </c>
      <c r="T269" s="1">
        <v>2013</v>
      </c>
      <c r="U269" s="1">
        <v>2014</v>
      </c>
      <c r="V269" s="1">
        <v>2015</v>
      </c>
      <c r="W269" s="1">
        <v>2016</v>
      </c>
    </row>
    <row r="270" spans="1:23" x14ac:dyDescent="0.55000000000000004">
      <c r="A270" t="str">
        <f>IF('Transfer Definitions'!C30="y",'Population Definitions'!$A$2,"...")</f>
        <v>...</v>
      </c>
      <c r="B270" t="str">
        <f>IF('Transfer Definitions'!C30="y","---&gt;","")</f>
        <v/>
      </c>
      <c r="C270" t="str">
        <f>IF('Transfer Definitions'!C30="y",'Population Definitions'!$A$3,"")</f>
        <v/>
      </c>
      <c r="D270" t="str">
        <f t="shared" ref="D270:D301" si="20">IF(A270&lt;&gt;"...","Fraction","")</f>
        <v/>
      </c>
      <c r="E270" t="str">
        <f t="shared" ref="E270:E301" si="21">IF(A270&lt;&gt;"...",IF(SUMPRODUCT(--(G270:W270&lt;&gt;""))=0,0,"N.A."),"")</f>
        <v/>
      </c>
      <c r="F270" t="str">
        <f t="shared" ref="F270:F301" si="22">IF(A270&lt;&gt;"...","OR","")</f>
        <v/>
      </c>
    </row>
    <row r="271" spans="1:23" x14ac:dyDescent="0.55000000000000004">
      <c r="A271" t="str">
        <f>IF('Transfer Definitions'!D30="y",'Population Definitions'!$A$2,"...")</f>
        <v>...</v>
      </c>
      <c r="B271" t="str">
        <f>IF('Transfer Definitions'!D30="y","---&gt;","")</f>
        <v/>
      </c>
      <c r="C271" t="str">
        <f>IF('Transfer Definitions'!D30="y",'Population Definitions'!$A$4,"")</f>
        <v/>
      </c>
      <c r="D271" t="str">
        <f t="shared" si="20"/>
        <v/>
      </c>
      <c r="E271" t="str">
        <f t="shared" si="21"/>
        <v/>
      </c>
      <c r="F271" t="str">
        <f t="shared" si="22"/>
        <v/>
      </c>
    </row>
    <row r="272" spans="1:23" x14ac:dyDescent="0.55000000000000004">
      <c r="A272" t="str">
        <f>IF('Transfer Definitions'!E30="y",'Population Definitions'!$A$2,"...")</f>
        <v>...</v>
      </c>
      <c r="B272" t="str">
        <f>IF('Transfer Definitions'!E30="y","---&gt;","")</f>
        <v/>
      </c>
      <c r="C272" t="str">
        <f>IF('Transfer Definitions'!E30="y",'Population Definitions'!$A$5,"")</f>
        <v/>
      </c>
      <c r="D272" t="str">
        <f t="shared" si="20"/>
        <v/>
      </c>
      <c r="E272" t="str">
        <f t="shared" si="21"/>
        <v/>
      </c>
      <c r="F272" t="str">
        <f t="shared" si="22"/>
        <v/>
      </c>
    </row>
    <row r="273" spans="1:6" x14ac:dyDescent="0.55000000000000004">
      <c r="A273" t="str">
        <f>IF('Transfer Definitions'!F30="y",'Population Definitions'!$A$2,"...")</f>
        <v>...</v>
      </c>
      <c r="B273" t="str">
        <f>IF('Transfer Definitions'!F30="y","---&gt;","")</f>
        <v/>
      </c>
      <c r="C273" t="str">
        <f>IF('Transfer Definitions'!F30="y",'Population Definitions'!$A$6,"")</f>
        <v/>
      </c>
      <c r="D273" t="str">
        <f t="shared" si="20"/>
        <v/>
      </c>
      <c r="E273" t="str">
        <f t="shared" si="21"/>
        <v/>
      </c>
      <c r="F273" t="str">
        <f t="shared" si="22"/>
        <v/>
      </c>
    </row>
    <row r="274" spans="1:6" x14ac:dyDescent="0.55000000000000004">
      <c r="A274" t="str">
        <f>IF('Transfer Definitions'!G30="y",'Population Definitions'!$A$2,"...")</f>
        <v>...</v>
      </c>
      <c r="B274" t="str">
        <f>IF('Transfer Definitions'!G30="y","---&gt;","")</f>
        <v/>
      </c>
      <c r="C274" t="str">
        <f>IF('Transfer Definitions'!G30="y",'Population Definitions'!$A$7,"")</f>
        <v/>
      </c>
      <c r="D274" t="str">
        <f t="shared" si="20"/>
        <v/>
      </c>
      <c r="E274" t="str">
        <f t="shared" si="21"/>
        <v/>
      </c>
      <c r="F274" t="str">
        <f t="shared" si="22"/>
        <v/>
      </c>
    </row>
    <row r="275" spans="1:6" x14ac:dyDescent="0.55000000000000004">
      <c r="A275" t="str">
        <f>IF('Transfer Definitions'!H30="y",'Population Definitions'!$A$2,"...")</f>
        <v>...</v>
      </c>
      <c r="B275" t="str">
        <f>IF('Transfer Definitions'!H30="y","---&gt;","")</f>
        <v/>
      </c>
      <c r="C275" t="str">
        <f>IF('Transfer Definitions'!H30="y",'Population Definitions'!$A$8,"")</f>
        <v/>
      </c>
      <c r="D275" t="str">
        <f t="shared" si="20"/>
        <v/>
      </c>
      <c r="E275" t="str">
        <f t="shared" si="21"/>
        <v/>
      </c>
      <c r="F275" t="str">
        <f t="shared" si="22"/>
        <v/>
      </c>
    </row>
    <row r="276" spans="1:6" x14ac:dyDescent="0.55000000000000004">
      <c r="A276" t="str">
        <f>IF('Transfer Definitions'!I30="y",'Population Definitions'!$A$2,"...")</f>
        <v>...</v>
      </c>
      <c r="B276" t="str">
        <f>IF('Transfer Definitions'!I30="y","---&gt;","")</f>
        <v/>
      </c>
      <c r="C276" t="str">
        <f>IF('Transfer Definitions'!I30="y",'Population Definitions'!$A$9,"")</f>
        <v/>
      </c>
      <c r="D276" t="str">
        <f t="shared" si="20"/>
        <v/>
      </c>
      <c r="E276" t="str">
        <f t="shared" si="21"/>
        <v/>
      </c>
      <c r="F276" t="str">
        <f t="shared" si="22"/>
        <v/>
      </c>
    </row>
    <row r="277" spans="1:6" x14ac:dyDescent="0.55000000000000004">
      <c r="A277" t="str">
        <f>IF('Transfer Definitions'!J30="y",'Population Definitions'!$A$2,"...")</f>
        <v>...</v>
      </c>
      <c r="B277" t="str">
        <f>IF('Transfer Definitions'!J30="y","---&gt;","")</f>
        <v/>
      </c>
      <c r="C277" t="str">
        <f>IF('Transfer Definitions'!J30="y",'Population Definitions'!$A$10,"")</f>
        <v/>
      </c>
      <c r="D277" t="str">
        <f t="shared" si="20"/>
        <v/>
      </c>
      <c r="E277" t="str">
        <f t="shared" si="21"/>
        <v/>
      </c>
      <c r="F277" t="str">
        <f t="shared" si="22"/>
        <v/>
      </c>
    </row>
    <row r="278" spans="1:6" x14ac:dyDescent="0.55000000000000004">
      <c r="A278" t="str">
        <f>IF('Transfer Definitions'!K30="y",'Population Definitions'!$A$2,"...")</f>
        <v>...</v>
      </c>
      <c r="B278" t="str">
        <f>IF('Transfer Definitions'!K30="y","---&gt;","")</f>
        <v/>
      </c>
      <c r="C278" t="str">
        <f>IF('Transfer Definitions'!K30="y",'Population Definitions'!$A$11,"")</f>
        <v/>
      </c>
      <c r="D278" t="str">
        <f t="shared" si="20"/>
        <v/>
      </c>
      <c r="E278" t="str">
        <f t="shared" si="21"/>
        <v/>
      </c>
      <c r="F278" t="str">
        <f t="shared" si="22"/>
        <v/>
      </c>
    </row>
    <row r="279" spans="1:6" x14ac:dyDescent="0.55000000000000004">
      <c r="A279" t="str">
        <f>IF('Transfer Definitions'!L30="y",'Population Definitions'!$A$2,"...")</f>
        <v>...</v>
      </c>
      <c r="B279" t="str">
        <f>IF('Transfer Definitions'!L30="y","---&gt;","")</f>
        <v/>
      </c>
      <c r="C279" t="str">
        <f>IF('Transfer Definitions'!L30="y",'Population Definitions'!$A$12,"")</f>
        <v/>
      </c>
      <c r="D279" t="str">
        <f t="shared" si="20"/>
        <v/>
      </c>
      <c r="E279" t="str">
        <f t="shared" si="21"/>
        <v/>
      </c>
      <c r="F279" t="str">
        <f t="shared" si="22"/>
        <v/>
      </c>
    </row>
    <row r="280" spans="1:6" x14ac:dyDescent="0.55000000000000004">
      <c r="A280" t="str">
        <f>IF('Transfer Definitions'!M30="y",'Population Definitions'!$A$2,"...")</f>
        <v>...</v>
      </c>
      <c r="B280" t="str">
        <f>IF('Transfer Definitions'!M30="y","---&gt;","")</f>
        <v/>
      </c>
      <c r="C280" t="str">
        <f>IF('Transfer Definitions'!M30="y",'Population Definitions'!$A$13,"")</f>
        <v/>
      </c>
      <c r="D280" t="str">
        <f t="shared" si="20"/>
        <v/>
      </c>
      <c r="E280" t="str">
        <f t="shared" si="21"/>
        <v/>
      </c>
      <c r="F280" t="str">
        <f t="shared" si="22"/>
        <v/>
      </c>
    </row>
    <row r="281" spans="1:6" x14ac:dyDescent="0.55000000000000004">
      <c r="A281" t="str">
        <f>IF('Transfer Definitions'!B31="y",'Population Definitions'!$A$3,"...")</f>
        <v>...</v>
      </c>
      <c r="B281" t="str">
        <f>IF('Transfer Definitions'!B31="y","---&gt;","")</f>
        <v/>
      </c>
      <c r="C281" t="str">
        <f>IF('Transfer Definitions'!B31="y",'Population Definitions'!$A$2,"")</f>
        <v/>
      </c>
      <c r="D281" t="str">
        <f t="shared" si="20"/>
        <v/>
      </c>
      <c r="E281" t="str">
        <f t="shared" si="21"/>
        <v/>
      </c>
      <c r="F281" t="str">
        <f t="shared" si="22"/>
        <v/>
      </c>
    </row>
    <row r="282" spans="1:6" x14ac:dyDescent="0.55000000000000004">
      <c r="A282" t="str">
        <f>IF('Transfer Definitions'!D31="y",'Population Definitions'!$A$3,"...")</f>
        <v>...</v>
      </c>
      <c r="B282" t="str">
        <f>IF('Transfer Definitions'!D31="y","---&gt;","")</f>
        <v/>
      </c>
      <c r="C282" t="str">
        <f>IF('Transfer Definitions'!D31="y",'Population Definitions'!$A$4,"")</f>
        <v/>
      </c>
      <c r="D282" t="str">
        <f t="shared" si="20"/>
        <v/>
      </c>
      <c r="E282" t="str">
        <f t="shared" si="21"/>
        <v/>
      </c>
      <c r="F282" t="str">
        <f t="shared" si="22"/>
        <v/>
      </c>
    </row>
    <row r="283" spans="1:6" x14ac:dyDescent="0.55000000000000004">
      <c r="A283" t="str">
        <f>IF('Transfer Definitions'!E31="y",'Population Definitions'!$A$3,"...")</f>
        <v>...</v>
      </c>
      <c r="B283" t="str">
        <f>IF('Transfer Definitions'!E31="y","---&gt;","")</f>
        <v/>
      </c>
      <c r="C283" t="str">
        <f>IF('Transfer Definitions'!E31="y",'Population Definitions'!$A$5,"")</f>
        <v/>
      </c>
      <c r="D283" t="str">
        <f t="shared" si="20"/>
        <v/>
      </c>
      <c r="E283" t="str">
        <f t="shared" si="21"/>
        <v/>
      </c>
      <c r="F283" t="str">
        <f t="shared" si="22"/>
        <v/>
      </c>
    </row>
    <row r="284" spans="1:6" x14ac:dyDescent="0.55000000000000004">
      <c r="A284" t="str">
        <f>IF('Transfer Definitions'!F31="y",'Population Definitions'!$A$3,"...")</f>
        <v>...</v>
      </c>
      <c r="B284" t="str">
        <f>IF('Transfer Definitions'!F31="y","---&gt;","")</f>
        <v/>
      </c>
      <c r="C284" t="str">
        <f>IF('Transfer Definitions'!F31="y",'Population Definitions'!$A$6,"")</f>
        <v/>
      </c>
      <c r="D284" t="str">
        <f t="shared" si="20"/>
        <v/>
      </c>
      <c r="E284" t="str">
        <f t="shared" si="21"/>
        <v/>
      </c>
      <c r="F284" t="str">
        <f t="shared" si="22"/>
        <v/>
      </c>
    </row>
    <row r="285" spans="1:6" x14ac:dyDescent="0.55000000000000004">
      <c r="A285" t="str">
        <f>IF('Transfer Definitions'!G31="y",'Population Definitions'!$A$3,"...")</f>
        <v>...</v>
      </c>
      <c r="B285" t="str">
        <f>IF('Transfer Definitions'!G31="y","---&gt;","")</f>
        <v/>
      </c>
      <c r="C285" t="str">
        <f>IF('Transfer Definitions'!G31="y",'Population Definitions'!$A$7,"")</f>
        <v/>
      </c>
      <c r="D285" t="str">
        <f t="shared" si="20"/>
        <v/>
      </c>
      <c r="E285" t="str">
        <f t="shared" si="21"/>
        <v/>
      </c>
      <c r="F285" t="str">
        <f t="shared" si="22"/>
        <v/>
      </c>
    </row>
    <row r="286" spans="1:6" x14ac:dyDescent="0.55000000000000004">
      <c r="A286" t="str">
        <f>IF('Transfer Definitions'!H31="y",'Population Definitions'!$A$3,"...")</f>
        <v>...</v>
      </c>
      <c r="B286" t="str">
        <f>IF('Transfer Definitions'!H31="y","---&gt;","")</f>
        <v/>
      </c>
      <c r="C286" t="str">
        <f>IF('Transfer Definitions'!H31="y",'Population Definitions'!$A$8,"")</f>
        <v/>
      </c>
      <c r="D286" t="str">
        <f t="shared" si="20"/>
        <v/>
      </c>
      <c r="E286" t="str">
        <f t="shared" si="21"/>
        <v/>
      </c>
      <c r="F286" t="str">
        <f t="shared" si="22"/>
        <v/>
      </c>
    </row>
    <row r="287" spans="1:6" x14ac:dyDescent="0.55000000000000004">
      <c r="A287" t="str">
        <f>IF('Transfer Definitions'!I31="y",'Population Definitions'!$A$3,"...")</f>
        <v>...</v>
      </c>
      <c r="B287" t="str">
        <f>IF('Transfer Definitions'!I31="y","---&gt;","")</f>
        <v/>
      </c>
      <c r="C287" t="str">
        <f>IF('Transfer Definitions'!I31="y",'Population Definitions'!$A$9,"")</f>
        <v/>
      </c>
      <c r="D287" t="str">
        <f t="shared" si="20"/>
        <v/>
      </c>
      <c r="E287" t="str">
        <f t="shared" si="21"/>
        <v/>
      </c>
      <c r="F287" t="str">
        <f t="shared" si="22"/>
        <v/>
      </c>
    </row>
    <row r="288" spans="1:6" x14ac:dyDescent="0.55000000000000004">
      <c r="A288" t="str">
        <f>IF('Transfer Definitions'!J31="y",'Population Definitions'!$A$3,"...")</f>
        <v>...</v>
      </c>
      <c r="B288" t="str">
        <f>IF('Transfer Definitions'!J31="y","---&gt;","")</f>
        <v/>
      </c>
      <c r="C288" t="str">
        <f>IF('Transfer Definitions'!J31="y",'Population Definitions'!$A$10,"")</f>
        <v/>
      </c>
      <c r="D288" t="str">
        <f t="shared" si="20"/>
        <v/>
      </c>
      <c r="E288" t="str">
        <f t="shared" si="21"/>
        <v/>
      </c>
      <c r="F288" t="str">
        <f t="shared" si="22"/>
        <v/>
      </c>
    </row>
    <row r="289" spans="1:23" x14ac:dyDescent="0.55000000000000004">
      <c r="A289" t="str">
        <f>IF('Transfer Definitions'!K31="y",'Population Definitions'!$A$3,"...")</f>
        <v>...</v>
      </c>
      <c r="B289" t="str">
        <f>IF('Transfer Definitions'!K31="y","---&gt;","")</f>
        <v/>
      </c>
      <c r="C289" t="str">
        <f>IF('Transfer Definitions'!K31="y",'Population Definitions'!$A$11,"")</f>
        <v/>
      </c>
      <c r="D289" t="str">
        <f t="shared" si="20"/>
        <v/>
      </c>
      <c r="E289" t="str">
        <f t="shared" si="21"/>
        <v/>
      </c>
      <c r="F289" t="str">
        <f t="shared" si="22"/>
        <v/>
      </c>
    </row>
    <row r="290" spans="1:23" x14ac:dyDescent="0.55000000000000004">
      <c r="A290" t="str">
        <f>IF('Transfer Definitions'!L31="y",'Population Definitions'!$A$3,"...")</f>
        <v>...</v>
      </c>
      <c r="B290" t="str">
        <f>IF('Transfer Definitions'!L31="y","---&gt;","")</f>
        <v/>
      </c>
      <c r="C290" t="str">
        <f>IF('Transfer Definitions'!L31="y",'Population Definitions'!$A$12,"")</f>
        <v/>
      </c>
      <c r="D290" t="str">
        <f t="shared" si="20"/>
        <v/>
      </c>
      <c r="E290" t="str">
        <f t="shared" si="21"/>
        <v/>
      </c>
      <c r="F290" t="str">
        <f t="shared" si="22"/>
        <v/>
      </c>
    </row>
    <row r="291" spans="1:23" x14ac:dyDescent="0.55000000000000004">
      <c r="A291" t="str">
        <f>IF('Transfer Definitions'!M31="y",'Population Definitions'!$A$3,"...")</f>
        <v>...</v>
      </c>
      <c r="B291" t="str">
        <f>IF('Transfer Definitions'!M31="y","---&gt;","")</f>
        <v/>
      </c>
      <c r="C291" t="str">
        <f>IF('Transfer Definitions'!M31="y",'Population Definitions'!$A$13,"")</f>
        <v/>
      </c>
      <c r="D291" t="str">
        <f t="shared" si="20"/>
        <v/>
      </c>
      <c r="E291" t="str">
        <f t="shared" si="21"/>
        <v/>
      </c>
      <c r="F291" t="str">
        <f t="shared" si="22"/>
        <v/>
      </c>
    </row>
    <row r="292" spans="1:23" x14ac:dyDescent="0.55000000000000004">
      <c r="A292" t="str">
        <f>IF('Transfer Definitions'!B32="y",'Population Definitions'!$A$4,"...")</f>
        <v>...</v>
      </c>
      <c r="B292" t="str">
        <f>IF('Transfer Definitions'!B32="y","---&gt;","")</f>
        <v/>
      </c>
      <c r="C292" t="str">
        <f>IF('Transfer Definitions'!B32="y",'Population Definitions'!$A$2,"")</f>
        <v/>
      </c>
      <c r="D292" t="str">
        <f t="shared" si="20"/>
        <v/>
      </c>
      <c r="E292" t="str">
        <f t="shared" si="21"/>
        <v/>
      </c>
      <c r="F292" t="str">
        <f t="shared" si="22"/>
        <v/>
      </c>
    </row>
    <row r="293" spans="1:23" x14ac:dyDescent="0.55000000000000004">
      <c r="A293" t="str">
        <f>IF('Transfer Definitions'!C32="y",'Population Definitions'!$A$4,"...")</f>
        <v>...</v>
      </c>
      <c r="B293" t="str">
        <f>IF('Transfer Definitions'!C32="y","---&gt;","")</f>
        <v/>
      </c>
      <c r="C293" t="str">
        <f>IF('Transfer Definitions'!C32="y",'Population Definitions'!$A$3,"")</f>
        <v/>
      </c>
      <c r="D293" t="str">
        <f t="shared" si="20"/>
        <v/>
      </c>
      <c r="E293" t="str">
        <f t="shared" si="21"/>
        <v/>
      </c>
      <c r="F293" t="str">
        <f t="shared" si="22"/>
        <v/>
      </c>
    </row>
    <row r="294" spans="1:23" x14ac:dyDescent="0.55000000000000004">
      <c r="A294" t="str">
        <f>IF('Transfer Definitions'!E32="y",'Population Definitions'!$A$4,"...")</f>
        <v>...</v>
      </c>
      <c r="B294" t="str">
        <f>IF('Transfer Definitions'!E32="y","---&gt;","")</f>
        <v/>
      </c>
      <c r="C294" t="str">
        <f>IF('Transfer Definitions'!E32="y",'Population Definitions'!$A$5,"")</f>
        <v/>
      </c>
      <c r="D294" t="str">
        <f t="shared" si="20"/>
        <v/>
      </c>
      <c r="E294" t="str">
        <f t="shared" si="21"/>
        <v/>
      </c>
      <c r="F294" t="str">
        <f t="shared" si="22"/>
        <v/>
      </c>
    </row>
    <row r="295" spans="1:23" x14ac:dyDescent="0.55000000000000004">
      <c r="A295" t="str">
        <f>IF('Transfer Definitions'!F32="y",'Population Definitions'!$A$4,"...")</f>
        <v>...</v>
      </c>
      <c r="B295" t="str">
        <f>IF('Transfer Definitions'!F32="y","---&gt;","")</f>
        <v/>
      </c>
      <c r="C295" t="str">
        <f>IF('Transfer Definitions'!F32="y",'Population Definitions'!$A$6,"")</f>
        <v/>
      </c>
      <c r="D295" t="str">
        <f t="shared" si="20"/>
        <v/>
      </c>
      <c r="E295" t="str">
        <f t="shared" si="21"/>
        <v/>
      </c>
      <c r="F295" t="str">
        <f t="shared" si="22"/>
        <v/>
      </c>
    </row>
    <row r="296" spans="1:23" x14ac:dyDescent="0.55000000000000004">
      <c r="A296" t="str">
        <f>IF('Transfer Definitions'!G32="y",'Population Definitions'!$A$4,"...")</f>
        <v>...</v>
      </c>
      <c r="B296" t="str">
        <f>IF('Transfer Definitions'!G32="y","---&gt;","")</f>
        <v/>
      </c>
      <c r="C296" t="str">
        <f>IF('Transfer Definitions'!G32="y",'Population Definitions'!$A$7,"")</f>
        <v/>
      </c>
      <c r="D296" t="str">
        <f t="shared" si="20"/>
        <v/>
      </c>
      <c r="E296" t="str">
        <f t="shared" si="21"/>
        <v/>
      </c>
      <c r="F296" t="str">
        <f t="shared" si="22"/>
        <v/>
      </c>
    </row>
    <row r="297" spans="1:23" x14ac:dyDescent="0.55000000000000004">
      <c r="A297" s="1" t="str">
        <f>IF('Transfer Definitions'!H32="y",'Population Definitions'!$A$4,"...")</f>
        <v>Gen 15-64</v>
      </c>
      <c r="B297" s="1" t="str">
        <f>IF('Transfer Definitions'!H32="y","---&gt;","")</f>
        <v>---&gt;</v>
      </c>
      <c r="C297" s="1" t="str">
        <f>IF('Transfer Definitions'!H32="y",'Population Definitions'!$A$8,"")</f>
        <v>Prisoners</v>
      </c>
      <c r="D297" s="1" t="str">
        <f t="shared" si="20"/>
        <v>Fraction</v>
      </c>
      <c r="E297" s="5" t="str">
        <f>IF(A297&lt;&gt;"...",IF(SUMPRODUCT(--(G297:W297&lt;&gt;""))=0,0.0001,"N.A."),"")</f>
        <v>N.A.</v>
      </c>
      <c r="F297" s="1" t="str">
        <f t="shared" si="22"/>
        <v>OR</v>
      </c>
      <c r="G297" s="13">
        <f>G298*1.2</f>
        <v>4.9943870603996851E-4</v>
      </c>
      <c r="H297" s="13">
        <f t="shared" ref="H297:U297" si="23">H298*1.2</f>
        <v>4.9317501655235833E-4</v>
      </c>
      <c r="I297" s="13">
        <f t="shared" si="23"/>
        <v>4.8807818221055906E-4</v>
      </c>
      <c r="J297" s="13">
        <f t="shared" si="23"/>
        <v>4.8332697017171387E-4</v>
      </c>
      <c r="K297" s="13">
        <f t="shared" si="23"/>
        <v>4.7604205047853285E-4</v>
      </c>
      <c r="L297" s="13">
        <f t="shared" si="23"/>
        <v>4.6790338087575708E-4</v>
      </c>
      <c r="M297" s="13">
        <f t="shared" si="23"/>
        <v>3.5797120878185195E-4</v>
      </c>
      <c r="N297" s="13">
        <f t="shared" si="23"/>
        <v>4.8211815007117019E-4</v>
      </c>
      <c r="O297" s="13">
        <f t="shared" si="23"/>
        <v>4.7229758754459218E-4</v>
      </c>
      <c r="P297" s="13">
        <f t="shared" si="23"/>
        <v>4.3433015272382601E-4</v>
      </c>
      <c r="Q297" s="13">
        <f t="shared" si="23"/>
        <v>4.6961291713005821E-4</v>
      </c>
      <c r="R297" s="13">
        <f t="shared" si="23"/>
        <v>4.4952190104817881E-4</v>
      </c>
      <c r="S297" s="13">
        <f t="shared" si="23"/>
        <v>4.3130797615696713E-4</v>
      </c>
      <c r="T297" s="13">
        <f t="shared" si="23"/>
        <v>4.1414222407347147E-4</v>
      </c>
      <c r="U297" s="13">
        <f t="shared" si="23"/>
        <v>4.0109138342339239E-4</v>
      </c>
      <c r="V297" s="13"/>
      <c r="W297" s="13"/>
    </row>
    <row r="298" spans="1:23" x14ac:dyDescent="0.55000000000000004">
      <c r="A298" t="str">
        <f>IF('Transfer Definitions'!I32="y",'Population Definitions'!$A$4,"...")</f>
        <v>...</v>
      </c>
      <c r="B298" t="str">
        <f>IF('Transfer Definitions'!I32="y","---&gt;","")</f>
        <v/>
      </c>
      <c r="C298" t="str">
        <f>IF('Transfer Definitions'!I32="y",'Population Definitions'!$A$9,"")</f>
        <v/>
      </c>
      <c r="D298" t="str">
        <f t="shared" si="20"/>
        <v/>
      </c>
      <c r="E298" t="str">
        <f t="shared" si="21"/>
        <v/>
      </c>
      <c r="F298" t="str">
        <f t="shared" si="22"/>
        <v/>
      </c>
      <c r="G298">
        <v>4.1619892169997378E-4</v>
      </c>
      <c r="H298">
        <v>4.1097918046029862E-4</v>
      </c>
      <c r="I298">
        <v>4.0673181850879922E-4</v>
      </c>
      <c r="J298">
        <v>4.0277247514309493E-4</v>
      </c>
      <c r="K298">
        <v>3.9670170873211071E-4</v>
      </c>
      <c r="L298">
        <v>3.8991948406313091E-4</v>
      </c>
      <c r="M298">
        <v>2.9830934065154329E-4</v>
      </c>
      <c r="N298">
        <v>4.017651250593085E-4</v>
      </c>
      <c r="O298">
        <v>3.9358132295382682E-4</v>
      </c>
      <c r="P298">
        <v>3.6194179393652168E-4</v>
      </c>
      <c r="Q298">
        <v>3.9134409760838184E-4</v>
      </c>
      <c r="R298">
        <v>3.746015842068157E-4</v>
      </c>
      <c r="S298">
        <v>3.5942331346413929E-4</v>
      </c>
      <c r="T298">
        <v>3.4511852006122623E-4</v>
      </c>
      <c r="U298">
        <v>3.3424281951949366E-4</v>
      </c>
    </row>
    <row r="299" spans="1:23" x14ac:dyDescent="0.55000000000000004">
      <c r="A299" s="1" t="str">
        <f>IF('Transfer Definitions'!J32="y",'Population Definitions'!$A$4,"...")</f>
        <v>Gen 15-64</v>
      </c>
      <c r="B299" s="1" t="str">
        <f>IF('Transfer Definitions'!J32="y","---&gt;","")</f>
        <v>---&gt;</v>
      </c>
      <c r="C299" s="1" t="str">
        <f>IF('Transfer Definitions'!J32="y",'Population Definitions'!$A$10,"")</f>
        <v>HCW</v>
      </c>
      <c r="D299" s="1" t="str">
        <f t="shared" si="20"/>
        <v>Fraction</v>
      </c>
      <c r="E299" s="5" t="str">
        <f>IF(A299&lt;&gt;"...",IF(SUMPRODUCT(--(G299:W299&lt;&gt;""))=0,0.00011,"N.A."),"")</f>
        <v>N.A.</v>
      </c>
      <c r="F299" s="1" t="str">
        <f t="shared" si="22"/>
        <v>OR</v>
      </c>
      <c r="G299" s="13">
        <v>2.9999999999999997E-4</v>
      </c>
      <c r="H299" s="13"/>
      <c r="I299" s="13"/>
      <c r="J299" s="13">
        <v>4.0000000000000002E-4</v>
      </c>
      <c r="K299" s="13"/>
      <c r="L299" s="13"/>
      <c r="M299" s="13"/>
      <c r="N299" s="13"/>
      <c r="O299" s="13">
        <v>2.9999999999999997E-4</v>
      </c>
      <c r="P299" s="13">
        <v>2.7E-4</v>
      </c>
      <c r="Q299" s="13"/>
      <c r="R299" s="13"/>
      <c r="S299" s="13"/>
      <c r="T299" s="13"/>
      <c r="U299" s="13"/>
      <c r="V299" s="13"/>
      <c r="W299" s="13"/>
    </row>
    <row r="300" spans="1:23" x14ac:dyDescent="0.55000000000000004">
      <c r="A300" t="str">
        <f>IF('Transfer Definitions'!K32="y",'Population Definitions'!$A$4,"...")</f>
        <v>...</v>
      </c>
      <c r="B300" t="str">
        <f>IF('Transfer Definitions'!K32="y","---&gt;","")</f>
        <v/>
      </c>
      <c r="C300" t="str">
        <f>IF('Transfer Definitions'!K32="y",'Population Definitions'!$A$11,"")</f>
        <v/>
      </c>
      <c r="D300" t="str">
        <f t="shared" si="20"/>
        <v/>
      </c>
      <c r="E300" t="str">
        <f t="shared" si="21"/>
        <v/>
      </c>
      <c r="F300" t="str">
        <f t="shared" si="22"/>
        <v/>
      </c>
    </row>
    <row r="301" spans="1:23" x14ac:dyDescent="0.55000000000000004">
      <c r="A301" s="1" t="str">
        <f>IF('Transfer Definitions'!L32="y",'Population Definitions'!$A$4,"...")</f>
        <v>Gen 15-64</v>
      </c>
      <c r="B301" s="1" t="str">
        <f>IF('Transfer Definitions'!L32="y","---&gt;","")</f>
        <v>---&gt;</v>
      </c>
      <c r="C301" s="1" t="str">
        <f>IF('Transfer Definitions'!L32="y",'Population Definitions'!$A$12,"")</f>
        <v>Miners</v>
      </c>
      <c r="D301" s="1" t="str">
        <f t="shared" si="20"/>
        <v>Fraction</v>
      </c>
      <c r="E301" s="5" t="str">
        <f t="shared" si="21"/>
        <v>N.A.</v>
      </c>
      <c r="F301" s="1" t="str">
        <f t="shared" si="22"/>
        <v>OR</v>
      </c>
      <c r="G301" s="13">
        <v>3.2499999999999999E-4</v>
      </c>
      <c r="H301" s="13"/>
      <c r="I301" s="13"/>
      <c r="J301" s="13"/>
      <c r="K301" s="13"/>
      <c r="L301" s="13"/>
      <c r="M301" s="13"/>
      <c r="N301" s="13"/>
      <c r="O301" s="13">
        <f>G301</f>
        <v>3.2499999999999999E-4</v>
      </c>
      <c r="P301" s="13"/>
      <c r="Q301" s="13">
        <f>O301*0.5</f>
        <v>1.6249999999999999E-4</v>
      </c>
      <c r="R301" s="13"/>
      <c r="S301" s="13"/>
      <c r="T301" s="13"/>
      <c r="U301" s="13">
        <v>2.0000000000000002E-5</v>
      </c>
      <c r="V301" s="13"/>
      <c r="W301" s="13"/>
    </row>
    <row r="302" spans="1:23" x14ac:dyDescent="0.55000000000000004">
      <c r="A302" t="str">
        <f>IF('Transfer Definitions'!M32="y",'Population Definitions'!$A$4,"...")</f>
        <v>...</v>
      </c>
      <c r="B302" t="str">
        <f>IF('Transfer Definitions'!M32="y","---&gt;","")</f>
        <v/>
      </c>
      <c r="C302" t="str">
        <f>IF('Transfer Definitions'!M32="y",'Population Definitions'!$A$13,"")</f>
        <v/>
      </c>
      <c r="D302" t="str">
        <f t="shared" ref="D302:D333" si="24">IF(A302&lt;&gt;"...","Fraction","")</f>
        <v/>
      </c>
      <c r="E302" t="str">
        <f t="shared" ref="E302:E333" si="25">IF(A302&lt;&gt;"...",IF(SUMPRODUCT(--(G302:W302&lt;&gt;""))=0,0,"N.A."),"")</f>
        <v/>
      </c>
      <c r="F302" t="str">
        <f t="shared" ref="F302:F333" si="26">IF(A302&lt;&gt;"...","OR","")</f>
        <v/>
      </c>
    </row>
    <row r="303" spans="1:23" x14ac:dyDescent="0.55000000000000004">
      <c r="A303" t="str">
        <f>IF('Transfer Definitions'!B33="y",'Population Definitions'!$A$5,"...")</f>
        <v>...</v>
      </c>
      <c r="B303" t="str">
        <f>IF('Transfer Definitions'!B33="y","---&gt;","")</f>
        <v/>
      </c>
      <c r="C303" t="str">
        <f>IF('Transfer Definitions'!B33="y",'Population Definitions'!$A$2,"")</f>
        <v/>
      </c>
      <c r="D303" t="str">
        <f t="shared" si="24"/>
        <v/>
      </c>
      <c r="E303" t="str">
        <f t="shared" si="25"/>
        <v/>
      </c>
      <c r="F303" t="str">
        <f t="shared" si="26"/>
        <v/>
      </c>
    </row>
    <row r="304" spans="1:23" x14ac:dyDescent="0.55000000000000004">
      <c r="A304" t="str">
        <f>IF('Transfer Definitions'!C33="y",'Population Definitions'!$A$5,"...")</f>
        <v>...</v>
      </c>
      <c r="B304" t="str">
        <f>IF('Transfer Definitions'!C33="y","---&gt;","")</f>
        <v/>
      </c>
      <c r="C304" t="str">
        <f>IF('Transfer Definitions'!C33="y",'Population Definitions'!$A$3,"")</f>
        <v/>
      </c>
      <c r="D304" t="str">
        <f t="shared" si="24"/>
        <v/>
      </c>
      <c r="E304" t="str">
        <f t="shared" si="25"/>
        <v/>
      </c>
      <c r="F304" t="str">
        <f t="shared" si="26"/>
        <v/>
      </c>
    </row>
    <row r="305" spans="1:23" x14ac:dyDescent="0.55000000000000004">
      <c r="A305" t="str">
        <f>IF('Transfer Definitions'!D33="y",'Population Definitions'!$A$5,"...")</f>
        <v>...</v>
      </c>
      <c r="B305" t="str">
        <f>IF('Transfer Definitions'!D33="y","---&gt;","")</f>
        <v/>
      </c>
      <c r="C305" t="str">
        <f>IF('Transfer Definitions'!D33="y",'Population Definitions'!$A$4,"")</f>
        <v/>
      </c>
      <c r="D305" t="str">
        <f t="shared" si="24"/>
        <v/>
      </c>
      <c r="E305" t="str">
        <f t="shared" si="25"/>
        <v/>
      </c>
      <c r="F305" t="str">
        <f t="shared" si="26"/>
        <v/>
      </c>
    </row>
    <row r="306" spans="1:23" x14ac:dyDescent="0.55000000000000004">
      <c r="A306" t="str">
        <f>IF('Transfer Definitions'!F33="y",'Population Definitions'!$A$5,"...")</f>
        <v>...</v>
      </c>
      <c r="B306" t="str">
        <f>IF('Transfer Definitions'!F33="y","---&gt;","")</f>
        <v/>
      </c>
      <c r="C306" t="str">
        <f>IF('Transfer Definitions'!F33="y",'Population Definitions'!$A$6,"")</f>
        <v/>
      </c>
      <c r="D306" t="str">
        <f t="shared" si="24"/>
        <v/>
      </c>
      <c r="E306" t="str">
        <f t="shared" si="25"/>
        <v/>
      </c>
      <c r="F306" t="str">
        <f t="shared" si="26"/>
        <v/>
      </c>
    </row>
    <row r="307" spans="1:23" x14ac:dyDescent="0.55000000000000004">
      <c r="A307" t="str">
        <f>IF('Transfer Definitions'!G33="y",'Population Definitions'!$A$5,"...")</f>
        <v>...</v>
      </c>
      <c r="B307" t="str">
        <f>IF('Transfer Definitions'!G33="y","---&gt;","")</f>
        <v/>
      </c>
      <c r="C307" t="str">
        <f>IF('Transfer Definitions'!G33="y",'Population Definitions'!$A$7,"")</f>
        <v/>
      </c>
      <c r="D307" t="str">
        <f t="shared" si="24"/>
        <v/>
      </c>
      <c r="E307" t="str">
        <f t="shared" si="25"/>
        <v/>
      </c>
      <c r="F307" t="str">
        <f t="shared" si="26"/>
        <v/>
      </c>
    </row>
    <row r="308" spans="1:23" x14ac:dyDescent="0.55000000000000004">
      <c r="A308" t="str">
        <f>IF('Transfer Definitions'!H33="y",'Population Definitions'!$A$5,"...")</f>
        <v>...</v>
      </c>
      <c r="B308" t="str">
        <f>IF('Transfer Definitions'!H33="y","---&gt;","")</f>
        <v/>
      </c>
      <c r="C308" t="str">
        <f>IF('Transfer Definitions'!H33="y",'Population Definitions'!$A$8,"")</f>
        <v/>
      </c>
      <c r="D308" t="str">
        <f t="shared" si="24"/>
        <v/>
      </c>
      <c r="E308" t="str">
        <f t="shared" si="25"/>
        <v/>
      </c>
      <c r="F308" t="str">
        <f t="shared" si="26"/>
        <v/>
      </c>
    </row>
    <row r="309" spans="1:23" x14ac:dyDescent="0.55000000000000004">
      <c r="A309" t="str">
        <f>IF('Transfer Definitions'!I33="y",'Population Definitions'!$A$5,"...")</f>
        <v>...</v>
      </c>
      <c r="B309" t="str">
        <f>IF('Transfer Definitions'!I33="y","---&gt;","")</f>
        <v/>
      </c>
      <c r="C309" t="str">
        <f>IF('Transfer Definitions'!I33="y",'Population Definitions'!$A$9,"")</f>
        <v/>
      </c>
      <c r="D309" t="str">
        <f t="shared" si="24"/>
        <v/>
      </c>
      <c r="E309" t="str">
        <f t="shared" si="25"/>
        <v/>
      </c>
      <c r="F309" t="str">
        <f t="shared" si="26"/>
        <v/>
      </c>
    </row>
    <row r="310" spans="1:23" x14ac:dyDescent="0.55000000000000004">
      <c r="A310" t="str">
        <f>IF('Transfer Definitions'!J33="y",'Population Definitions'!$A$5,"...")</f>
        <v>...</v>
      </c>
      <c r="B310" t="str">
        <f>IF('Transfer Definitions'!J33="y","---&gt;","")</f>
        <v/>
      </c>
      <c r="C310" t="str">
        <f>IF('Transfer Definitions'!J33="y",'Population Definitions'!$A$10,"")</f>
        <v/>
      </c>
      <c r="D310" t="str">
        <f t="shared" si="24"/>
        <v/>
      </c>
      <c r="E310" t="str">
        <f t="shared" si="25"/>
        <v/>
      </c>
      <c r="F310" t="str">
        <f t="shared" si="26"/>
        <v/>
      </c>
    </row>
    <row r="311" spans="1:23" x14ac:dyDescent="0.55000000000000004">
      <c r="A311" t="str">
        <f>IF('Transfer Definitions'!K33="y",'Population Definitions'!$A$5,"...")</f>
        <v>...</v>
      </c>
      <c r="B311" t="str">
        <f>IF('Transfer Definitions'!K33="y","---&gt;","")</f>
        <v/>
      </c>
      <c r="C311" t="str">
        <f>IF('Transfer Definitions'!K33="y",'Population Definitions'!$A$11,"")</f>
        <v/>
      </c>
      <c r="D311" t="str">
        <f t="shared" si="24"/>
        <v/>
      </c>
      <c r="E311" t="str">
        <f t="shared" si="25"/>
        <v/>
      </c>
      <c r="F311" t="str">
        <f t="shared" si="26"/>
        <v/>
      </c>
    </row>
    <row r="312" spans="1:23" x14ac:dyDescent="0.55000000000000004">
      <c r="A312" t="str">
        <f>IF('Transfer Definitions'!L33="y",'Population Definitions'!$A$5,"...")</f>
        <v>...</v>
      </c>
      <c r="B312" t="str">
        <f>IF('Transfer Definitions'!L33="y","---&gt;","")</f>
        <v/>
      </c>
      <c r="C312" t="str">
        <f>IF('Transfer Definitions'!L33="y",'Population Definitions'!$A$12,"")</f>
        <v/>
      </c>
      <c r="D312" t="str">
        <f t="shared" si="24"/>
        <v/>
      </c>
      <c r="E312" t="str">
        <f t="shared" si="25"/>
        <v/>
      </c>
      <c r="F312" t="str">
        <f t="shared" si="26"/>
        <v/>
      </c>
    </row>
    <row r="313" spans="1:23" x14ac:dyDescent="0.55000000000000004">
      <c r="A313" t="str">
        <f>IF('Transfer Definitions'!M33="y",'Population Definitions'!$A$5,"...")</f>
        <v>...</v>
      </c>
      <c r="B313" t="str">
        <f>IF('Transfer Definitions'!M33="y","---&gt;","")</f>
        <v/>
      </c>
      <c r="C313" t="str">
        <f>IF('Transfer Definitions'!M33="y",'Population Definitions'!$A$13,"")</f>
        <v/>
      </c>
      <c r="D313" t="str">
        <f t="shared" si="24"/>
        <v/>
      </c>
      <c r="E313" t="str">
        <f t="shared" si="25"/>
        <v/>
      </c>
      <c r="F313" t="str">
        <f t="shared" si="26"/>
        <v/>
      </c>
    </row>
    <row r="314" spans="1:23" x14ac:dyDescent="0.55000000000000004">
      <c r="A314" t="str">
        <f>IF('Transfer Definitions'!B34="y",'Population Definitions'!$A$6,"...")</f>
        <v>...</v>
      </c>
      <c r="B314" t="str">
        <f>IF('Transfer Definitions'!B34="y","---&gt;","")</f>
        <v/>
      </c>
      <c r="C314" t="str">
        <f>IF('Transfer Definitions'!B34="y",'Population Definitions'!$A$2,"")</f>
        <v/>
      </c>
      <c r="D314" t="str">
        <f t="shared" si="24"/>
        <v/>
      </c>
      <c r="E314" t="str">
        <f t="shared" si="25"/>
        <v/>
      </c>
      <c r="F314" t="str">
        <f t="shared" si="26"/>
        <v/>
      </c>
    </row>
    <row r="315" spans="1:23" x14ac:dyDescent="0.55000000000000004">
      <c r="A315" t="str">
        <f>IF('Transfer Definitions'!C34="y",'Population Definitions'!$A$6,"...")</f>
        <v>...</v>
      </c>
      <c r="B315" t="str">
        <f>IF('Transfer Definitions'!C34="y","---&gt;","")</f>
        <v/>
      </c>
      <c r="C315" t="str">
        <f>IF('Transfer Definitions'!C34="y",'Population Definitions'!$A$3,"")</f>
        <v/>
      </c>
      <c r="D315" t="str">
        <f t="shared" si="24"/>
        <v/>
      </c>
      <c r="E315" t="str">
        <f t="shared" si="25"/>
        <v/>
      </c>
      <c r="F315" t="str">
        <f t="shared" si="26"/>
        <v/>
      </c>
    </row>
    <row r="316" spans="1:23" x14ac:dyDescent="0.55000000000000004">
      <c r="A316" t="str">
        <f>IF('Transfer Definitions'!D34="y",'Population Definitions'!$A$6,"...")</f>
        <v>...</v>
      </c>
      <c r="B316" t="str">
        <f>IF('Transfer Definitions'!D34="y","---&gt;","")</f>
        <v/>
      </c>
      <c r="C316" t="str">
        <f>IF('Transfer Definitions'!D34="y",'Population Definitions'!$A$4,"")</f>
        <v/>
      </c>
      <c r="D316" t="str">
        <f t="shared" si="24"/>
        <v/>
      </c>
      <c r="E316" t="str">
        <f t="shared" si="25"/>
        <v/>
      </c>
      <c r="F316" t="str">
        <f t="shared" si="26"/>
        <v/>
      </c>
    </row>
    <row r="317" spans="1:23" x14ac:dyDescent="0.55000000000000004">
      <c r="A317" t="str">
        <f>IF('Transfer Definitions'!E34="y",'Population Definitions'!$A$6,"...")</f>
        <v>...</v>
      </c>
      <c r="B317" t="str">
        <f>IF('Transfer Definitions'!E34="y","---&gt;","")</f>
        <v/>
      </c>
      <c r="C317" t="str">
        <f>IF('Transfer Definitions'!E34="y",'Population Definitions'!$A$5,"")</f>
        <v/>
      </c>
      <c r="D317" t="str">
        <f t="shared" si="24"/>
        <v/>
      </c>
      <c r="E317" t="str">
        <f t="shared" si="25"/>
        <v/>
      </c>
      <c r="F317" t="str">
        <f t="shared" si="26"/>
        <v/>
      </c>
    </row>
    <row r="318" spans="1:23" x14ac:dyDescent="0.55000000000000004">
      <c r="A318" t="str">
        <f>IF('Transfer Definitions'!G34="y",'Population Definitions'!$A$6,"...")</f>
        <v>...</v>
      </c>
      <c r="B318" t="str">
        <f>IF('Transfer Definitions'!G34="y","---&gt;","")</f>
        <v/>
      </c>
      <c r="C318" t="str">
        <f>IF('Transfer Definitions'!G34="y",'Population Definitions'!$A$7,"")</f>
        <v/>
      </c>
      <c r="D318" t="str">
        <f t="shared" si="24"/>
        <v/>
      </c>
      <c r="E318" t="str">
        <f t="shared" si="25"/>
        <v/>
      </c>
      <c r="F318" t="str">
        <f t="shared" si="26"/>
        <v/>
      </c>
    </row>
    <row r="319" spans="1:23" x14ac:dyDescent="0.55000000000000004">
      <c r="A319" t="str">
        <f>IF('Transfer Definitions'!H34="y",'Population Definitions'!$A$6,"...")</f>
        <v>...</v>
      </c>
      <c r="B319" t="str">
        <f>IF('Transfer Definitions'!H34="y","---&gt;","")</f>
        <v/>
      </c>
      <c r="C319" t="str">
        <f>IF('Transfer Definitions'!H34="y",'Population Definitions'!$A$8,"")</f>
        <v/>
      </c>
      <c r="D319" t="str">
        <f t="shared" si="24"/>
        <v/>
      </c>
      <c r="E319" t="str">
        <f t="shared" si="25"/>
        <v/>
      </c>
      <c r="F319" t="str">
        <f t="shared" si="26"/>
        <v/>
      </c>
    </row>
    <row r="320" spans="1:23" x14ac:dyDescent="0.55000000000000004">
      <c r="A320" s="1" t="str">
        <f>IF('Transfer Definitions'!I34="y",'Population Definitions'!$A$6,"...")</f>
        <v>PLHIV 15-64</v>
      </c>
      <c r="B320" s="1" t="str">
        <f>IF('Transfer Definitions'!I34="y","---&gt;","")</f>
        <v>---&gt;</v>
      </c>
      <c r="C320" s="1" t="str">
        <f>IF('Transfer Definitions'!I34="y",'Population Definitions'!$A$9,"")</f>
        <v>PLHIV Prisoners</v>
      </c>
      <c r="D320" s="1" t="str">
        <f t="shared" si="24"/>
        <v>Fraction</v>
      </c>
      <c r="E320" s="5" t="str">
        <f>E297</f>
        <v>N.A.</v>
      </c>
      <c r="F320" s="1" t="str">
        <f t="shared" si="26"/>
        <v>OR</v>
      </c>
      <c r="G320" s="13">
        <f t="shared" ref="G320:M320" si="27">G321*0.81</f>
        <v>5.1436072320663569E-4</v>
      </c>
      <c r="H320" s="13">
        <f t="shared" si="27"/>
        <v>5.254258574274018E-4</v>
      </c>
      <c r="I320" s="13">
        <f t="shared" si="27"/>
        <v>5.3856288562520742E-4</v>
      </c>
      <c r="J320" s="13">
        <f t="shared" si="27"/>
        <v>5.5282396551509043E-4</v>
      </c>
      <c r="K320" s="13">
        <f t="shared" si="27"/>
        <v>5.6972605718018615E-4</v>
      </c>
      <c r="L320" s="13">
        <f t="shared" si="27"/>
        <v>5.8831085951064645E-4</v>
      </c>
      <c r="M320" s="13">
        <f t="shared" si="27"/>
        <v>9.2673204390248841E-4</v>
      </c>
      <c r="N320" s="13">
        <f t="shared" ref="N320:S320" si="28">N321</f>
        <v>1.0552637939818532E-3</v>
      </c>
      <c r="O320" s="13">
        <f t="shared" si="28"/>
        <v>9.8407372740078676E-4</v>
      </c>
      <c r="P320" s="13">
        <f t="shared" si="28"/>
        <v>9.3850673787453499E-4</v>
      </c>
      <c r="Q320" s="13">
        <f t="shared" si="28"/>
        <v>7.0799714159417468E-4</v>
      </c>
      <c r="R320" s="13">
        <f t="shared" si="28"/>
        <v>6.7701807199162917E-4</v>
      </c>
      <c r="S320" s="13">
        <f t="shared" si="28"/>
        <v>6.4873358669562218E-4</v>
      </c>
      <c r="T320" s="13">
        <f>T321*0.9</f>
        <v>5.6109858286107386E-4</v>
      </c>
      <c r="U320" s="13">
        <f>U321*0.9</f>
        <v>5.4139934693126369E-4</v>
      </c>
      <c r="V320" s="8"/>
      <c r="W320" s="8"/>
    </row>
    <row r="321" spans="1:23" x14ac:dyDescent="0.55000000000000004">
      <c r="A321" t="str">
        <f>IF('Transfer Definitions'!J34="y",'Population Definitions'!$A$6,"...")</f>
        <v>...</v>
      </c>
      <c r="B321" t="str">
        <f>IF('Transfer Definitions'!J34="y","---&gt;","")</f>
        <v/>
      </c>
      <c r="C321" t="str">
        <f>IF('Transfer Definitions'!J34="y",'Population Definitions'!$A$10,"")</f>
        <v/>
      </c>
      <c r="D321" t="str">
        <f t="shared" si="24"/>
        <v/>
      </c>
      <c r="E321" t="str">
        <f t="shared" si="25"/>
        <v/>
      </c>
      <c r="F321" t="str">
        <f t="shared" si="26"/>
        <v/>
      </c>
      <c r="G321">
        <v>6.3501323852671067E-4</v>
      </c>
      <c r="H321">
        <v>6.4867389805852067E-4</v>
      </c>
      <c r="I321">
        <v>6.6489245138914496E-4</v>
      </c>
      <c r="J321">
        <v>6.8249872285813633E-4</v>
      </c>
      <c r="K321">
        <v>7.0336550269158775E-4</v>
      </c>
      <c r="L321">
        <v>7.2630970309956345E-4</v>
      </c>
      <c r="M321">
        <v>1.1441136344475164E-3</v>
      </c>
      <c r="N321">
        <v>1.0552637939818532E-3</v>
      </c>
      <c r="O321">
        <v>9.8407372740078676E-4</v>
      </c>
      <c r="P321">
        <v>9.3850673787453499E-4</v>
      </c>
      <c r="Q321">
        <v>7.0799714159417468E-4</v>
      </c>
      <c r="R321">
        <v>6.7701807199162917E-4</v>
      </c>
      <c r="S321">
        <v>6.4873358669562218E-4</v>
      </c>
      <c r="T321">
        <v>6.2344286984563756E-4</v>
      </c>
      <c r="U321">
        <v>6.0155482992362626E-4</v>
      </c>
    </row>
    <row r="322" spans="1:23" x14ac:dyDescent="0.55000000000000004">
      <c r="A322" s="1" t="str">
        <f>IF('Transfer Definitions'!K34="y",'Population Definitions'!$A$6,"...")</f>
        <v>PLHIV 15-64</v>
      </c>
      <c r="B322" s="1" t="str">
        <f>IF('Transfer Definitions'!K34="y","---&gt;","")</f>
        <v>---&gt;</v>
      </c>
      <c r="C322" s="1" t="str">
        <f>IF('Transfer Definitions'!K34="y",'Population Definitions'!$A$11,"")</f>
        <v>PLHIV HCW</v>
      </c>
      <c r="D322" s="1" t="str">
        <f t="shared" si="24"/>
        <v>Fraction</v>
      </c>
      <c r="E322" s="5" t="str">
        <f>E299</f>
        <v>N.A.</v>
      </c>
      <c r="F322" s="1" t="str">
        <f t="shared" si="26"/>
        <v>OR</v>
      </c>
      <c r="G322" s="8">
        <v>1E-4</v>
      </c>
      <c r="H322" s="5"/>
      <c r="I322" s="5"/>
      <c r="J322" s="5"/>
      <c r="K322" s="5"/>
      <c r="L322" s="5"/>
      <c r="M322" s="5"/>
      <c r="N322" s="8"/>
      <c r="O322" s="5"/>
      <c r="P322" s="5"/>
      <c r="Q322" s="8">
        <v>3.5E-4</v>
      </c>
      <c r="R322" s="5"/>
      <c r="S322" s="5"/>
      <c r="T322" s="8"/>
      <c r="U322" s="5"/>
      <c r="V322" s="5"/>
      <c r="W322" s="8">
        <v>1.4999999999999999E-4</v>
      </c>
    </row>
    <row r="323" spans="1:23" x14ac:dyDescent="0.55000000000000004">
      <c r="A323" t="str">
        <f>IF('Transfer Definitions'!L34="y",'Population Definitions'!$A$6,"...")</f>
        <v>...</v>
      </c>
      <c r="B323" t="str">
        <f>IF('Transfer Definitions'!L34="y","---&gt;","")</f>
        <v/>
      </c>
      <c r="C323" t="str">
        <f>IF('Transfer Definitions'!L34="y",'Population Definitions'!$A$12,"")</f>
        <v/>
      </c>
      <c r="D323" t="str">
        <f t="shared" si="24"/>
        <v/>
      </c>
      <c r="E323" t="str">
        <f t="shared" si="25"/>
        <v/>
      </c>
      <c r="F323" t="str">
        <f t="shared" si="26"/>
        <v/>
      </c>
    </row>
    <row r="324" spans="1:23" x14ac:dyDescent="0.55000000000000004">
      <c r="A324" s="1" t="str">
        <f>IF('Transfer Definitions'!M34="y",'Population Definitions'!$A$6,"...")</f>
        <v>PLHIV 15-64</v>
      </c>
      <c r="B324" s="1" t="str">
        <f>IF('Transfer Definitions'!M34="y","---&gt;","")</f>
        <v>---&gt;</v>
      </c>
      <c r="C324" s="1" t="str">
        <f>IF('Transfer Definitions'!M34="y",'Population Definitions'!$A$13,"")</f>
        <v>PLHIV Miners</v>
      </c>
      <c r="D324" s="1" t="str">
        <f t="shared" si="24"/>
        <v>Fraction</v>
      </c>
      <c r="E324" s="5" t="str">
        <f t="shared" si="25"/>
        <v>N.A.</v>
      </c>
      <c r="F324" s="1" t="str">
        <f t="shared" si="26"/>
        <v>OR</v>
      </c>
      <c r="G324" s="8">
        <v>0</v>
      </c>
      <c r="H324" s="5"/>
      <c r="I324" s="5"/>
      <c r="J324" s="5"/>
      <c r="K324" s="5"/>
      <c r="L324" s="5"/>
      <c r="M324" s="5"/>
      <c r="N324" s="8"/>
      <c r="O324" s="5"/>
      <c r="P324" s="5"/>
      <c r="Q324" s="8"/>
      <c r="R324" s="5"/>
      <c r="S324" s="5"/>
      <c r="T324" s="8"/>
      <c r="U324" s="5"/>
      <c r="V324" s="5"/>
      <c r="W324" s="8"/>
    </row>
    <row r="325" spans="1:23" x14ac:dyDescent="0.55000000000000004">
      <c r="A325" t="str">
        <f>IF('Transfer Definitions'!B35="y",'Population Definitions'!$A$7,"...")</f>
        <v>...</v>
      </c>
      <c r="B325" t="str">
        <f>IF('Transfer Definitions'!B35="y","---&gt;","")</f>
        <v/>
      </c>
      <c r="C325" t="str">
        <f>IF('Transfer Definitions'!B35="y",'Population Definitions'!$A$2,"")</f>
        <v/>
      </c>
      <c r="D325" t="str">
        <f t="shared" si="24"/>
        <v/>
      </c>
      <c r="E325" t="str">
        <f t="shared" si="25"/>
        <v/>
      </c>
      <c r="F325" t="str">
        <f t="shared" si="26"/>
        <v/>
      </c>
    </row>
    <row r="326" spans="1:23" x14ac:dyDescent="0.55000000000000004">
      <c r="A326" t="str">
        <f>IF('Transfer Definitions'!C35="y",'Population Definitions'!$A$7,"...")</f>
        <v>...</v>
      </c>
      <c r="B326" t="str">
        <f>IF('Transfer Definitions'!C35="y","---&gt;","")</f>
        <v/>
      </c>
      <c r="C326" t="str">
        <f>IF('Transfer Definitions'!C35="y",'Population Definitions'!$A$3,"")</f>
        <v/>
      </c>
      <c r="D326" t="str">
        <f t="shared" si="24"/>
        <v/>
      </c>
      <c r="E326" t="str">
        <f t="shared" si="25"/>
        <v/>
      </c>
      <c r="F326" t="str">
        <f t="shared" si="26"/>
        <v/>
      </c>
    </row>
    <row r="327" spans="1:23" x14ac:dyDescent="0.55000000000000004">
      <c r="A327" t="str">
        <f>IF('Transfer Definitions'!D35="y",'Population Definitions'!$A$7,"...")</f>
        <v>...</v>
      </c>
      <c r="B327" t="str">
        <f>IF('Transfer Definitions'!D35="y","---&gt;","")</f>
        <v/>
      </c>
      <c r="C327" t="str">
        <f>IF('Transfer Definitions'!D35="y",'Population Definitions'!$A$4,"")</f>
        <v/>
      </c>
      <c r="D327" t="str">
        <f t="shared" si="24"/>
        <v/>
      </c>
      <c r="E327" t="str">
        <f t="shared" si="25"/>
        <v/>
      </c>
      <c r="F327" t="str">
        <f t="shared" si="26"/>
        <v/>
      </c>
    </row>
    <row r="328" spans="1:23" x14ac:dyDescent="0.55000000000000004">
      <c r="A328" t="str">
        <f>IF('Transfer Definitions'!E35="y",'Population Definitions'!$A$7,"...")</f>
        <v>...</v>
      </c>
      <c r="B328" t="str">
        <f>IF('Transfer Definitions'!E35="y","---&gt;","")</f>
        <v/>
      </c>
      <c r="C328" t="str">
        <f>IF('Transfer Definitions'!E35="y",'Population Definitions'!$A$5,"")</f>
        <v/>
      </c>
      <c r="D328" t="str">
        <f t="shared" si="24"/>
        <v/>
      </c>
      <c r="E328" t="str">
        <f t="shared" si="25"/>
        <v/>
      </c>
      <c r="F328" t="str">
        <f t="shared" si="26"/>
        <v/>
      </c>
    </row>
    <row r="329" spans="1:23" x14ac:dyDescent="0.55000000000000004">
      <c r="A329" t="str">
        <f>IF('Transfer Definitions'!F35="y",'Population Definitions'!$A$7,"...")</f>
        <v>...</v>
      </c>
      <c r="B329" t="str">
        <f>IF('Transfer Definitions'!F35="y","---&gt;","")</f>
        <v/>
      </c>
      <c r="C329" t="str">
        <f>IF('Transfer Definitions'!F35="y",'Population Definitions'!$A$6,"")</f>
        <v/>
      </c>
      <c r="D329" t="str">
        <f t="shared" si="24"/>
        <v/>
      </c>
      <c r="E329" t="str">
        <f t="shared" si="25"/>
        <v/>
      </c>
      <c r="F329" t="str">
        <f t="shared" si="26"/>
        <v/>
      </c>
    </row>
    <row r="330" spans="1:23" x14ac:dyDescent="0.55000000000000004">
      <c r="A330" t="str">
        <f>IF('Transfer Definitions'!H35="y",'Population Definitions'!$A$7,"...")</f>
        <v>...</v>
      </c>
      <c r="B330" t="str">
        <f>IF('Transfer Definitions'!H35="y","---&gt;","")</f>
        <v/>
      </c>
      <c r="C330" t="str">
        <f>IF('Transfer Definitions'!H35="y",'Population Definitions'!$A$8,"")</f>
        <v/>
      </c>
      <c r="D330" t="str">
        <f t="shared" si="24"/>
        <v/>
      </c>
      <c r="E330" t="str">
        <f t="shared" si="25"/>
        <v/>
      </c>
      <c r="F330" t="str">
        <f t="shared" si="26"/>
        <v/>
      </c>
    </row>
    <row r="331" spans="1:23" x14ac:dyDescent="0.55000000000000004">
      <c r="A331" t="str">
        <f>IF('Transfer Definitions'!I35="y",'Population Definitions'!$A$7,"...")</f>
        <v>...</v>
      </c>
      <c r="B331" t="str">
        <f>IF('Transfer Definitions'!I35="y","---&gt;","")</f>
        <v/>
      </c>
      <c r="C331" t="str">
        <f>IF('Transfer Definitions'!I35="y",'Population Definitions'!$A$9,"")</f>
        <v/>
      </c>
      <c r="D331" t="str">
        <f t="shared" si="24"/>
        <v/>
      </c>
      <c r="E331" t="str">
        <f t="shared" si="25"/>
        <v/>
      </c>
      <c r="F331" t="str">
        <f t="shared" si="26"/>
        <v/>
      </c>
    </row>
    <row r="332" spans="1:23" x14ac:dyDescent="0.55000000000000004">
      <c r="A332" t="str">
        <f>IF('Transfer Definitions'!J35="y",'Population Definitions'!$A$7,"...")</f>
        <v>...</v>
      </c>
      <c r="B332" t="str">
        <f>IF('Transfer Definitions'!J35="y","---&gt;","")</f>
        <v/>
      </c>
      <c r="C332" t="str">
        <f>IF('Transfer Definitions'!J35="y",'Population Definitions'!$A$10,"")</f>
        <v/>
      </c>
      <c r="D332" t="str">
        <f t="shared" si="24"/>
        <v/>
      </c>
      <c r="E332" t="str">
        <f t="shared" si="25"/>
        <v/>
      </c>
      <c r="F332" t="str">
        <f t="shared" si="26"/>
        <v/>
      </c>
    </row>
    <row r="333" spans="1:23" x14ac:dyDescent="0.55000000000000004">
      <c r="A333" t="str">
        <f>IF('Transfer Definitions'!K35="y",'Population Definitions'!$A$7,"...")</f>
        <v>...</v>
      </c>
      <c r="B333" t="str">
        <f>IF('Transfer Definitions'!K35="y","---&gt;","")</f>
        <v/>
      </c>
      <c r="C333" t="str">
        <f>IF('Transfer Definitions'!K35="y",'Population Definitions'!$A$11,"")</f>
        <v/>
      </c>
      <c r="D333" t="str">
        <f t="shared" si="24"/>
        <v/>
      </c>
      <c r="E333" t="str">
        <f t="shared" si="25"/>
        <v/>
      </c>
      <c r="F333" t="str">
        <f t="shared" si="26"/>
        <v/>
      </c>
    </row>
    <row r="334" spans="1:23" x14ac:dyDescent="0.55000000000000004">
      <c r="A334" t="str">
        <f>IF('Transfer Definitions'!L35="y",'Population Definitions'!$A$7,"...")</f>
        <v>...</v>
      </c>
      <c r="B334" t="str">
        <f>IF('Transfer Definitions'!L35="y","---&gt;","")</f>
        <v/>
      </c>
      <c r="C334" t="str">
        <f>IF('Transfer Definitions'!L35="y",'Population Definitions'!$A$12,"")</f>
        <v/>
      </c>
      <c r="D334" t="str">
        <f t="shared" ref="D334:D365" si="29">IF(A334&lt;&gt;"...","Fraction","")</f>
        <v/>
      </c>
      <c r="E334" t="str">
        <f t="shared" ref="E334:E365" si="30">IF(A334&lt;&gt;"...",IF(SUMPRODUCT(--(G334:W334&lt;&gt;""))=0,0,"N.A."),"")</f>
        <v/>
      </c>
      <c r="F334" t="str">
        <f t="shared" ref="F334:F365" si="31">IF(A334&lt;&gt;"...","OR","")</f>
        <v/>
      </c>
    </row>
    <row r="335" spans="1:23" x14ac:dyDescent="0.55000000000000004">
      <c r="A335" t="str">
        <f>IF('Transfer Definitions'!M35="y",'Population Definitions'!$A$7,"...")</f>
        <v>...</v>
      </c>
      <c r="B335" t="str">
        <f>IF('Transfer Definitions'!M35="y","---&gt;","")</f>
        <v/>
      </c>
      <c r="C335" t="str">
        <f>IF('Transfer Definitions'!M35="y",'Population Definitions'!$A$13,"")</f>
        <v/>
      </c>
      <c r="D335" t="str">
        <f t="shared" si="29"/>
        <v/>
      </c>
      <c r="E335" t="str">
        <f t="shared" si="30"/>
        <v/>
      </c>
      <c r="F335" t="str">
        <f t="shared" si="31"/>
        <v/>
      </c>
    </row>
    <row r="336" spans="1:23" x14ac:dyDescent="0.55000000000000004">
      <c r="A336" t="str">
        <f>IF('Transfer Definitions'!B36="y",'Population Definitions'!$A$8,"...")</f>
        <v>...</v>
      </c>
      <c r="B336" t="str">
        <f>IF('Transfer Definitions'!B36="y","---&gt;","")</f>
        <v/>
      </c>
      <c r="C336" t="str">
        <f>IF('Transfer Definitions'!B36="y",'Population Definitions'!$A$2,"")</f>
        <v/>
      </c>
      <c r="D336" t="str">
        <f t="shared" si="29"/>
        <v/>
      </c>
      <c r="E336" t="str">
        <f t="shared" si="30"/>
        <v/>
      </c>
      <c r="F336" t="str">
        <f t="shared" si="31"/>
        <v/>
      </c>
    </row>
    <row r="337" spans="1:23" x14ac:dyDescent="0.55000000000000004">
      <c r="A337" t="str">
        <f>IF('Transfer Definitions'!C36="y",'Population Definitions'!$A$8,"...")</f>
        <v>...</v>
      </c>
      <c r="B337" t="str">
        <f>IF('Transfer Definitions'!C36="y","---&gt;","")</f>
        <v/>
      </c>
      <c r="C337" t="str">
        <f>IF('Transfer Definitions'!C36="y",'Population Definitions'!$A$3,"")</f>
        <v/>
      </c>
      <c r="D337" t="str">
        <f t="shared" si="29"/>
        <v/>
      </c>
      <c r="E337" t="str">
        <f t="shared" si="30"/>
        <v/>
      </c>
      <c r="F337" t="str">
        <f t="shared" si="31"/>
        <v/>
      </c>
    </row>
    <row r="338" spans="1:23" x14ac:dyDescent="0.55000000000000004">
      <c r="A338" s="1" t="str">
        <f>IF('Transfer Definitions'!D36="y",'Population Definitions'!$A$8,"...")</f>
        <v>Prisoners</v>
      </c>
      <c r="B338" s="1" t="str">
        <f>IF('Transfer Definitions'!D36="y","---&gt;","")</f>
        <v>---&gt;</v>
      </c>
      <c r="C338" s="1" t="str">
        <f>IF('Transfer Definitions'!D36="y",'Population Definitions'!$A$4,"")</f>
        <v>Gen 15-64</v>
      </c>
      <c r="D338" s="1" t="str">
        <f t="shared" si="29"/>
        <v>Fraction</v>
      </c>
      <c r="E338" s="5" t="str">
        <f>IF(A338&lt;&gt;"...",IF(SUMPRODUCT(--(G338:W338&lt;&gt;""))=0,0.01,"N.A."),"")</f>
        <v>N.A.</v>
      </c>
      <c r="F338" s="1" t="str">
        <f t="shared" si="31"/>
        <v>OR</v>
      </c>
      <c r="G338" s="5">
        <v>8.834303521797926E-2</v>
      </c>
      <c r="H338" s="5">
        <v>8.6643739739763817E-2</v>
      </c>
      <c r="I338" s="5">
        <v>8.5008583097137394E-2</v>
      </c>
      <c r="J338" s="5">
        <v>8.343400123184723E-2</v>
      </c>
      <c r="K338" s="5">
        <v>8.1916689346271374E-2</v>
      </c>
      <c r="L338" s="5">
        <v>8.0453578750201857E-2</v>
      </c>
      <c r="M338" s="5">
        <v>7.9041816145319924E-2</v>
      </c>
      <c r="N338" s="5">
        <v>7.7678745053098963E-2</v>
      </c>
      <c r="O338" s="5">
        <v>7.4405109775470726E-2</v>
      </c>
      <c r="P338" s="5">
        <v>6.7338442666529982E-2</v>
      </c>
      <c r="Q338" s="5">
        <v>6.4721181243661136E-2</v>
      </c>
      <c r="R338" s="5">
        <v>6.2299759672447087E-2</v>
      </c>
      <c r="S338" s="5">
        <v>6.0052989728656747E-2</v>
      </c>
      <c r="T338" s="5">
        <v>5.7962633311986513E-2</v>
      </c>
      <c r="U338" s="5">
        <v>5.6012906269811064E-2</v>
      </c>
      <c r="V338" s="5">
        <v>5.4190079103271234E-2</v>
      </c>
      <c r="W338" s="5"/>
    </row>
    <row r="339" spans="1:23" x14ac:dyDescent="0.55000000000000004">
      <c r="A339" t="str">
        <f>IF('Transfer Definitions'!E36="y",'Population Definitions'!$A$8,"...")</f>
        <v>...</v>
      </c>
      <c r="B339" t="str">
        <f>IF('Transfer Definitions'!E36="y","---&gt;","")</f>
        <v/>
      </c>
      <c r="C339" t="str">
        <f>IF('Transfer Definitions'!E36="y",'Population Definitions'!$A$5,"")</f>
        <v/>
      </c>
      <c r="D339" t="str">
        <f t="shared" si="29"/>
        <v/>
      </c>
      <c r="E339" t="str">
        <f t="shared" si="30"/>
        <v/>
      </c>
      <c r="F339" t="str">
        <f t="shared" si="31"/>
        <v/>
      </c>
    </row>
    <row r="340" spans="1:23" x14ac:dyDescent="0.55000000000000004">
      <c r="A340" t="str">
        <f>IF('Transfer Definitions'!F36="y",'Population Definitions'!$A$8,"...")</f>
        <v>...</v>
      </c>
      <c r="B340" t="str">
        <f>IF('Transfer Definitions'!F36="y","---&gt;","")</f>
        <v/>
      </c>
      <c r="C340" t="str">
        <f>IF('Transfer Definitions'!F36="y",'Population Definitions'!$A$6,"")</f>
        <v/>
      </c>
      <c r="D340" t="str">
        <f t="shared" si="29"/>
        <v/>
      </c>
      <c r="E340" t="str">
        <f t="shared" si="30"/>
        <v/>
      </c>
      <c r="F340" t="str">
        <f t="shared" si="31"/>
        <v/>
      </c>
    </row>
    <row r="341" spans="1:23" x14ac:dyDescent="0.55000000000000004">
      <c r="A341" t="str">
        <f>IF('Transfer Definitions'!G36="y",'Population Definitions'!$A$8,"...")</f>
        <v>...</v>
      </c>
      <c r="B341" t="str">
        <f>IF('Transfer Definitions'!G36="y","---&gt;","")</f>
        <v/>
      </c>
      <c r="C341" t="str">
        <f>IF('Transfer Definitions'!G36="y",'Population Definitions'!$A$7,"")</f>
        <v/>
      </c>
      <c r="D341" t="str">
        <f t="shared" si="29"/>
        <v/>
      </c>
      <c r="E341" t="str">
        <f t="shared" si="30"/>
        <v/>
      </c>
      <c r="F341" t="str">
        <f t="shared" si="31"/>
        <v/>
      </c>
    </row>
    <row r="342" spans="1:23" x14ac:dyDescent="0.55000000000000004">
      <c r="A342" t="str">
        <f>IF('Transfer Definitions'!I36="y",'Population Definitions'!$A$8,"...")</f>
        <v>...</v>
      </c>
      <c r="B342" t="str">
        <f>IF('Transfer Definitions'!I36="y","---&gt;","")</f>
        <v/>
      </c>
      <c r="C342" t="str">
        <f>IF('Transfer Definitions'!I36="y",'Population Definitions'!$A$9,"")</f>
        <v/>
      </c>
      <c r="D342" t="str">
        <f t="shared" si="29"/>
        <v/>
      </c>
      <c r="E342" t="str">
        <f t="shared" si="30"/>
        <v/>
      </c>
      <c r="F342" t="str">
        <f t="shared" si="31"/>
        <v/>
      </c>
    </row>
    <row r="343" spans="1:23" x14ac:dyDescent="0.55000000000000004">
      <c r="A343" t="str">
        <f>IF('Transfer Definitions'!J36="y",'Population Definitions'!$A$8,"...")</f>
        <v>...</v>
      </c>
      <c r="B343" t="str">
        <f>IF('Transfer Definitions'!J36="y","---&gt;","")</f>
        <v/>
      </c>
      <c r="C343" t="str">
        <f>IF('Transfer Definitions'!J36="y",'Population Definitions'!$A$10,"")</f>
        <v/>
      </c>
      <c r="D343" t="str">
        <f t="shared" si="29"/>
        <v/>
      </c>
      <c r="E343" t="str">
        <f t="shared" si="30"/>
        <v/>
      </c>
      <c r="F343" t="str">
        <f t="shared" si="31"/>
        <v/>
      </c>
    </row>
    <row r="344" spans="1:23" x14ac:dyDescent="0.55000000000000004">
      <c r="A344" t="str">
        <f>IF('Transfer Definitions'!K36="y",'Population Definitions'!$A$8,"...")</f>
        <v>...</v>
      </c>
      <c r="B344" t="str">
        <f>IF('Transfer Definitions'!K36="y","---&gt;","")</f>
        <v/>
      </c>
      <c r="C344" t="str">
        <f>IF('Transfer Definitions'!K36="y",'Population Definitions'!$A$11,"")</f>
        <v/>
      </c>
      <c r="D344" t="str">
        <f t="shared" si="29"/>
        <v/>
      </c>
      <c r="E344" t="str">
        <f t="shared" si="30"/>
        <v/>
      </c>
      <c r="F344" t="str">
        <f t="shared" si="31"/>
        <v/>
      </c>
    </row>
    <row r="345" spans="1:23" x14ac:dyDescent="0.55000000000000004">
      <c r="A345" t="str">
        <f>IF('Transfer Definitions'!L36="y",'Population Definitions'!$A$8,"...")</f>
        <v>...</v>
      </c>
      <c r="B345" t="str">
        <f>IF('Transfer Definitions'!L36="y","---&gt;","")</f>
        <v/>
      </c>
      <c r="C345" t="str">
        <f>IF('Transfer Definitions'!L36="y",'Population Definitions'!$A$12,"")</f>
        <v/>
      </c>
      <c r="D345" t="str">
        <f t="shared" si="29"/>
        <v/>
      </c>
      <c r="E345" t="str">
        <f t="shared" si="30"/>
        <v/>
      </c>
      <c r="F345" t="str">
        <f t="shared" si="31"/>
        <v/>
      </c>
    </row>
    <row r="346" spans="1:23" x14ac:dyDescent="0.55000000000000004">
      <c r="A346" t="str">
        <f>IF('Transfer Definitions'!M36="y",'Population Definitions'!$A$8,"...")</f>
        <v>...</v>
      </c>
      <c r="B346" t="str">
        <f>IF('Transfer Definitions'!M36="y","---&gt;","")</f>
        <v/>
      </c>
      <c r="C346" t="str">
        <f>IF('Transfer Definitions'!M36="y",'Population Definitions'!$A$13,"")</f>
        <v/>
      </c>
      <c r="D346" t="str">
        <f t="shared" si="29"/>
        <v/>
      </c>
      <c r="E346" t="str">
        <f t="shared" si="30"/>
        <v/>
      </c>
      <c r="F346" t="str">
        <f t="shared" si="31"/>
        <v/>
      </c>
    </row>
    <row r="347" spans="1:23" x14ac:dyDescent="0.55000000000000004">
      <c r="A347" t="str">
        <f>IF('Transfer Definitions'!B37="y",'Population Definitions'!$A$9,"...")</f>
        <v>...</v>
      </c>
      <c r="B347" t="str">
        <f>IF('Transfer Definitions'!B37="y","---&gt;","")</f>
        <v/>
      </c>
      <c r="C347" t="str">
        <f>IF('Transfer Definitions'!B37="y",'Population Definitions'!$A$2,"")</f>
        <v/>
      </c>
      <c r="D347" t="str">
        <f t="shared" si="29"/>
        <v/>
      </c>
      <c r="E347" t="str">
        <f t="shared" si="30"/>
        <v/>
      </c>
      <c r="F347" t="str">
        <f t="shared" si="31"/>
        <v/>
      </c>
    </row>
    <row r="348" spans="1:23" x14ac:dyDescent="0.55000000000000004">
      <c r="A348" t="str">
        <f>IF('Transfer Definitions'!C37="y",'Population Definitions'!$A$9,"...")</f>
        <v>...</v>
      </c>
      <c r="B348" t="str">
        <f>IF('Transfer Definitions'!C37="y","---&gt;","")</f>
        <v/>
      </c>
      <c r="C348" t="str">
        <f>IF('Transfer Definitions'!C37="y",'Population Definitions'!$A$3,"")</f>
        <v/>
      </c>
      <c r="D348" t="str">
        <f t="shared" si="29"/>
        <v/>
      </c>
      <c r="E348" t="str">
        <f t="shared" si="30"/>
        <v/>
      </c>
      <c r="F348" t="str">
        <f t="shared" si="31"/>
        <v/>
      </c>
    </row>
    <row r="349" spans="1:23" x14ac:dyDescent="0.55000000000000004">
      <c r="A349" t="str">
        <f>IF('Transfer Definitions'!D37="y",'Population Definitions'!$A$9,"...")</f>
        <v>...</v>
      </c>
      <c r="B349" t="str">
        <f>IF('Transfer Definitions'!D37="y","---&gt;","")</f>
        <v/>
      </c>
      <c r="C349" t="str">
        <f>IF('Transfer Definitions'!D37="y",'Population Definitions'!$A$4,"")</f>
        <v/>
      </c>
      <c r="D349" t="str">
        <f t="shared" si="29"/>
        <v/>
      </c>
      <c r="E349" t="str">
        <f t="shared" si="30"/>
        <v/>
      </c>
      <c r="F349" t="str">
        <f t="shared" si="31"/>
        <v/>
      </c>
    </row>
    <row r="350" spans="1:23" x14ac:dyDescent="0.55000000000000004">
      <c r="A350" t="str">
        <f>IF('Transfer Definitions'!E37="y",'Population Definitions'!$A$9,"...")</f>
        <v>...</v>
      </c>
      <c r="B350" t="str">
        <f>IF('Transfer Definitions'!E37="y","---&gt;","")</f>
        <v/>
      </c>
      <c r="C350" t="str">
        <f>IF('Transfer Definitions'!E37="y",'Population Definitions'!$A$5,"")</f>
        <v/>
      </c>
      <c r="D350" t="str">
        <f t="shared" si="29"/>
        <v/>
      </c>
      <c r="E350" t="str">
        <f t="shared" si="30"/>
        <v/>
      </c>
      <c r="F350" t="str">
        <f t="shared" si="31"/>
        <v/>
      </c>
    </row>
    <row r="351" spans="1:23" x14ac:dyDescent="0.55000000000000004">
      <c r="A351" s="1" t="str">
        <f>IF('Transfer Definitions'!F37="y",'Population Definitions'!$A$9,"...")</f>
        <v>PLHIV Prisoners</v>
      </c>
      <c r="B351" s="1" t="str">
        <f>IF('Transfer Definitions'!F37="y","---&gt;","")</f>
        <v>---&gt;</v>
      </c>
      <c r="C351" s="1" t="str">
        <f>IF('Transfer Definitions'!F37="y",'Population Definitions'!$A$6,"")</f>
        <v>PLHIV 15-64</v>
      </c>
      <c r="D351" s="1" t="str">
        <f t="shared" si="29"/>
        <v>Fraction</v>
      </c>
      <c r="E351" s="5" t="str">
        <f>IF(A351&lt;&gt;"...",IF(SUMPRODUCT(--(G351:W351&lt;&gt;""))=0,0.01,"N.A."),"")</f>
        <v>N.A.</v>
      </c>
      <c r="F351" s="1" t="str">
        <f t="shared" si="31"/>
        <v>OR</v>
      </c>
      <c r="G351" s="5">
        <f>G352*1.2</f>
        <v>0.10601164226157511</v>
      </c>
      <c r="H351" s="5">
        <f t="shared" ref="H351:V351" si="32">H352*1.2</f>
        <v>0.10397248768771657</v>
      </c>
      <c r="I351" s="5">
        <f t="shared" si="32"/>
        <v>0.10201029971656488</v>
      </c>
      <c r="J351" s="5">
        <f t="shared" si="32"/>
        <v>0.10012080147821666</v>
      </c>
      <c r="K351" s="5">
        <f t="shared" si="32"/>
        <v>9.8300027215525651E-2</v>
      </c>
      <c r="L351" s="5">
        <f t="shared" si="32"/>
        <v>9.6544294500242225E-2</v>
      </c>
      <c r="M351" s="5">
        <f t="shared" si="32"/>
        <v>9.4850179374383892E-2</v>
      </c>
      <c r="N351" s="5">
        <f t="shared" si="32"/>
        <v>9.3214494063718734E-2</v>
      </c>
      <c r="O351" s="5">
        <f t="shared" si="32"/>
        <v>8.9286131730564891E-2</v>
      </c>
      <c r="P351" s="5">
        <f t="shared" si="32"/>
        <v>8.0806131199835998E-2</v>
      </c>
      <c r="Q351" s="5">
        <f t="shared" si="32"/>
        <v>7.7665417492393363E-2</v>
      </c>
      <c r="R351" s="5">
        <f t="shared" si="32"/>
        <v>7.4759711606936508E-2</v>
      </c>
      <c r="S351" s="5">
        <f t="shared" si="32"/>
        <v>7.2063587674388085E-2</v>
      </c>
      <c r="T351" s="5">
        <f t="shared" si="32"/>
        <v>6.9555159974383815E-2</v>
      </c>
      <c r="U351" s="5">
        <f t="shared" si="32"/>
        <v>6.7215487523773279E-2</v>
      </c>
      <c r="V351" s="5">
        <f t="shared" si="32"/>
        <v>6.5028094923925472E-2</v>
      </c>
      <c r="W351" s="5"/>
    </row>
    <row r="352" spans="1:23" x14ac:dyDescent="0.55000000000000004">
      <c r="A352" t="str">
        <f>IF('Transfer Definitions'!G37="y",'Population Definitions'!$A$9,"...")</f>
        <v>...</v>
      </c>
      <c r="B352" t="str">
        <f>IF('Transfer Definitions'!G37="y","---&gt;","")</f>
        <v/>
      </c>
      <c r="C352" t="str">
        <f>IF('Transfer Definitions'!G37="y",'Population Definitions'!$A$7,"")</f>
        <v/>
      </c>
      <c r="D352" t="str">
        <f t="shared" si="29"/>
        <v/>
      </c>
      <c r="E352" t="str">
        <f t="shared" si="30"/>
        <v/>
      </c>
      <c r="F352" t="str">
        <f t="shared" si="31"/>
        <v/>
      </c>
      <c r="G352">
        <v>8.834303521797926E-2</v>
      </c>
      <c r="H352">
        <v>8.6643739739763803E-2</v>
      </c>
      <c r="I352">
        <v>8.5008583097137394E-2</v>
      </c>
      <c r="J352">
        <v>8.3434001231847216E-2</v>
      </c>
      <c r="K352">
        <v>8.1916689346271374E-2</v>
      </c>
      <c r="L352">
        <v>8.0453578750201857E-2</v>
      </c>
      <c r="M352">
        <v>7.904181614531991E-2</v>
      </c>
      <c r="N352">
        <v>7.7678745053098949E-2</v>
      </c>
      <c r="O352">
        <v>7.440510977547074E-2</v>
      </c>
      <c r="P352">
        <v>6.7338442666529996E-2</v>
      </c>
      <c r="Q352">
        <v>6.4721181243661136E-2</v>
      </c>
      <c r="R352">
        <v>6.2299759672447087E-2</v>
      </c>
      <c r="S352">
        <v>6.005298972865674E-2</v>
      </c>
      <c r="T352">
        <v>5.7962633311986519E-2</v>
      </c>
      <c r="U352">
        <v>5.6012906269811064E-2</v>
      </c>
      <c r="V352">
        <v>5.4190079103271234E-2</v>
      </c>
    </row>
    <row r="353" spans="1:6" x14ac:dyDescent="0.55000000000000004">
      <c r="A353" t="str">
        <f>IF('Transfer Definitions'!H37="y",'Population Definitions'!$A$9,"...")</f>
        <v>...</v>
      </c>
      <c r="B353" t="str">
        <f>IF('Transfer Definitions'!H37="y","---&gt;","")</f>
        <v/>
      </c>
      <c r="C353" t="str">
        <f>IF('Transfer Definitions'!H37="y",'Population Definitions'!$A$8,"")</f>
        <v/>
      </c>
      <c r="D353" t="str">
        <f t="shared" si="29"/>
        <v/>
      </c>
      <c r="E353" t="str">
        <f t="shared" si="30"/>
        <v/>
      </c>
      <c r="F353" t="str">
        <f t="shared" si="31"/>
        <v/>
      </c>
    </row>
    <row r="354" spans="1:6" x14ac:dyDescent="0.55000000000000004">
      <c r="A354" t="str">
        <f>IF('Transfer Definitions'!J37="y",'Population Definitions'!$A$9,"...")</f>
        <v>...</v>
      </c>
      <c r="B354" t="str">
        <f>IF('Transfer Definitions'!J37="y","---&gt;","")</f>
        <v/>
      </c>
      <c r="C354" t="str">
        <f>IF('Transfer Definitions'!J37="y",'Population Definitions'!$A$10,"")</f>
        <v/>
      </c>
      <c r="D354" t="str">
        <f t="shared" si="29"/>
        <v/>
      </c>
      <c r="E354" t="str">
        <f t="shared" si="30"/>
        <v/>
      </c>
      <c r="F354" t="str">
        <f t="shared" si="31"/>
        <v/>
      </c>
    </row>
    <row r="355" spans="1:6" x14ac:dyDescent="0.55000000000000004">
      <c r="A355" t="str">
        <f>IF('Transfer Definitions'!K37="y",'Population Definitions'!$A$9,"...")</f>
        <v>...</v>
      </c>
      <c r="B355" t="str">
        <f>IF('Transfer Definitions'!K37="y","---&gt;","")</f>
        <v/>
      </c>
      <c r="C355" t="str">
        <f>IF('Transfer Definitions'!K37="y",'Population Definitions'!$A$11,"")</f>
        <v/>
      </c>
      <c r="D355" t="str">
        <f t="shared" si="29"/>
        <v/>
      </c>
      <c r="E355" t="str">
        <f t="shared" si="30"/>
        <v/>
      </c>
      <c r="F355" t="str">
        <f t="shared" si="31"/>
        <v/>
      </c>
    </row>
    <row r="356" spans="1:6" x14ac:dyDescent="0.55000000000000004">
      <c r="A356" t="str">
        <f>IF('Transfer Definitions'!L37="y",'Population Definitions'!$A$9,"...")</f>
        <v>...</v>
      </c>
      <c r="B356" t="str">
        <f>IF('Transfer Definitions'!L37="y","---&gt;","")</f>
        <v/>
      </c>
      <c r="C356" t="str">
        <f>IF('Transfer Definitions'!L37="y",'Population Definitions'!$A$12,"")</f>
        <v/>
      </c>
      <c r="D356" t="str">
        <f t="shared" si="29"/>
        <v/>
      </c>
      <c r="E356" t="str">
        <f t="shared" si="30"/>
        <v/>
      </c>
      <c r="F356" t="str">
        <f t="shared" si="31"/>
        <v/>
      </c>
    </row>
    <row r="357" spans="1:6" x14ac:dyDescent="0.55000000000000004">
      <c r="A357" t="str">
        <f>IF('Transfer Definitions'!M37="y",'Population Definitions'!$A$9,"...")</f>
        <v>...</v>
      </c>
      <c r="B357" t="str">
        <f>IF('Transfer Definitions'!M37="y","---&gt;","")</f>
        <v/>
      </c>
      <c r="C357" t="str">
        <f>IF('Transfer Definitions'!M37="y",'Population Definitions'!$A$13,"")</f>
        <v/>
      </c>
      <c r="D357" t="str">
        <f t="shared" si="29"/>
        <v/>
      </c>
      <c r="E357" t="str">
        <f t="shared" si="30"/>
        <v/>
      </c>
      <c r="F357" t="str">
        <f t="shared" si="31"/>
        <v/>
      </c>
    </row>
    <row r="358" spans="1:6" x14ac:dyDescent="0.55000000000000004">
      <c r="A358" t="str">
        <f>IF('Transfer Definitions'!B38="y",'Population Definitions'!$A$10,"...")</f>
        <v>...</v>
      </c>
      <c r="B358" t="str">
        <f>IF('Transfer Definitions'!B38="y","---&gt;","")</f>
        <v/>
      </c>
      <c r="C358" t="str">
        <f>IF('Transfer Definitions'!B38="y",'Population Definitions'!$A$2,"")</f>
        <v/>
      </c>
      <c r="D358" t="str">
        <f t="shared" si="29"/>
        <v/>
      </c>
      <c r="E358" t="str">
        <f t="shared" si="30"/>
        <v/>
      </c>
      <c r="F358" t="str">
        <f t="shared" si="31"/>
        <v/>
      </c>
    </row>
    <row r="359" spans="1:6" x14ac:dyDescent="0.55000000000000004">
      <c r="A359" t="str">
        <f>IF('Transfer Definitions'!C38="y",'Population Definitions'!$A$10,"...")</f>
        <v>...</v>
      </c>
      <c r="B359" t="str">
        <f>IF('Transfer Definitions'!C38="y","---&gt;","")</f>
        <v/>
      </c>
      <c r="C359" t="str">
        <f>IF('Transfer Definitions'!C38="y",'Population Definitions'!$A$3,"")</f>
        <v/>
      </c>
      <c r="D359" t="str">
        <f t="shared" si="29"/>
        <v/>
      </c>
      <c r="E359" t="str">
        <f t="shared" si="30"/>
        <v/>
      </c>
      <c r="F359" t="str">
        <f t="shared" si="31"/>
        <v/>
      </c>
    </row>
    <row r="360" spans="1:6" x14ac:dyDescent="0.55000000000000004">
      <c r="A360" t="str">
        <f>IF('Transfer Definitions'!D38="y",'Population Definitions'!$A$10,"...")</f>
        <v>...</v>
      </c>
      <c r="B360" t="str">
        <f>IF('Transfer Definitions'!D38="y","---&gt;","")</f>
        <v/>
      </c>
      <c r="C360" t="str">
        <f>IF('Transfer Definitions'!D38="y",'Population Definitions'!$A$4,"")</f>
        <v/>
      </c>
      <c r="D360" t="str">
        <f t="shared" si="29"/>
        <v/>
      </c>
      <c r="E360" t="str">
        <f t="shared" si="30"/>
        <v/>
      </c>
      <c r="F360" t="str">
        <f t="shared" si="31"/>
        <v/>
      </c>
    </row>
    <row r="361" spans="1:6" x14ac:dyDescent="0.55000000000000004">
      <c r="A361" t="str">
        <f>IF('Transfer Definitions'!E38="y",'Population Definitions'!$A$10,"...")</f>
        <v>...</v>
      </c>
      <c r="B361" t="str">
        <f>IF('Transfer Definitions'!E38="y","---&gt;","")</f>
        <v/>
      </c>
      <c r="C361" t="str">
        <f>IF('Transfer Definitions'!E38="y",'Population Definitions'!$A$5,"")</f>
        <v/>
      </c>
      <c r="D361" t="str">
        <f t="shared" si="29"/>
        <v/>
      </c>
      <c r="E361" t="str">
        <f t="shared" si="30"/>
        <v/>
      </c>
      <c r="F361" t="str">
        <f t="shared" si="31"/>
        <v/>
      </c>
    </row>
    <row r="362" spans="1:6" x14ac:dyDescent="0.55000000000000004">
      <c r="A362" t="str">
        <f>IF('Transfer Definitions'!F38="y",'Population Definitions'!$A$10,"...")</f>
        <v>...</v>
      </c>
      <c r="B362" t="str">
        <f>IF('Transfer Definitions'!F38="y","---&gt;","")</f>
        <v/>
      </c>
      <c r="C362" t="str">
        <f>IF('Transfer Definitions'!F38="y",'Population Definitions'!$A$6,"")</f>
        <v/>
      </c>
      <c r="D362" t="str">
        <f t="shared" si="29"/>
        <v/>
      </c>
      <c r="E362" t="str">
        <f t="shared" si="30"/>
        <v/>
      </c>
      <c r="F362" t="str">
        <f t="shared" si="31"/>
        <v/>
      </c>
    </row>
    <row r="363" spans="1:6" x14ac:dyDescent="0.55000000000000004">
      <c r="A363" t="str">
        <f>IF('Transfer Definitions'!G38="y",'Population Definitions'!$A$10,"...")</f>
        <v>...</v>
      </c>
      <c r="B363" t="str">
        <f>IF('Transfer Definitions'!G38="y","---&gt;","")</f>
        <v/>
      </c>
      <c r="C363" t="str">
        <f>IF('Transfer Definitions'!G38="y",'Population Definitions'!$A$7,"")</f>
        <v/>
      </c>
      <c r="D363" t="str">
        <f t="shared" si="29"/>
        <v/>
      </c>
      <c r="E363" t="str">
        <f t="shared" si="30"/>
        <v/>
      </c>
      <c r="F363" t="str">
        <f t="shared" si="31"/>
        <v/>
      </c>
    </row>
    <row r="364" spans="1:6" x14ac:dyDescent="0.55000000000000004">
      <c r="A364" t="str">
        <f>IF('Transfer Definitions'!H38="y",'Population Definitions'!$A$10,"...")</f>
        <v>...</v>
      </c>
      <c r="B364" t="str">
        <f>IF('Transfer Definitions'!H38="y","---&gt;","")</f>
        <v/>
      </c>
      <c r="C364" t="str">
        <f>IF('Transfer Definitions'!H38="y",'Population Definitions'!$A$8,"")</f>
        <v/>
      </c>
      <c r="D364" t="str">
        <f t="shared" si="29"/>
        <v/>
      </c>
      <c r="E364" t="str">
        <f t="shared" si="30"/>
        <v/>
      </c>
      <c r="F364" t="str">
        <f t="shared" si="31"/>
        <v/>
      </c>
    </row>
    <row r="365" spans="1:6" x14ac:dyDescent="0.55000000000000004">
      <c r="A365" t="str">
        <f>IF('Transfer Definitions'!I38="y",'Population Definitions'!$A$10,"...")</f>
        <v>...</v>
      </c>
      <c r="B365" t="str">
        <f>IF('Transfer Definitions'!I38="y","---&gt;","")</f>
        <v/>
      </c>
      <c r="C365" t="str">
        <f>IF('Transfer Definitions'!I38="y",'Population Definitions'!$A$9,"")</f>
        <v/>
      </c>
      <c r="D365" t="str">
        <f t="shared" si="29"/>
        <v/>
      </c>
      <c r="E365" t="str">
        <f t="shared" si="30"/>
        <v/>
      </c>
      <c r="F365" t="str">
        <f t="shared" si="31"/>
        <v/>
      </c>
    </row>
    <row r="366" spans="1:6" x14ac:dyDescent="0.55000000000000004">
      <c r="A366" t="str">
        <f>IF('Transfer Definitions'!K38="y",'Population Definitions'!$A$10,"...")</f>
        <v>...</v>
      </c>
      <c r="B366" t="str">
        <f>IF('Transfer Definitions'!K38="y","---&gt;","")</f>
        <v/>
      </c>
      <c r="C366" t="str">
        <f>IF('Transfer Definitions'!K38="y",'Population Definitions'!$A$11,"")</f>
        <v/>
      </c>
      <c r="D366" t="str">
        <f t="shared" ref="D366:D401" si="33">IF(A366&lt;&gt;"...","Fraction","")</f>
        <v/>
      </c>
      <c r="E366" t="str">
        <f t="shared" ref="E366:E401" si="34">IF(A366&lt;&gt;"...",IF(SUMPRODUCT(--(G366:W366&lt;&gt;""))=0,0,"N.A."),"")</f>
        <v/>
      </c>
      <c r="F366" t="str">
        <f t="shared" ref="F366:F401" si="35">IF(A366&lt;&gt;"...","OR","")</f>
        <v/>
      </c>
    </row>
    <row r="367" spans="1:6" x14ac:dyDescent="0.55000000000000004">
      <c r="A367" t="str">
        <f>IF('Transfer Definitions'!L38="y",'Population Definitions'!$A$10,"...")</f>
        <v>...</v>
      </c>
      <c r="B367" t="str">
        <f>IF('Transfer Definitions'!L38="y","---&gt;","")</f>
        <v/>
      </c>
      <c r="C367" t="str">
        <f>IF('Transfer Definitions'!L38="y",'Population Definitions'!$A$12,"")</f>
        <v/>
      </c>
      <c r="D367" t="str">
        <f t="shared" si="33"/>
        <v/>
      </c>
      <c r="E367" t="str">
        <f t="shared" si="34"/>
        <v/>
      </c>
      <c r="F367" t="str">
        <f t="shared" si="35"/>
        <v/>
      </c>
    </row>
    <row r="368" spans="1:6" x14ac:dyDescent="0.55000000000000004">
      <c r="A368" t="str">
        <f>IF('Transfer Definitions'!M38="y",'Population Definitions'!$A$10,"...")</f>
        <v>...</v>
      </c>
      <c r="B368" t="str">
        <f>IF('Transfer Definitions'!M38="y","---&gt;","")</f>
        <v/>
      </c>
      <c r="C368" t="str">
        <f>IF('Transfer Definitions'!M38="y",'Population Definitions'!$A$13,"")</f>
        <v/>
      </c>
      <c r="D368" t="str">
        <f t="shared" si="33"/>
        <v/>
      </c>
      <c r="E368" t="str">
        <f t="shared" si="34"/>
        <v/>
      </c>
      <c r="F368" t="str">
        <f t="shared" si="35"/>
        <v/>
      </c>
    </row>
    <row r="369" spans="1:23" x14ac:dyDescent="0.55000000000000004">
      <c r="A369" t="str">
        <f>IF('Transfer Definitions'!B39="y",'Population Definitions'!$A$11,"...")</f>
        <v>...</v>
      </c>
      <c r="B369" t="str">
        <f>IF('Transfer Definitions'!B39="y","---&gt;","")</f>
        <v/>
      </c>
      <c r="C369" t="str">
        <f>IF('Transfer Definitions'!B39="y",'Population Definitions'!$A$2,"")</f>
        <v/>
      </c>
      <c r="D369" t="str">
        <f t="shared" si="33"/>
        <v/>
      </c>
      <c r="E369" t="str">
        <f t="shared" si="34"/>
        <v/>
      </c>
      <c r="F369" t="str">
        <f t="shared" si="35"/>
        <v/>
      </c>
    </row>
    <row r="370" spans="1:23" x14ac:dyDescent="0.55000000000000004">
      <c r="A370" t="str">
        <f>IF('Transfer Definitions'!C39="y",'Population Definitions'!$A$11,"...")</f>
        <v>...</v>
      </c>
      <c r="B370" t="str">
        <f>IF('Transfer Definitions'!C39="y","---&gt;","")</f>
        <v/>
      </c>
      <c r="C370" t="str">
        <f>IF('Transfer Definitions'!C39="y",'Population Definitions'!$A$3,"")</f>
        <v/>
      </c>
      <c r="D370" t="str">
        <f t="shared" si="33"/>
        <v/>
      </c>
      <c r="E370" t="str">
        <f t="shared" si="34"/>
        <v/>
      </c>
      <c r="F370" t="str">
        <f t="shared" si="35"/>
        <v/>
      </c>
    </row>
    <row r="371" spans="1:23" x14ac:dyDescent="0.55000000000000004">
      <c r="A371" t="str">
        <f>IF('Transfer Definitions'!D39="y",'Population Definitions'!$A$11,"...")</f>
        <v>...</v>
      </c>
      <c r="B371" t="str">
        <f>IF('Transfer Definitions'!D39="y","---&gt;","")</f>
        <v/>
      </c>
      <c r="C371" t="str">
        <f>IF('Transfer Definitions'!D39="y",'Population Definitions'!$A$4,"")</f>
        <v/>
      </c>
      <c r="D371" t="str">
        <f t="shared" si="33"/>
        <v/>
      </c>
      <c r="E371" t="str">
        <f t="shared" si="34"/>
        <v/>
      </c>
      <c r="F371" t="str">
        <f t="shared" si="35"/>
        <v/>
      </c>
    </row>
    <row r="372" spans="1:23" x14ac:dyDescent="0.55000000000000004">
      <c r="A372" t="str">
        <f>IF('Transfer Definitions'!E39="y",'Population Definitions'!$A$11,"...")</f>
        <v>...</v>
      </c>
      <c r="B372" t="str">
        <f>IF('Transfer Definitions'!E39="y","---&gt;","")</f>
        <v/>
      </c>
      <c r="C372" t="str">
        <f>IF('Transfer Definitions'!E39="y",'Population Definitions'!$A$5,"")</f>
        <v/>
      </c>
      <c r="D372" t="str">
        <f t="shared" si="33"/>
        <v/>
      </c>
      <c r="E372" t="str">
        <f t="shared" si="34"/>
        <v/>
      </c>
      <c r="F372" t="str">
        <f t="shared" si="35"/>
        <v/>
      </c>
    </row>
    <row r="373" spans="1:23" x14ac:dyDescent="0.55000000000000004">
      <c r="A373" s="1" t="str">
        <f>IF('Transfer Definitions'!F39="y",'Population Definitions'!$A$11,"...")</f>
        <v>PLHIV HCW</v>
      </c>
      <c r="B373" s="1" t="str">
        <f>IF('Transfer Definitions'!F39="y","---&gt;","")</f>
        <v>---&gt;</v>
      </c>
      <c r="C373" s="1" t="str">
        <f>IF('Transfer Definitions'!F39="y",'Population Definitions'!$A$6,"")</f>
        <v>PLHIV 15-64</v>
      </c>
      <c r="D373" s="1" t="str">
        <f t="shared" si="33"/>
        <v>Fraction</v>
      </c>
      <c r="E373" s="5">
        <f>IF(A373&lt;&gt;"...",IF(SUMPRODUCT(--(G373:W373&lt;&gt;""))=0,0.01,"N.A."),"")</f>
        <v>0.01</v>
      </c>
      <c r="F373" s="1" t="str">
        <f t="shared" si="35"/>
        <v>OR</v>
      </c>
      <c r="G373" s="5"/>
      <c r="H373" s="5"/>
      <c r="I373" s="5"/>
      <c r="J373" s="5"/>
      <c r="K373" s="5"/>
      <c r="L373" s="5"/>
      <c r="M373" s="5"/>
      <c r="N373" s="5"/>
      <c r="O373" s="5"/>
      <c r="P373" s="5"/>
      <c r="Q373" s="5"/>
      <c r="R373" s="5"/>
      <c r="S373" s="5"/>
      <c r="T373" s="5"/>
      <c r="U373" s="5"/>
      <c r="V373" s="5"/>
      <c r="W373" s="5"/>
    </row>
    <row r="374" spans="1:23" x14ac:dyDescent="0.55000000000000004">
      <c r="A374" t="str">
        <f>IF('Transfer Definitions'!G39="y",'Population Definitions'!$A$11,"...")</f>
        <v>...</v>
      </c>
      <c r="B374" t="str">
        <f>IF('Transfer Definitions'!G39="y","---&gt;","")</f>
        <v/>
      </c>
      <c r="C374" t="str">
        <f>IF('Transfer Definitions'!G39="y",'Population Definitions'!$A$7,"")</f>
        <v/>
      </c>
      <c r="D374" t="str">
        <f t="shared" si="33"/>
        <v/>
      </c>
      <c r="E374" t="str">
        <f t="shared" si="34"/>
        <v/>
      </c>
      <c r="F374" t="str">
        <f t="shared" si="35"/>
        <v/>
      </c>
    </row>
    <row r="375" spans="1:23" x14ac:dyDescent="0.55000000000000004">
      <c r="A375" t="str">
        <f>IF('Transfer Definitions'!H39="y",'Population Definitions'!$A$11,"...")</f>
        <v>...</v>
      </c>
      <c r="B375" t="str">
        <f>IF('Transfer Definitions'!H39="y","---&gt;","")</f>
        <v/>
      </c>
      <c r="C375" t="str">
        <f>IF('Transfer Definitions'!H39="y",'Population Definitions'!$A$8,"")</f>
        <v/>
      </c>
      <c r="D375" t="str">
        <f t="shared" si="33"/>
        <v/>
      </c>
      <c r="E375" t="str">
        <f t="shared" si="34"/>
        <v/>
      </c>
      <c r="F375" t="str">
        <f t="shared" si="35"/>
        <v/>
      </c>
    </row>
    <row r="376" spans="1:23" x14ac:dyDescent="0.55000000000000004">
      <c r="A376" t="str">
        <f>IF('Transfer Definitions'!I39="y",'Population Definitions'!$A$11,"...")</f>
        <v>...</v>
      </c>
      <c r="B376" t="str">
        <f>IF('Transfer Definitions'!I39="y","---&gt;","")</f>
        <v/>
      </c>
      <c r="C376" t="str">
        <f>IF('Transfer Definitions'!I39="y",'Population Definitions'!$A$9,"")</f>
        <v/>
      </c>
      <c r="D376" t="str">
        <f t="shared" si="33"/>
        <v/>
      </c>
      <c r="E376" t="str">
        <f t="shared" si="34"/>
        <v/>
      </c>
      <c r="F376" t="str">
        <f t="shared" si="35"/>
        <v/>
      </c>
    </row>
    <row r="377" spans="1:23" x14ac:dyDescent="0.55000000000000004">
      <c r="A377" t="str">
        <f>IF('Transfer Definitions'!J39="y",'Population Definitions'!$A$11,"...")</f>
        <v>...</v>
      </c>
      <c r="B377" t="str">
        <f>IF('Transfer Definitions'!J39="y","---&gt;","")</f>
        <v/>
      </c>
      <c r="C377" t="str">
        <f>IF('Transfer Definitions'!J39="y",'Population Definitions'!$A$10,"")</f>
        <v/>
      </c>
      <c r="D377" t="str">
        <f t="shared" si="33"/>
        <v/>
      </c>
      <c r="E377" t="str">
        <f t="shared" si="34"/>
        <v/>
      </c>
      <c r="F377" t="str">
        <f t="shared" si="35"/>
        <v/>
      </c>
    </row>
    <row r="378" spans="1:23" x14ac:dyDescent="0.55000000000000004">
      <c r="A378" t="str">
        <f>IF('Transfer Definitions'!L39="y",'Population Definitions'!$A$11,"...")</f>
        <v>...</v>
      </c>
      <c r="B378" t="str">
        <f>IF('Transfer Definitions'!L39="y","---&gt;","")</f>
        <v/>
      </c>
      <c r="C378" t="str">
        <f>IF('Transfer Definitions'!L39="y",'Population Definitions'!$A$12,"")</f>
        <v/>
      </c>
      <c r="D378" t="str">
        <f t="shared" si="33"/>
        <v/>
      </c>
      <c r="E378" t="str">
        <f t="shared" si="34"/>
        <v/>
      </c>
      <c r="F378" t="str">
        <f t="shared" si="35"/>
        <v/>
      </c>
    </row>
    <row r="379" spans="1:23" x14ac:dyDescent="0.55000000000000004">
      <c r="A379" t="str">
        <f>IF('Transfer Definitions'!M39="y",'Population Definitions'!$A$11,"...")</f>
        <v>...</v>
      </c>
      <c r="B379" t="str">
        <f>IF('Transfer Definitions'!M39="y","---&gt;","")</f>
        <v/>
      </c>
      <c r="C379" t="str">
        <f>IF('Transfer Definitions'!M39="y",'Population Definitions'!$A$13,"")</f>
        <v/>
      </c>
      <c r="D379" t="str">
        <f t="shared" si="33"/>
        <v/>
      </c>
      <c r="E379" t="str">
        <f t="shared" si="34"/>
        <v/>
      </c>
      <c r="F379" t="str">
        <f t="shared" si="35"/>
        <v/>
      </c>
    </row>
    <row r="380" spans="1:23" x14ac:dyDescent="0.55000000000000004">
      <c r="A380" t="str">
        <f>IF('Transfer Definitions'!B40="y",'Population Definitions'!$A$12,"...")</f>
        <v>...</v>
      </c>
      <c r="B380" t="str">
        <f>IF('Transfer Definitions'!B40="y","---&gt;","")</f>
        <v/>
      </c>
      <c r="C380" t="str">
        <f>IF('Transfer Definitions'!B40="y",'Population Definitions'!$A$2,"")</f>
        <v/>
      </c>
      <c r="D380" t="str">
        <f t="shared" si="33"/>
        <v/>
      </c>
      <c r="E380" t="str">
        <f t="shared" si="34"/>
        <v/>
      </c>
      <c r="F380" t="str">
        <f t="shared" si="35"/>
        <v/>
      </c>
    </row>
    <row r="381" spans="1:23" x14ac:dyDescent="0.55000000000000004">
      <c r="A381" t="str">
        <f>IF('Transfer Definitions'!C40="y",'Population Definitions'!$A$12,"...")</f>
        <v>...</v>
      </c>
      <c r="B381" t="str">
        <f>IF('Transfer Definitions'!C40="y","---&gt;","")</f>
        <v/>
      </c>
      <c r="C381" t="str">
        <f>IF('Transfer Definitions'!C40="y",'Population Definitions'!$A$3,"")</f>
        <v/>
      </c>
      <c r="D381" t="str">
        <f t="shared" si="33"/>
        <v/>
      </c>
      <c r="E381" t="str">
        <f t="shared" si="34"/>
        <v/>
      </c>
      <c r="F381" t="str">
        <f t="shared" si="35"/>
        <v/>
      </c>
    </row>
    <row r="382" spans="1:23" x14ac:dyDescent="0.55000000000000004">
      <c r="A382" s="1" t="str">
        <f>IF('Transfer Definitions'!D40="y",'Population Definitions'!$A$12,"...")</f>
        <v>Miners</v>
      </c>
      <c r="B382" s="1" t="str">
        <f>IF('Transfer Definitions'!D40="y","---&gt;","")</f>
        <v>---&gt;</v>
      </c>
      <c r="C382" s="1" t="str">
        <f>IF('Transfer Definitions'!D40="y",'Population Definitions'!$A$4,"")</f>
        <v>Gen 15-64</v>
      </c>
      <c r="D382" s="1" t="str">
        <f t="shared" si="33"/>
        <v>Fraction</v>
      </c>
      <c r="E382" s="5" t="str">
        <f t="shared" si="34"/>
        <v>N.A.</v>
      </c>
      <c r="F382" s="1" t="str">
        <f t="shared" si="35"/>
        <v>OR</v>
      </c>
      <c r="G382" s="5">
        <v>2.5000000000000001E-2</v>
      </c>
      <c r="H382" s="5"/>
      <c r="I382" s="5"/>
      <c r="J382" s="5"/>
      <c r="K382" s="5"/>
      <c r="L382" s="5"/>
      <c r="M382" s="5"/>
      <c r="N382" s="5"/>
      <c r="O382" s="5"/>
      <c r="P382" s="5">
        <v>2.5000000000000001E-2</v>
      </c>
      <c r="Q382" s="5"/>
      <c r="R382" s="5">
        <v>3.6999999999999998E-2</v>
      </c>
      <c r="S382" s="5"/>
      <c r="T382" s="5">
        <f>R382</f>
        <v>3.6999999999999998E-2</v>
      </c>
      <c r="U382" s="5">
        <f>R382</f>
        <v>3.6999999999999998E-2</v>
      </c>
      <c r="V382" s="5">
        <v>5.0000000000000001E-3</v>
      </c>
      <c r="W382" s="5"/>
    </row>
    <row r="383" spans="1:23" x14ac:dyDescent="0.55000000000000004">
      <c r="A383" t="str">
        <f>IF('Transfer Definitions'!E40="y",'Population Definitions'!$A$12,"...")</f>
        <v>...</v>
      </c>
      <c r="B383" t="str">
        <f>IF('Transfer Definitions'!E40="y","---&gt;","")</f>
        <v/>
      </c>
      <c r="C383" t="str">
        <f>IF('Transfer Definitions'!E40="y",'Population Definitions'!$A$5,"")</f>
        <v/>
      </c>
      <c r="D383" t="str">
        <f t="shared" si="33"/>
        <v/>
      </c>
      <c r="E383" t="str">
        <f t="shared" si="34"/>
        <v/>
      </c>
      <c r="F383" t="str">
        <f t="shared" si="35"/>
        <v/>
      </c>
    </row>
    <row r="384" spans="1:23" x14ac:dyDescent="0.55000000000000004">
      <c r="A384" t="str">
        <f>IF('Transfer Definitions'!F40="y",'Population Definitions'!$A$12,"...")</f>
        <v>...</v>
      </c>
      <c r="B384" t="str">
        <f>IF('Transfer Definitions'!F40="y","---&gt;","")</f>
        <v/>
      </c>
      <c r="C384" t="str">
        <f>IF('Transfer Definitions'!F40="y",'Population Definitions'!$A$6,"")</f>
        <v/>
      </c>
      <c r="D384" t="str">
        <f t="shared" si="33"/>
        <v/>
      </c>
      <c r="E384" t="str">
        <f t="shared" si="34"/>
        <v/>
      </c>
      <c r="F384" t="str">
        <f t="shared" si="35"/>
        <v/>
      </c>
    </row>
    <row r="385" spans="1:23" x14ac:dyDescent="0.55000000000000004">
      <c r="A385" t="str">
        <f>IF('Transfer Definitions'!G40="y",'Population Definitions'!$A$12,"...")</f>
        <v>...</v>
      </c>
      <c r="B385" t="str">
        <f>IF('Transfer Definitions'!G40="y","---&gt;","")</f>
        <v/>
      </c>
      <c r="C385" t="str">
        <f>IF('Transfer Definitions'!G40="y",'Population Definitions'!$A$7,"")</f>
        <v/>
      </c>
      <c r="D385" t="str">
        <f t="shared" si="33"/>
        <v/>
      </c>
      <c r="E385" t="str">
        <f t="shared" si="34"/>
        <v/>
      </c>
      <c r="F385" t="str">
        <f t="shared" si="35"/>
        <v/>
      </c>
    </row>
    <row r="386" spans="1:23" x14ac:dyDescent="0.55000000000000004">
      <c r="A386" t="str">
        <f>IF('Transfer Definitions'!H40="y",'Population Definitions'!$A$12,"...")</f>
        <v>...</v>
      </c>
      <c r="B386" t="str">
        <f>IF('Transfer Definitions'!H40="y","---&gt;","")</f>
        <v/>
      </c>
      <c r="C386" t="str">
        <f>IF('Transfer Definitions'!H40="y",'Population Definitions'!$A$8,"")</f>
        <v/>
      </c>
      <c r="D386" t="str">
        <f t="shared" si="33"/>
        <v/>
      </c>
      <c r="E386" t="str">
        <f t="shared" si="34"/>
        <v/>
      </c>
      <c r="F386" t="str">
        <f t="shared" si="35"/>
        <v/>
      </c>
    </row>
    <row r="387" spans="1:23" x14ac:dyDescent="0.55000000000000004">
      <c r="A387" t="str">
        <f>IF('Transfer Definitions'!I40="y",'Population Definitions'!$A$12,"...")</f>
        <v>...</v>
      </c>
      <c r="B387" t="str">
        <f>IF('Transfer Definitions'!I40="y","---&gt;","")</f>
        <v/>
      </c>
      <c r="C387" t="str">
        <f>IF('Transfer Definitions'!I40="y",'Population Definitions'!$A$9,"")</f>
        <v/>
      </c>
      <c r="D387" t="str">
        <f t="shared" si="33"/>
        <v/>
      </c>
      <c r="E387" t="str">
        <f t="shared" si="34"/>
        <v/>
      </c>
      <c r="F387" t="str">
        <f t="shared" si="35"/>
        <v/>
      </c>
    </row>
    <row r="388" spans="1:23" x14ac:dyDescent="0.55000000000000004">
      <c r="A388" t="str">
        <f>IF('Transfer Definitions'!J40="y",'Population Definitions'!$A$12,"...")</f>
        <v>...</v>
      </c>
      <c r="B388" t="str">
        <f>IF('Transfer Definitions'!J40="y","---&gt;","")</f>
        <v/>
      </c>
      <c r="C388" t="str">
        <f>IF('Transfer Definitions'!J40="y",'Population Definitions'!$A$10,"")</f>
        <v/>
      </c>
      <c r="D388" t="str">
        <f t="shared" si="33"/>
        <v/>
      </c>
      <c r="E388" t="str">
        <f t="shared" si="34"/>
        <v/>
      </c>
      <c r="F388" t="str">
        <f t="shared" si="35"/>
        <v/>
      </c>
    </row>
    <row r="389" spans="1:23" x14ac:dyDescent="0.55000000000000004">
      <c r="A389" t="str">
        <f>IF('Transfer Definitions'!K40="y",'Population Definitions'!$A$12,"...")</f>
        <v>...</v>
      </c>
      <c r="B389" t="str">
        <f>IF('Transfer Definitions'!K40="y","---&gt;","")</f>
        <v/>
      </c>
      <c r="C389" t="str">
        <f>IF('Transfer Definitions'!K40="y",'Population Definitions'!$A$11,"")</f>
        <v/>
      </c>
      <c r="D389" t="str">
        <f t="shared" si="33"/>
        <v/>
      </c>
      <c r="E389" t="str">
        <f t="shared" si="34"/>
        <v/>
      </c>
      <c r="F389" t="str">
        <f t="shared" si="35"/>
        <v/>
      </c>
    </row>
    <row r="390" spans="1:23" x14ac:dyDescent="0.55000000000000004">
      <c r="A390" t="str">
        <f>IF('Transfer Definitions'!M40="y",'Population Definitions'!$A$12,"...")</f>
        <v>...</v>
      </c>
      <c r="B390" t="str">
        <f>IF('Transfer Definitions'!M40="y","---&gt;","")</f>
        <v/>
      </c>
      <c r="C390" t="str">
        <f>IF('Transfer Definitions'!M40="y",'Population Definitions'!$A$13,"")</f>
        <v/>
      </c>
      <c r="D390" t="str">
        <f t="shared" si="33"/>
        <v/>
      </c>
      <c r="E390" t="str">
        <f t="shared" si="34"/>
        <v/>
      </c>
      <c r="F390" t="str">
        <f t="shared" si="35"/>
        <v/>
      </c>
    </row>
    <row r="391" spans="1:23" x14ac:dyDescent="0.55000000000000004">
      <c r="A391" t="str">
        <f>IF('Transfer Definitions'!B41="y",'Population Definitions'!$A$13,"...")</f>
        <v>...</v>
      </c>
      <c r="B391" t="str">
        <f>IF('Transfer Definitions'!B41="y","---&gt;","")</f>
        <v/>
      </c>
      <c r="C391" t="str">
        <f>IF('Transfer Definitions'!B41="y",'Population Definitions'!$A$2,"")</f>
        <v/>
      </c>
      <c r="D391" t="str">
        <f t="shared" si="33"/>
        <v/>
      </c>
      <c r="E391" t="str">
        <f t="shared" si="34"/>
        <v/>
      </c>
      <c r="F391" t="str">
        <f t="shared" si="35"/>
        <v/>
      </c>
    </row>
    <row r="392" spans="1:23" x14ac:dyDescent="0.55000000000000004">
      <c r="A392" t="str">
        <f>IF('Transfer Definitions'!C41="y",'Population Definitions'!$A$13,"...")</f>
        <v>...</v>
      </c>
      <c r="B392" t="str">
        <f>IF('Transfer Definitions'!C41="y","---&gt;","")</f>
        <v/>
      </c>
      <c r="C392" t="str">
        <f>IF('Transfer Definitions'!C41="y",'Population Definitions'!$A$3,"")</f>
        <v/>
      </c>
      <c r="D392" t="str">
        <f t="shared" si="33"/>
        <v/>
      </c>
      <c r="E392" t="str">
        <f t="shared" si="34"/>
        <v/>
      </c>
      <c r="F392" t="str">
        <f t="shared" si="35"/>
        <v/>
      </c>
    </row>
    <row r="393" spans="1:23" x14ac:dyDescent="0.55000000000000004">
      <c r="A393" t="str">
        <f>IF('Transfer Definitions'!D41="y",'Population Definitions'!$A$13,"...")</f>
        <v>...</v>
      </c>
      <c r="B393" t="str">
        <f>IF('Transfer Definitions'!D41="y","---&gt;","")</f>
        <v/>
      </c>
      <c r="C393" t="str">
        <f>IF('Transfer Definitions'!D41="y",'Population Definitions'!$A$4,"")</f>
        <v/>
      </c>
      <c r="D393" t="str">
        <f t="shared" si="33"/>
        <v/>
      </c>
      <c r="E393" t="str">
        <f t="shared" si="34"/>
        <v/>
      </c>
      <c r="F393" t="str">
        <f t="shared" si="35"/>
        <v/>
      </c>
    </row>
    <row r="394" spans="1:23" x14ac:dyDescent="0.55000000000000004">
      <c r="A394" t="str">
        <f>IF('Transfer Definitions'!E41="y",'Population Definitions'!$A$13,"...")</f>
        <v>...</v>
      </c>
      <c r="B394" t="str">
        <f>IF('Transfer Definitions'!E41="y","---&gt;","")</f>
        <v/>
      </c>
      <c r="C394" t="str">
        <f>IF('Transfer Definitions'!E41="y",'Population Definitions'!$A$5,"")</f>
        <v/>
      </c>
      <c r="D394" t="str">
        <f t="shared" si="33"/>
        <v/>
      </c>
      <c r="E394" t="str">
        <f t="shared" si="34"/>
        <v/>
      </c>
      <c r="F394" t="str">
        <f t="shared" si="35"/>
        <v/>
      </c>
    </row>
    <row r="395" spans="1:23" x14ac:dyDescent="0.55000000000000004">
      <c r="A395" s="1" t="str">
        <f>IF('Transfer Definitions'!F41="y",'Population Definitions'!$A$13,"...")</f>
        <v>PLHIV Miners</v>
      </c>
      <c r="B395" s="1" t="str">
        <f>IF('Transfer Definitions'!F41="y","---&gt;","")</f>
        <v>---&gt;</v>
      </c>
      <c r="C395" s="1" t="str">
        <f>IF('Transfer Definitions'!F41="y",'Population Definitions'!$A$6,"")</f>
        <v>PLHIV 15-64</v>
      </c>
      <c r="D395" s="1" t="str">
        <f t="shared" si="33"/>
        <v>Fraction</v>
      </c>
      <c r="E395" s="5" t="str">
        <f t="shared" si="34"/>
        <v>N.A.</v>
      </c>
      <c r="F395" s="1" t="str">
        <f t="shared" si="35"/>
        <v>OR</v>
      </c>
      <c r="G395" s="5">
        <v>0.05</v>
      </c>
      <c r="H395" s="5"/>
      <c r="I395" s="5"/>
      <c r="J395" s="5"/>
      <c r="K395" s="5"/>
      <c r="L395" s="5"/>
      <c r="M395" s="5"/>
      <c r="N395" s="5"/>
      <c r="O395" s="5"/>
      <c r="P395" s="5"/>
      <c r="Q395" s="5"/>
      <c r="R395" s="5"/>
      <c r="S395" s="5"/>
      <c r="T395" s="5">
        <f>G395</f>
        <v>0.05</v>
      </c>
      <c r="U395" s="5"/>
      <c r="V395" s="5">
        <v>0.13</v>
      </c>
      <c r="W395" s="5"/>
    </row>
    <row r="396" spans="1:23" x14ac:dyDescent="0.55000000000000004">
      <c r="A396" t="str">
        <f>IF('Transfer Definitions'!G41="y",'Population Definitions'!$A$13,"...")</f>
        <v>...</v>
      </c>
      <c r="B396" t="str">
        <f>IF('Transfer Definitions'!G41="y","---&gt;","")</f>
        <v/>
      </c>
      <c r="C396" t="str">
        <f>IF('Transfer Definitions'!G41="y",'Population Definitions'!$A$7,"")</f>
        <v/>
      </c>
      <c r="D396" t="str">
        <f t="shared" si="33"/>
        <v/>
      </c>
      <c r="E396" t="str">
        <f t="shared" si="34"/>
        <v/>
      </c>
      <c r="F396" t="str">
        <f t="shared" si="35"/>
        <v/>
      </c>
    </row>
    <row r="397" spans="1:23" x14ac:dyDescent="0.55000000000000004">
      <c r="A397" t="str">
        <f>IF('Transfer Definitions'!H41="y",'Population Definitions'!$A$13,"...")</f>
        <v>...</v>
      </c>
      <c r="B397" t="str">
        <f>IF('Transfer Definitions'!H41="y","---&gt;","")</f>
        <v/>
      </c>
      <c r="C397" t="str">
        <f>IF('Transfer Definitions'!H41="y",'Population Definitions'!$A$8,"")</f>
        <v/>
      </c>
      <c r="D397" t="str">
        <f t="shared" si="33"/>
        <v/>
      </c>
      <c r="E397" t="str">
        <f t="shared" si="34"/>
        <v/>
      </c>
      <c r="F397" t="str">
        <f t="shared" si="35"/>
        <v/>
      </c>
    </row>
    <row r="398" spans="1:23" x14ac:dyDescent="0.55000000000000004">
      <c r="A398" t="str">
        <f>IF('Transfer Definitions'!I41="y",'Population Definitions'!$A$13,"...")</f>
        <v>...</v>
      </c>
      <c r="B398" t="str">
        <f>IF('Transfer Definitions'!I41="y","---&gt;","")</f>
        <v/>
      </c>
      <c r="C398" t="str">
        <f>IF('Transfer Definitions'!I41="y",'Population Definitions'!$A$9,"")</f>
        <v/>
      </c>
      <c r="D398" t="str">
        <f t="shared" si="33"/>
        <v/>
      </c>
      <c r="E398" t="str">
        <f t="shared" si="34"/>
        <v/>
      </c>
      <c r="F398" t="str">
        <f t="shared" si="35"/>
        <v/>
      </c>
    </row>
    <row r="399" spans="1:23" x14ac:dyDescent="0.55000000000000004">
      <c r="A399" t="str">
        <f>IF('Transfer Definitions'!J41="y",'Population Definitions'!$A$13,"...")</f>
        <v>...</v>
      </c>
      <c r="B399" t="str">
        <f>IF('Transfer Definitions'!J41="y","---&gt;","")</f>
        <v/>
      </c>
      <c r="C399" t="str">
        <f>IF('Transfer Definitions'!J41="y",'Population Definitions'!$A$10,"")</f>
        <v/>
      </c>
      <c r="D399" t="str">
        <f t="shared" si="33"/>
        <v/>
      </c>
      <c r="E399" t="str">
        <f t="shared" si="34"/>
        <v/>
      </c>
      <c r="F399" t="str">
        <f t="shared" si="35"/>
        <v/>
      </c>
    </row>
    <row r="400" spans="1:23" x14ac:dyDescent="0.55000000000000004">
      <c r="A400" t="str">
        <f>IF('Transfer Definitions'!K41="y",'Population Definitions'!$A$13,"...")</f>
        <v>...</v>
      </c>
      <c r="B400" t="str">
        <f>IF('Transfer Definitions'!K41="y","---&gt;","")</f>
        <v/>
      </c>
      <c r="C400" t="str">
        <f>IF('Transfer Definitions'!K41="y",'Population Definitions'!$A$11,"")</f>
        <v/>
      </c>
      <c r="D400" t="str">
        <f t="shared" si="33"/>
        <v/>
      </c>
      <c r="E400" t="str">
        <f t="shared" si="34"/>
        <v/>
      </c>
      <c r="F400" t="str">
        <f t="shared" si="35"/>
        <v/>
      </c>
    </row>
    <row r="401" spans="1:23" x14ac:dyDescent="0.55000000000000004">
      <c r="A401" t="str">
        <f>IF('Transfer Definitions'!L41="y",'Population Definitions'!$A$13,"...")</f>
        <v>...</v>
      </c>
      <c r="B401" t="str">
        <f>IF('Transfer Definitions'!L41="y","---&gt;","")</f>
        <v/>
      </c>
      <c r="C401" t="str">
        <f>IF('Transfer Definitions'!L41="y",'Population Definitions'!$A$12,"")</f>
        <v/>
      </c>
      <c r="D401" t="str">
        <f t="shared" si="33"/>
        <v/>
      </c>
      <c r="E401" t="str">
        <f t="shared" si="34"/>
        <v/>
      </c>
      <c r="F401" t="str">
        <f t="shared" si="35"/>
        <v/>
      </c>
    </row>
    <row r="403" spans="1:23" x14ac:dyDescent="0.55000000000000004">
      <c r="A403" t="str">
        <f>'Transfer Definitions'!A43</f>
        <v>Migration Type 3</v>
      </c>
      <c r="D403" t="s">
        <v>8</v>
      </c>
      <c r="E403" t="s">
        <v>9</v>
      </c>
      <c r="G403">
        <v>2000</v>
      </c>
      <c r="H403">
        <v>2001</v>
      </c>
      <c r="I403">
        <v>2002</v>
      </c>
      <c r="J403">
        <v>2003</v>
      </c>
      <c r="K403">
        <v>2004</v>
      </c>
      <c r="L403">
        <v>2005</v>
      </c>
      <c r="M403">
        <v>2006</v>
      </c>
      <c r="N403">
        <v>2007</v>
      </c>
      <c r="O403">
        <v>2008</v>
      </c>
      <c r="P403">
        <v>2009</v>
      </c>
      <c r="Q403">
        <v>2010</v>
      </c>
      <c r="R403">
        <v>2011</v>
      </c>
      <c r="S403">
        <v>2012</v>
      </c>
      <c r="T403">
        <v>2013</v>
      </c>
      <c r="U403">
        <v>2014</v>
      </c>
      <c r="V403">
        <v>2015</v>
      </c>
      <c r="W403">
        <v>2016</v>
      </c>
    </row>
    <row r="404" spans="1:23" x14ac:dyDescent="0.55000000000000004">
      <c r="A404" t="str">
        <f>IF('Transfer Definitions'!C44="y",'Population Definitions'!$A$2,"...")</f>
        <v>...</v>
      </c>
      <c r="B404" t="str">
        <f>IF('Transfer Definitions'!C44="y","---&gt;","")</f>
        <v/>
      </c>
      <c r="C404" t="str">
        <f>IF('Transfer Definitions'!C44="y",'Population Definitions'!$A$3,"")</f>
        <v/>
      </c>
      <c r="D404" t="str">
        <f t="shared" ref="D404:D435" si="36">IF(A404&lt;&gt;"...","Fraction","")</f>
        <v/>
      </c>
      <c r="E404" t="str">
        <f t="shared" ref="E404:E435" si="37">IF(A404&lt;&gt;"...",IF(SUMPRODUCT(--(G404:W404&lt;&gt;""))=0,0,"N.A."),"")</f>
        <v/>
      </c>
      <c r="F404" t="str">
        <f t="shared" ref="F404:F435" si="38">IF(A404&lt;&gt;"...","OR","")</f>
        <v/>
      </c>
    </row>
    <row r="405" spans="1:23" x14ac:dyDescent="0.55000000000000004">
      <c r="A405" t="str">
        <f>IF('Transfer Definitions'!D44="y",'Population Definitions'!$A$2,"...")</f>
        <v>...</v>
      </c>
      <c r="B405" t="str">
        <f>IF('Transfer Definitions'!D44="y","---&gt;","")</f>
        <v/>
      </c>
      <c r="C405" t="str">
        <f>IF('Transfer Definitions'!D44="y",'Population Definitions'!$A$4,"")</f>
        <v/>
      </c>
      <c r="D405" t="str">
        <f t="shared" si="36"/>
        <v/>
      </c>
      <c r="E405" t="str">
        <f t="shared" si="37"/>
        <v/>
      </c>
      <c r="F405" t="str">
        <f t="shared" si="38"/>
        <v/>
      </c>
    </row>
    <row r="406" spans="1:23" x14ac:dyDescent="0.55000000000000004">
      <c r="A406" t="str">
        <f>IF('Transfer Definitions'!E44="y",'Population Definitions'!$A$2,"...")</f>
        <v>...</v>
      </c>
      <c r="B406" t="str">
        <f>IF('Transfer Definitions'!E44="y","---&gt;","")</f>
        <v/>
      </c>
      <c r="C406" t="str">
        <f>IF('Transfer Definitions'!E44="y",'Population Definitions'!$A$5,"")</f>
        <v/>
      </c>
      <c r="D406" t="str">
        <f t="shared" si="36"/>
        <v/>
      </c>
      <c r="E406" t="str">
        <f t="shared" si="37"/>
        <v/>
      </c>
      <c r="F406" t="str">
        <f t="shared" si="38"/>
        <v/>
      </c>
    </row>
    <row r="407" spans="1:23" x14ac:dyDescent="0.55000000000000004">
      <c r="A407" t="str">
        <f>IF('Transfer Definitions'!F44="y",'Population Definitions'!$A$2,"...")</f>
        <v>...</v>
      </c>
      <c r="B407" t="str">
        <f>IF('Transfer Definitions'!F44="y","---&gt;","")</f>
        <v/>
      </c>
      <c r="C407" t="str">
        <f>IF('Transfer Definitions'!F44="y",'Population Definitions'!$A$6,"")</f>
        <v/>
      </c>
      <c r="D407" t="str">
        <f t="shared" si="36"/>
        <v/>
      </c>
      <c r="E407" t="str">
        <f t="shared" si="37"/>
        <v/>
      </c>
      <c r="F407" t="str">
        <f t="shared" si="38"/>
        <v/>
      </c>
    </row>
    <row r="408" spans="1:23" x14ac:dyDescent="0.55000000000000004">
      <c r="A408" t="str">
        <f>IF('Transfer Definitions'!G44="y",'Population Definitions'!$A$2,"...")</f>
        <v>...</v>
      </c>
      <c r="B408" t="str">
        <f>IF('Transfer Definitions'!G44="y","---&gt;","")</f>
        <v/>
      </c>
      <c r="C408" t="str">
        <f>IF('Transfer Definitions'!G44="y",'Population Definitions'!$A$7,"")</f>
        <v/>
      </c>
      <c r="D408" t="str">
        <f t="shared" si="36"/>
        <v/>
      </c>
      <c r="E408" t="str">
        <f t="shared" si="37"/>
        <v/>
      </c>
      <c r="F408" t="str">
        <f t="shared" si="38"/>
        <v/>
      </c>
    </row>
    <row r="409" spans="1:23" x14ac:dyDescent="0.55000000000000004">
      <c r="A409" t="str">
        <f>IF('Transfer Definitions'!H44="y",'Population Definitions'!$A$2,"...")</f>
        <v>...</v>
      </c>
      <c r="B409" t="str">
        <f>IF('Transfer Definitions'!H44="y","---&gt;","")</f>
        <v/>
      </c>
      <c r="C409" t="str">
        <f>IF('Transfer Definitions'!H44="y",'Population Definitions'!$A$8,"")</f>
        <v/>
      </c>
      <c r="D409" t="str">
        <f t="shared" si="36"/>
        <v/>
      </c>
      <c r="E409" t="str">
        <f t="shared" si="37"/>
        <v/>
      </c>
      <c r="F409" t="str">
        <f t="shared" si="38"/>
        <v/>
      </c>
    </row>
    <row r="410" spans="1:23" x14ac:dyDescent="0.55000000000000004">
      <c r="A410" t="str">
        <f>IF('Transfer Definitions'!I44="y",'Population Definitions'!$A$2,"...")</f>
        <v>...</v>
      </c>
      <c r="B410" t="str">
        <f>IF('Transfer Definitions'!I44="y","---&gt;","")</f>
        <v/>
      </c>
      <c r="C410" t="str">
        <f>IF('Transfer Definitions'!I44="y",'Population Definitions'!$A$9,"")</f>
        <v/>
      </c>
      <c r="D410" t="str">
        <f t="shared" si="36"/>
        <v/>
      </c>
      <c r="E410" t="str">
        <f t="shared" si="37"/>
        <v/>
      </c>
      <c r="F410" t="str">
        <f t="shared" si="38"/>
        <v/>
      </c>
    </row>
    <row r="411" spans="1:23" x14ac:dyDescent="0.55000000000000004">
      <c r="A411" t="str">
        <f>IF('Transfer Definitions'!J44="y",'Population Definitions'!$A$2,"...")</f>
        <v>...</v>
      </c>
      <c r="B411" t="str">
        <f>IF('Transfer Definitions'!J44="y","---&gt;","")</f>
        <v/>
      </c>
      <c r="C411" t="str">
        <f>IF('Transfer Definitions'!J44="y",'Population Definitions'!$A$10,"")</f>
        <v/>
      </c>
      <c r="D411" t="str">
        <f t="shared" si="36"/>
        <v/>
      </c>
      <c r="E411" t="str">
        <f t="shared" si="37"/>
        <v/>
      </c>
      <c r="F411" t="str">
        <f t="shared" si="38"/>
        <v/>
      </c>
    </row>
    <row r="412" spans="1:23" x14ac:dyDescent="0.55000000000000004">
      <c r="A412" t="str">
        <f>IF('Transfer Definitions'!K44="y",'Population Definitions'!$A$2,"...")</f>
        <v>...</v>
      </c>
      <c r="B412" t="str">
        <f>IF('Transfer Definitions'!K44="y","---&gt;","")</f>
        <v/>
      </c>
      <c r="C412" t="str">
        <f>IF('Transfer Definitions'!K44="y",'Population Definitions'!$A$11,"")</f>
        <v/>
      </c>
      <c r="D412" t="str">
        <f t="shared" si="36"/>
        <v/>
      </c>
      <c r="E412" t="str">
        <f t="shared" si="37"/>
        <v/>
      </c>
      <c r="F412" t="str">
        <f t="shared" si="38"/>
        <v/>
      </c>
    </row>
    <row r="413" spans="1:23" x14ac:dyDescent="0.55000000000000004">
      <c r="A413" t="str">
        <f>IF('Transfer Definitions'!L44="y",'Population Definitions'!$A$2,"...")</f>
        <v>...</v>
      </c>
      <c r="B413" t="str">
        <f>IF('Transfer Definitions'!L44="y","---&gt;","")</f>
        <v/>
      </c>
      <c r="C413" t="str">
        <f>IF('Transfer Definitions'!L44="y",'Population Definitions'!$A$12,"")</f>
        <v/>
      </c>
      <c r="D413" t="str">
        <f t="shared" si="36"/>
        <v/>
      </c>
      <c r="E413" t="str">
        <f t="shared" si="37"/>
        <v/>
      </c>
      <c r="F413" t="str">
        <f t="shared" si="38"/>
        <v/>
      </c>
    </row>
    <row r="414" spans="1:23" x14ac:dyDescent="0.55000000000000004">
      <c r="A414" t="str">
        <f>IF('Transfer Definitions'!M44="y",'Population Definitions'!$A$2,"...")</f>
        <v>...</v>
      </c>
      <c r="B414" t="str">
        <f>IF('Transfer Definitions'!M44="y","---&gt;","")</f>
        <v/>
      </c>
      <c r="C414" t="str">
        <f>IF('Transfer Definitions'!M44="y",'Population Definitions'!$A$13,"")</f>
        <v/>
      </c>
      <c r="D414" t="str">
        <f t="shared" si="36"/>
        <v/>
      </c>
      <c r="E414" t="str">
        <f t="shared" si="37"/>
        <v/>
      </c>
      <c r="F414" t="str">
        <f t="shared" si="38"/>
        <v/>
      </c>
    </row>
    <row r="415" spans="1:23" x14ac:dyDescent="0.55000000000000004">
      <c r="A415" t="str">
        <f>IF('Transfer Definitions'!B45="y",'Population Definitions'!$A$3,"...")</f>
        <v>...</v>
      </c>
      <c r="B415" t="str">
        <f>IF('Transfer Definitions'!B45="y","---&gt;","")</f>
        <v/>
      </c>
      <c r="C415" t="str">
        <f>IF('Transfer Definitions'!B45="y",'Population Definitions'!$A$2,"")</f>
        <v/>
      </c>
      <c r="D415" t="str">
        <f t="shared" si="36"/>
        <v/>
      </c>
      <c r="E415" t="str">
        <f t="shared" si="37"/>
        <v/>
      </c>
      <c r="F415" t="str">
        <f t="shared" si="38"/>
        <v/>
      </c>
    </row>
    <row r="416" spans="1:23" x14ac:dyDescent="0.55000000000000004">
      <c r="A416" t="str">
        <f>IF('Transfer Definitions'!D45="y",'Population Definitions'!$A$3,"...")</f>
        <v>...</v>
      </c>
      <c r="B416" t="str">
        <f>IF('Transfer Definitions'!D45="y","---&gt;","")</f>
        <v/>
      </c>
      <c r="C416" t="str">
        <f>IF('Transfer Definitions'!D45="y",'Population Definitions'!$A$4,"")</f>
        <v/>
      </c>
      <c r="D416" t="str">
        <f t="shared" si="36"/>
        <v/>
      </c>
      <c r="E416" t="str">
        <f t="shared" si="37"/>
        <v/>
      </c>
      <c r="F416" t="str">
        <f t="shared" si="38"/>
        <v/>
      </c>
    </row>
    <row r="417" spans="1:6" x14ac:dyDescent="0.55000000000000004">
      <c r="A417" t="str">
        <f>IF('Transfer Definitions'!E45="y",'Population Definitions'!$A$3,"...")</f>
        <v>...</v>
      </c>
      <c r="B417" t="str">
        <f>IF('Transfer Definitions'!E45="y","---&gt;","")</f>
        <v/>
      </c>
      <c r="C417" t="str">
        <f>IF('Transfer Definitions'!E45="y",'Population Definitions'!$A$5,"")</f>
        <v/>
      </c>
      <c r="D417" t="str">
        <f t="shared" si="36"/>
        <v/>
      </c>
      <c r="E417" t="str">
        <f t="shared" si="37"/>
        <v/>
      </c>
      <c r="F417" t="str">
        <f t="shared" si="38"/>
        <v/>
      </c>
    </row>
    <row r="418" spans="1:6" x14ac:dyDescent="0.55000000000000004">
      <c r="A418" t="str">
        <f>IF('Transfer Definitions'!F45="y",'Population Definitions'!$A$3,"...")</f>
        <v>...</v>
      </c>
      <c r="B418" t="str">
        <f>IF('Transfer Definitions'!F45="y","---&gt;","")</f>
        <v/>
      </c>
      <c r="C418" t="str">
        <f>IF('Transfer Definitions'!F45="y",'Population Definitions'!$A$6,"")</f>
        <v/>
      </c>
      <c r="D418" t="str">
        <f t="shared" si="36"/>
        <v/>
      </c>
      <c r="E418" t="str">
        <f t="shared" si="37"/>
        <v/>
      </c>
      <c r="F418" t="str">
        <f t="shared" si="38"/>
        <v/>
      </c>
    </row>
    <row r="419" spans="1:6" x14ac:dyDescent="0.55000000000000004">
      <c r="A419" t="str">
        <f>IF('Transfer Definitions'!G45="y",'Population Definitions'!$A$3,"...")</f>
        <v>...</v>
      </c>
      <c r="B419" t="str">
        <f>IF('Transfer Definitions'!G45="y","---&gt;","")</f>
        <v/>
      </c>
      <c r="C419" t="str">
        <f>IF('Transfer Definitions'!G45="y",'Population Definitions'!$A$7,"")</f>
        <v/>
      </c>
      <c r="D419" t="str">
        <f t="shared" si="36"/>
        <v/>
      </c>
      <c r="E419" t="str">
        <f t="shared" si="37"/>
        <v/>
      </c>
      <c r="F419" t="str">
        <f t="shared" si="38"/>
        <v/>
      </c>
    </row>
    <row r="420" spans="1:6" x14ac:dyDescent="0.55000000000000004">
      <c r="A420" t="str">
        <f>IF('Transfer Definitions'!H45="y",'Population Definitions'!$A$3,"...")</f>
        <v>...</v>
      </c>
      <c r="B420" t="str">
        <f>IF('Transfer Definitions'!H45="y","---&gt;","")</f>
        <v/>
      </c>
      <c r="C420" t="str">
        <f>IF('Transfer Definitions'!H45="y",'Population Definitions'!$A$8,"")</f>
        <v/>
      </c>
      <c r="D420" t="str">
        <f t="shared" si="36"/>
        <v/>
      </c>
      <c r="E420" t="str">
        <f t="shared" si="37"/>
        <v/>
      </c>
      <c r="F420" t="str">
        <f t="shared" si="38"/>
        <v/>
      </c>
    </row>
    <row r="421" spans="1:6" x14ac:dyDescent="0.55000000000000004">
      <c r="A421" t="str">
        <f>IF('Transfer Definitions'!I45="y",'Population Definitions'!$A$3,"...")</f>
        <v>...</v>
      </c>
      <c r="B421" t="str">
        <f>IF('Transfer Definitions'!I45="y","---&gt;","")</f>
        <v/>
      </c>
      <c r="C421" t="str">
        <f>IF('Transfer Definitions'!I45="y",'Population Definitions'!$A$9,"")</f>
        <v/>
      </c>
      <c r="D421" t="str">
        <f t="shared" si="36"/>
        <v/>
      </c>
      <c r="E421" t="str">
        <f t="shared" si="37"/>
        <v/>
      </c>
      <c r="F421" t="str">
        <f t="shared" si="38"/>
        <v/>
      </c>
    </row>
    <row r="422" spans="1:6" x14ac:dyDescent="0.55000000000000004">
      <c r="A422" t="str">
        <f>IF('Transfer Definitions'!J45="y",'Population Definitions'!$A$3,"...")</f>
        <v>...</v>
      </c>
      <c r="B422" t="str">
        <f>IF('Transfer Definitions'!J45="y","---&gt;","")</f>
        <v/>
      </c>
      <c r="C422" t="str">
        <f>IF('Transfer Definitions'!J45="y",'Population Definitions'!$A$10,"")</f>
        <v/>
      </c>
      <c r="D422" t="str">
        <f t="shared" si="36"/>
        <v/>
      </c>
      <c r="E422" t="str">
        <f t="shared" si="37"/>
        <v/>
      </c>
      <c r="F422" t="str">
        <f t="shared" si="38"/>
        <v/>
      </c>
    </row>
    <row r="423" spans="1:6" x14ac:dyDescent="0.55000000000000004">
      <c r="A423" t="str">
        <f>IF('Transfer Definitions'!K45="y",'Population Definitions'!$A$3,"...")</f>
        <v>...</v>
      </c>
      <c r="B423" t="str">
        <f>IF('Transfer Definitions'!K45="y","---&gt;","")</f>
        <v/>
      </c>
      <c r="C423" t="str">
        <f>IF('Transfer Definitions'!K45="y",'Population Definitions'!$A$11,"")</f>
        <v/>
      </c>
      <c r="D423" t="str">
        <f t="shared" si="36"/>
        <v/>
      </c>
      <c r="E423" t="str">
        <f t="shared" si="37"/>
        <v/>
      </c>
      <c r="F423" t="str">
        <f t="shared" si="38"/>
        <v/>
      </c>
    </row>
    <row r="424" spans="1:6" x14ac:dyDescent="0.55000000000000004">
      <c r="A424" t="str">
        <f>IF('Transfer Definitions'!L45="y",'Population Definitions'!$A$3,"...")</f>
        <v>...</v>
      </c>
      <c r="B424" t="str">
        <f>IF('Transfer Definitions'!L45="y","---&gt;","")</f>
        <v/>
      </c>
      <c r="C424" t="str">
        <f>IF('Transfer Definitions'!L45="y",'Population Definitions'!$A$12,"")</f>
        <v/>
      </c>
      <c r="D424" t="str">
        <f t="shared" si="36"/>
        <v/>
      </c>
      <c r="E424" t="str">
        <f t="shared" si="37"/>
        <v/>
      </c>
      <c r="F424" t="str">
        <f t="shared" si="38"/>
        <v/>
      </c>
    </row>
    <row r="425" spans="1:6" x14ac:dyDescent="0.55000000000000004">
      <c r="A425" t="str">
        <f>IF('Transfer Definitions'!M45="y",'Population Definitions'!$A$3,"...")</f>
        <v>...</v>
      </c>
      <c r="B425" t="str">
        <f>IF('Transfer Definitions'!M45="y","---&gt;","")</f>
        <v/>
      </c>
      <c r="C425" t="str">
        <f>IF('Transfer Definitions'!M45="y",'Population Definitions'!$A$13,"")</f>
        <v/>
      </c>
      <c r="D425" t="str">
        <f t="shared" si="36"/>
        <v/>
      </c>
      <c r="E425" t="str">
        <f t="shared" si="37"/>
        <v/>
      </c>
      <c r="F425" t="str">
        <f t="shared" si="38"/>
        <v/>
      </c>
    </row>
    <row r="426" spans="1:6" x14ac:dyDescent="0.55000000000000004">
      <c r="A426" t="str">
        <f>IF('Transfer Definitions'!B46="y",'Population Definitions'!$A$4,"...")</f>
        <v>...</v>
      </c>
      <c r="B426" t="str">
        <f>IF('Transfer Definitions'!B46="y","---&gt;","")</f>
        <v/>
      </c>
      <c r="C426" t="str">
        <f>IF('Transfer Definitions'!B46="y",'Population Definitions'!$A$2,"")</f>
        <v/>
      </c>
      <c r="D426" t="str">
        <f t="shared" si="36"/>
        <v/>
      </c>
      <c r="E426" t="str">
        <f t="shared" si="37"/>
        <v/>
      </c>
      <c r="F426" t="str">
        <f t="shared" si="38"/>
        <v/>
      </c>
    </row>
    <row r="427" spans="1:6" x14ac:dyDescent="0.55000000000000004">
      <c r="A427" t="str">
        <f>IF('Transfer Definitions'!C46="y",'Population Definitions'!$A$4,"...")</f>
        <v>...</v>
      </c>
      <c r="B427" t="str">
        <f>IF('Transfer Definitions'!C46="y","---&gt;","")</f>
        <v/>
      </c>
      <c r="C427" t="str">
        <f>IF('Transfer Definitions'!C46="y",'Population Definitions'!$A$3,"")</f>
        <v/>
      </c>
      <c r="D427" t="str">
        <f t="shared" si="36"/>
        <v/>
      </c>
      <c r="E427" t="str">
        <f t="shared" si="37"/>
        <v/>
      </c>
      <c r="F427" t="str">
        <f t="shared" si="38"/>
        <v/>
      </c>
    </row>
    <row r="428" spans="1:6" x14ac:dyDescent="0.55000000000000004">
      <c r="A428" t="str">
        <f>IF('Transfer Definitions'!E46="y",'Population Definitions'!$A$4,"...")</f>
        <v>...</v>
      </c>
      <c r="B428" t="str">
        <f>IF('Transfer Definitions'!E46="y","---&gt;","")</f>
        <v/>
      </c>
      <c r="C428" t="str">
        <f>IF('Transfer Definitions'!E46="y",'Population Definitions'!$A$5,"")</f>
        <v/>
      </c>
      <c r="D428" t="str">
        <f t="shared" si="36"/>
        <v/>
      </c>
      <c r="E428" t="str">
        <f t="shared" si="37"/>
        <v/>
      </c>
      <c r="F428" t="str">
        <f t="shared" si="38"/>
        <v/>
      </c>
    </row>
    <row r="429" spans="1:6" x14ac:dyDescent="0.55000000000000004">
      <c r="A429" t="str">
        <f>IF('Transfer Definitions'!F46="y",'Population Definitions'!$A$4,"...")</f>
        <v>...</v>
      </c>
      <c r="B429" t="str">
        <f>IF('Transfer Definitions'!F46="y","---&gt;","")</f>
        <v/>
      </c>
      <c r="C429" t="str">
        <f>IF('Transfer Definitions'!F46="y",'Population Definitions'!$A$6,"")</f>
        <v/>
      </c>
      <c r="D429" t="str">
        <f t="shared" si="36"/>
        <v/>
      </c>
      <c r="E429" t="str">
        <f t="shared" si="37"/>
        <v/>
      </c>
      <c r="F429" t="str">
        <f t="shared" si="38"/>
        <v/>
      </c>
    </row>
    <row r="430" spans="1:6" x14ac:dyDescent="0.55000000000000004">
      <c r="A430" t="str">
        <f>IF('Transfer Definitions'!G46="y",'Population Definitions'!$A$4,"...")</f>
        <v>...</v>
      </c>
      <c r="B430" t="str">
        <f>IF('Transfer Definitions'!G46="y","---&gt;","")</f>
        <v/>
      </c>
      <c r="C430" t="str">
        <f>IF('Transfer Definitions'!G46="y",'Population Definitions'!$A$7,"")</f>
        <v/>
      </c>
      <c r="D430" t="str">
        <f t="shared" si="36"/>
        <v/>
      </c>
      <c r="E430" t="str">
        <f t="shared" si="37"/>
        <v/>
      </c>
      <c r="F430" t="str">
        <f t="shared" si="38"/>
        <v/>
      </c>
    </row>
    <row r="431" spans="1:6" x14ac:dyDescent="0.55000000000000004">
      <c r="A431" t="str">
        <f>IF('Transfer Definitions'!H46="y",'Population Definitions'!$A$4,"...")</f>
        <v>...</v>
      </c>
      <c r="B431" t="str">
        <f>IF('Transfer Definitions'!H46="y","---&gt;","")</f>
        <v/>
      </c>
      <c r="C431" t="str">
        <f>IF('Transfer Definitions'!H46="y",'Population Definitions'!$A$8,"")</f>
        <v/>
      </c>
      <c r="D431" t="str">
        <f t="shared" si="36"/>
        <v/>
      </c>
      <c r="E431" t="str">
        <f t="shared" si="37"/>
        <v/>
      </c>
      <c r="F431" t="str">
        <f t="shared" si="38"/>
        <v/>
      </c>
    </row>
    <row r="432" spans="1:6" x14ac:dyDescent="0.55000000000000004">
      <c r="A432" t="str">
        <f>IF('Transfer Definitions'!I46="y",'Population Definitions'!$A$4,"...")</f>
        <v>...</v>
      </c>
      <c r="B432" t="str">
        <f>IF('Transfer Definitions'!I46="y","---&gt;","")</f>
        <v/>
      </c>
      <c r="C432" t="str">
        <f>IF('Transfer Definitions'!I46="y",'Population Definitions'!$A$9,"")</f>
        <v/>
      </c>
      <c r="D432" t="str">
        <f t="shared" si="36"/>
        <v/>
      </c>
      <c r="E432" t="str">
        <f t="shared" si="37"/>
        <v/>
      </c>
      <c r="F432" t="str">
        <f t="shared" si="38"/>
        <v/>
      </c>
    </row>
    <row r="433" spans="1:6" x14ac:dyDescent="0.55000000000000004">
      <c r="A433" t="str">
        <f>IF('Transfer Definitions'!J46="y",'Population Definitions'!$A$4,"...")</f>
        <v>...</v>
      </c>
      <c r="B433" t="str">
        <f>IF('Transfer Definitions'!J46="y","---&gt;","")</f>
        <v/>
      </c>
      <c r="C433" t="str">
        <f>IF('Transfer Definitions'!J46="y",'Population Definitions'!$A$10,"")</f>
        <v/>
      </c>
      <c r="D433" t="str">
        <f t="shared" si="36"/>
        <v/>
      </c>
      <c r="E433" t="str">
        <f t="shared" si="37"/>
        <v/>
      </c>
      <c r="F433" t="str">
        <f t="shared" si="38"/>
        <v/>
      </c>
    </row>
    <row r="434" spans="1:6" x14ac:dyDescent="0.55000000000000004">
      <c r="A434" t="str">
        <f>IF('Transfer Definitions'!K46="y",'Population Definitions'!$A$4,"...")</f>
        <v>...</v>
      </c>
      <c r="B434" t="str">
        <f>IF('Transfer Definitions'!K46="y","---&gt;","")</f>
        <v/>
      </c>
      <c r="C434" t="str">
        <f>IF('Transfer Definitions'!K46="y",'Population Definitions'!$A$11,"")</f>
        <v/>
      </c>
      <c r="D434" t="str">
        <f t="shared" si="36"/>
        <v/>
      </c>
      <c r="E434" t="str">
        <f t="shared" si="37"/>
        <v/>
      </c>
      <c r="F434" t="str">
        <f t="shared" si="38"/>
        <v/>
      </c>
    </row>
    <row r="435" spans="1:6" x14ac:dyDescent="0.55000000000000004">
      <c r="A435" t="str">
        <f>IF('Transfer Definitions'!L46="y",'Population Definitions'!$A$4,"...")</f>
        <v>...</v>
      </c>
      <c r="B435" t="str">
        <f>IF('Transfer Definitions'!L46="y","---&gt;","")</f>
        <v/>
      </c>
      <c r="C435" t="str">
        <f>IF('Transfer Definitions'!L46="y",'Population Definitions'!$A$12,"")</f>
        <v/>
      </c>
      <c r="D435" t="str">
        <f t="shared" si="36"/>
        <v/>
      </c>
      <c r="E435" t="str">
        <f t="shared" si="37"/>
        <v/>
      </c>
      <c r="F435" t="str">
        <f t="shared" si="38"/>
        <v/>
      </c>
    </row>
    <row r="436" spans="1:6" x14ac:dyDescent="0.55000000000000004">
      <c r="A436" t="str">
        <f>IF('Transfer Definitions'!M46="y",'Population Definitions'!$A$4,"...")</f>
        <v>...</v>
      </c>
      <c r="B436" t="str">
        <f>IF('Transfer Definitions'!M46="y","---&gt;","")</f>
        <v/>
      </c>
      <c r="C436" t="str">
        <f>IF('Transfer Definitions'!M46="y",'Population Definitions'!$A$13,"")</f>
        <v/>
      </c>
      <c r="D436" t="str">
        <f t="shared" ref="D436:D467" si="39">IF(A436&lt;&gt;"...","Fraction","")</f>
        <v/>
      </c>
      <c r="E436" t="str">
        <f t="shared" ref="E436:E467" si="40">IF(A436&lt;&gt;"...",IF(SUMPRODUCT(--(G436:W436&lt;&gt;""))=0,0,"N.A."),"")</f>
        <v/>
      </c>
      <c r="F436" t="str">
        <f t="shared" ref="F436:F467" si="41">IF(A436&lt;&gt;"...","OR","")</f>
        <v/>
      </c>
    </row>
    <row r="437" spans="1:6" x14ac:dyDescent="0.55000000000000004">
      <c r="A437" t="str">
        <f>IF('Transfer Definitions'!B47="y",'Population Definitions'!$A$5,"...")</f>
        <v>...</v>
      </c>
      <c r="B437" t="str">
        <f>IF('Transfer Definitions'!B47="y","---&gt;","")</f>
        <v/>
      </c>
      <c r="C437" t="str">
        <f>IF('Transfer Definitions'!B47="y",'Population Definitions'!$A$2,"")</f>
        <v/>
      </c>
      <c r="D437" t="str">
        <f t="shared" si="39"/>
        <v/>
      </c>
      <c r="E437" t="str">
        <f t="shared" si="40"/>
        <v/>
      </c>
      <c r="F437" t="str">
        <f t="shared" si="41"/>
        <v/>
      </c>
    </row>
    <row r="438" spans="1:6" x14ac:dyDescent="0.55000000000000004">
      <c r="A438" t="str">
        <f>IF('Transfer Definitions'!C47="y",'Population Definitions'!$A$5,"...")</f>
        <v>...</v>
      </c>
      <c r="B438" t="str">
        <f>IF('Transfer Definitions'!C47="y","---&gt;","")</f>
        <v/>
      </c>
      <c r="C438" t="str">
        <f>IF('Transfer Definitions'!C47="y",'Population Definitions'!$A$3,"")</f>
        <v/>
      </c>
      <c r="D438" t="str">
        <f t="shared" si="39"/>
        <v/>
      </c>
      <c r="E438" t="str">
        <f t="shared" si="40"/>
        <v/>
      </c>
      <c r="F438" t="str">
        <f t="shared" si="41"/>
        <v/>
      </c>
    </row>
    <row r="439" spans="1:6" x14ac:dyDescent="0.55000000000000004">
      <c r="A439" t="str">
        <f>IF('Transfer Definitions'!D47="y",'Population Definitions'!$A$5,"...")</f>
        <v>...</v>
      </c>
      <c r="B439" t="str">
        <f>IF('Transfer Definitions'!D47="y","---&gt;","")</f>
        <v/>
      </c>
      <c r="C439" t="str">
        <f>IF('Transfer Definitions'!D47="y",'Population Definitions'!$A$4,"")</f>
        <v/>
      </c>
      <c r="D439" t="str">
        <f t="shared" si="39"/>
        <v/>
      </c>
      <c r="E439" t="str">
        <f t="shared" si="40"/>
        <v/>
      </c>
      <c r="F439" t="str">
        <f t="shared" si="41"/>
        <v/>
      </c>
    </row>
    <row r="440" spans="1:6" x14ac:dyDescent="0.55000000000000004">
      <c r="A440" t="str">
        <f>IF('Transfer Definitions'!F47="y",'Population Definitions'!$A$5,"...")</f>
        <v>...</v>
      </c>
      <c r="B440" t="str">
        <f>IF('Transfer Definitions'!F47="y","---&gt;","")</f>
        <v/>
      </c>
      <c r="C440" t="str">
        <f>IF('Transfer Definitions'!F47="y",'Population Definitions'!$A$6,"")</f>
        <v/>
      </c>
      <c r="D440" t="str">
        <f t="shared" si="39"/>
        <v/>
      </c>
      <c r="E440" t="str">
        <f t="shared" si="40"/>
        <v/>
      </c>
      <c r="F440" t="str">
        <f t="shared" si="41"/>
        <v/>
      </c>
    </row>
    <row r="441" spans="1:6" x14ac:dyDescent="0.55000000000000004">
      <c r="A441" t="str">
        <f>IF('Transfer Definitions'!G47="y",'Population Definitions'!$A$5,"...")</f>
        <v>...</v>
      </c>
      <c r="B441" t="str">
        <f>IF('Transfer Definitions'!G47="y","---&gt;","")</f>
        <v/>
      </c>
      <c r="C441" t="str">
        <f>IF('Transfer Definitions'!G47="y",'Population Definitions'!$A$7,"")</f>
        <v/>
      </c>
      <c r="D441" t="str">
        <f t="shared" si="39"/>
        <v/>
      </c>
      <c r="E441" t="str">
        <f t="shared" si="40"/>
        <v/>
      </c>
      <c r="F441" t="str">
        <f t="shared" si="41"/>
        <v/>
      </c>
    </row>
    <row r="442" spans="1:6" x14ac:dyDescent="0.55000000000000004">
      <c r="A442" t="str">
        <f>IF('Transfer Definitions'!H47="y",'Population Definitions'!$A$5,"...")</f>
        <v>...</v>
      </c>
      <c r="B442" t="str">
        <f>IF('Transfer Definitions'!H47="y","---&gt;","")</f>
        <v/>
      </c>
      <c r="C442" t="str">
        <f>IF('Transfer Definitions'!H47="y",'Population Definitions'!$A$8,"")</f>
        <v/>
      </c>
      <c r="D442" t="str">
        <f t="shared" si="39"/>
        <v/>
      </c>
      <c r="E442" t="str">
        <f t="shared" si="40"/>
        <v/>
      </c>
      <c r="F442" t="str">
        <f t="shared" si="41"/>
        <v/>
      </c>
    </row>
    <row r="443" spans="1:6" x14ac:dyDescent="0.55000000000000004">
      <c r="A443" t="str">
        <f>IF('Transfer Definitions'!I47="y",'Population Definitions'!$A$5,"...")</f>
        <v>...</v>
      </c>
      <c r="B443" t="str">
        <f>IF('Transfer Definitions'!I47="y","---&gt;","")</f>
        <v/>
      </c>
      <c r="C443" t="str">
        <f>IF('Transfer Definitions'!I47="y",'Population Definitions'!$A$9,"")</f>
        <v/>
      </c>
      <c r="D443" t="str">
        <f t="shared" si="39"/>
        <v/>
      </c>
      <c r="E443" t="str">
        <f t="shared" si="40"/>
        <v/>
      </c>
      <c r="F443" t="str">
        <f t="shared" si="41"/>
        <v/>
      </c>
    </row>
    <row r="444" spans="1:6" x14ac:dyDescent="0.55000000000000004">
      <c r="A444" t="str">
        <f>IF('Transfer Definitions'!J47="y",'Population Definitions'!$A$5,"...")</f>
        <v>...</v>
      </c>
      <c r="B444" t="str">
        <f>IF('Transfer Definitions'!J47="y","---&gt;","")</f>
        <v/>
      </c>
      <c r="C444" t="str">
        <f>IF('Transfer Definitions'!J47="y",'Population Definitions'!$A$10,"")</f>
        <v/>
      </c>
      <c r="D444" t="str">
        <f t="shared" si="39"/>
        <v/>
      </c>
      <c r="E444" t="str">
        <f t="shared" si="40"/>
        <v/>
      </c>
      <c r="F444" t="str">
        <f t="shared" si="41"/>
        <v/>
      </c>
    </row>
    <row r="445" spans="1:6" x14ac:dyDescent="0.55000000000000004">
      <c r="A445" t="str">
        <f>IF('Transfer Definitions'!K47="y",'Population Definitions'!$A$5,"...")</f>
        <v>...</v>
      </c>
      <c r="B445" t="str">
        <f>IF('Transfer Definitions'!K47="y","---&gt;","")</f>
        <v/>
      </c>
      <c r="C445" t="str">
        <f>IF('Transfer Definitions'!K47="y",'Population Definitions'!$A$11,"")</f>
        <v/>
      </c>
      <c r="D445" t="str">
        <f t="shared" si="39"/>
        <v/>
      </c>
      <c r="E445" t="str">
        <f t="shared" si="40"/>
        <v/>
      </c>
      <c r="F445" t="str">
        <f t="shared" si="41"/>
        <v/>
      </c>
    </row>
    <row r="446" spans="1:6" x14ac:dyDescent="0.55000000000000004">
      <c r="A446" t="str">
        <f>IF('Transfer Definitions'!L47="y",'Population Definitions'!$A$5,"...")</f>
        <v>...</v>
      </c>
      <c r="B446" t="str">
        <f>IF('Transfer Definitions'!L47="y","---&gt;","")</f>
        <v/>
      </c>
      <c r="C446" t="str">
        <f>IF('Transfer Definitions'!L47="y",'Population Definitions'!$A$12,"")</f>
        <v/>
      </c>
      <c r="D446" t="str">
        <f t="shared" si="39"/>
        <v/>
      </c>
      <c r="E446" t="str">
        <f t="shared" si="40"/>
        <v/>
      </c>
      <c r="F446" t="str">
        <f t="shared" si="41"/>
        <v/>
      </c>
    </row>
    <row r="447" spans="1:6" x14ac:dyDescent="0.55000000000000004">
      <c r="A447" t="str">
        <f>IF('Transfer Definitions'!M47="y",'Population Definitions'!$A$5,"...")</f>
        <v>...</v>
      </c>
      <c r="B447" t="str">
        <f>IF('Transfer Definitions'!M47="y","---&gt;","")</f>
        <v/>
      </c>
      <c r="C447" t="str">
        <f>IF('Transfer Definitions'!M47="y",'Population Definitions'!$A$13,"")</f>
        <v/>
      </c>
      <c r="D447" t="str">
        <f t="shared" si="39"/>
        <v/>
      </c>
      <c r="E447" t="str">
        <f t="shared" si="40"/>
        <v/>
      </c>
      <c r="F447" t="str">
        <f t="shared" si="41"/>
        <v/>
      </c>
    </row>
    <row r="448" spans="1:6" x14ac:dyDescent="0.55000000000000004">
      <c r="A448" t="str">
        <f>IF('Transfer Definitions'!B48="y",'Population Definitions'!$A$6,"...")</f>
        <v>...</v>
      </c>
      <c r="B448" t="str">
        <f>IF('Transfer Definitions'!B48="y","---&gt;","")</f>
        <v/>
      </c>
      <c r="C448" t="str">
        <f>IF('Transfer Definitions'!B48="y",'Population Definitions'!$A$2,"")</f>
        <v/>
      </c>
      <c r="D448" t="str">
        <f t="shared" si="39"/>
        <v/>
      </c>
      <c r="E448" t="str">
        <f t="shared" si="40"/>
        <v/>
      </c>
      <c r="F448" t="str">
        <f t="shared" si="41"/>
        <v/>
      </c>
    </row>
    <row r="449" spans="1:6" x14ac:dyDescent="0.55000000000000004">
      <c r="A449" t="str">
        <f>IF('Transfer Definitions'!C48="y",'Population Definitions'!$A$6,"...")</f>
        <v>...</v>
      </c>
      <c r="B449" t="str">
        <f>IF('Transfer Definitions'!C48="y","---&gt;","")</f>
        <v/>
      </c>
      <c r="C449" t="str">
        <f>IF('Transfer Definitions'!C48="y",'Population Definitions'!$A$3,"")</f>
        <v/>
      </c>
      <c r="D449" t="str">
        <f t="shared" si="39"/>
        <v/>
      </c>
      <c r="E449" t="str">
        <f t="shared" si="40"/>
        <v/>
      </c>
      <c r="F449" t="str">
        <f t="shared" si="41"/>
        <v/>
      </c>
    </row>
    <row r="450" spans="1:6" x14ac:dyDescent="0.55000000000000004">
      <c r="A450" t="str">
        <f>IF('Transfer Definitions'!D48="y",'Population Definitions'!$A$6,"...")</f>
        <v>...</v>
      </c>
      <c r="B450" t="str">
        <f>IF('Transfer Definitions'!D48="y","---&gt;","")</f>
        <v/>
      </c>
      <c r="C450" t="str">
        <f>IF('Transfer Definitions'!D48="y",'Population Definitions'!$A$4,"")</f>
        <v/>
      </c>
      <c r="D450" t="str">
        <f t="shared" si="39"/>
        <v/>
      </c>
      <c r="E450" t="str">
        <f t="shared" si="40"/>
        <v/>
      </c>
      <c r="F450" t="str">
        <f t="shared" si="41"/>
        <v/>
      </c>
    </row>
    <row r="451" spans="1:6" x14ac:dyDescent="0.55000000000000004">
      <c r="A451" t="str">
        <f>IF('Transfer Definitions'!E48="y",'Population Definitions'!$A$6,"...")</f>
        <v>...</v>
      </c>
      <c r="B451" t="str">
        <f>IF('Transfer Definitions'!E48="y","---&gt;","")</f>
        <v/>
      </c>
      <c r="C451" t="str">
        <f>IF('Transfer Definitions'!E48="y",'Population Definitions'!$A$5,"")</f>
        <v/>
      </c>
      <c r="D451" t="str">
        <f t="shared" si="39"/>
        <v/>
      </c>
      <c r="E451" t="str">
        <f t="shared" si="40"/>
        <v/>
      </c>
      <c r="F451" t="str">
        <f t="shared" si="41"/>
        <v/>
      </c>
    </row>
    <row r="452" spans="1:6" x14ac:dyDescent="0.55000000000000004">
      <c r="A452" t="str">
        <f>IF('Transfer Definitions'!G48="y",'Population Definitions'!$A$6,"...")</f>
        <v>...</v>
      </c>
      <c r="B452" t="str">
        <f>IF('Transfer Definitions'!G48="y","---&gt;","")</f>
        <v/>
      </c>
      <c r="C452" t="str">
        <f>IF('Transfer Definitions'!G48="y",'Population Definitions'!$A$7,"")</f>
        <v/>
      </c>
      <c r="D452" t="str">
        <f t="shared" si="39"/>
        <v/>
      </c>
      <c r="E452" t="str">
        <f t="shared" si="40"/>
        <v/>
      </c>
      <c r="F452" t="str">
        <f t="shared" si="41"/>
        <v/>
      </c>
    </row>
    <row r="453" spans="1:6" x14ac:dyDescent="0.55000000000000004">
      <c r="A453" t="str">
        <f>IF('Transfer Definitions'!H48="y",'Population Definitions'!$A$6,"...")</f>
        <v>...</v>
      </c>
      <c r="B453" t="str">
        <f>IF('Transfer Definitions'!H48="y","---&gt;","")</f>
        <v/>
      </c>
      <c r="C453" t="str">
        <f>IF('Transfer Definitions'!H48="y",'Population Definitions'!$A$8,"")</f>
        <v/>
      </c>
      <c r="D453" t="str">
        <f t="shared" si="39"/>
        <v/>
      </c>
      <c r="E453" t="str">
        <f t="shared" si="40"/>
        <v/>
      </c>
      <c r="F453" t="str">
        <f t="shared" si="41"/>
        <v/>
      </c>
    </row>
    <row r="454" spans="1:6" x14ac:dyDescent="0.55000000000000004">
      <c r="A454" t="str">
        <f>IF('Transfer Definitions'!I48="y",'Population Definitions'!$A$6,"...")</f>
        <v>...</v>
      </c>
      <c r="B454" t="str">
        <f>IF('Transfer Definitions'!I48="y","---&gt;","")</f>
        <v/>
      </c>
      <c r="C454" t="str">
        <f>IF('Transfer Definitions'!I48="y",'Population Definitions'!$A$9,"")</f>
        <v/>
      </c>
      <c r="D454" t="str">
        <f t="shared" si="39"/>
        <v/>
      </c>
      <c r="E454" t="str">
        <f t="shared" si="40"/>
        <v/>
      </c>
      <c r="F454" t="str">
        <f t="shared" si="41"/>
        <v/>
      </c>
    </row>
    <row r="455" spans="1:6" x14ac:dyDescent="0.55000000000000004">
      <c r="A455" t="str">
        <f>IF('Transfer Definitions'!J48="y",'Population Definitions'!$A$6,"...")</f>
        <v>...</v>
      </c>
      <c r="B455" t="str">
        <f>IF('Transfer Definitions'!J48="y","---&gt;","")</f>
        <v/>
      </c>
      <c r="C455" t="str">
        <f>IF('Transfer Definitions'!J48="y",'Population Definitions'!$A$10,"")</f>
        <v/>
      </c>
      <c r="D455" t="str">
        <f t="shared" si="39"/>
        <v/>
      </c>
      <c r="E455" t="str">
        <f t="shared" si="40"/>
        <v/>
      </c>
      <c r="F455" t="str">
        <f t="shared" si="41"/>
        <v/>
      </c>
    </row>
    <row r="456" spans="1:6" x14ac:dyDescent="0.55000000000000004">
      <c r="A456" t="str">
        <f>IF('Transfer Definitions'!K48="y",'Population Definitions'!$A$6,"...")</f>
        <v>...</v>
      </c>
      <c r="B456" t="str">
        <f>IF('Transfer Definitions'!K48="y","---&gt;","")</f>
        <v/>
      </c>
      <c r="C456" t="str">
        <f>IF('Transfer Definitions'!K48="y",'Population Definitions'!$A$11,"")</f>
        <v/>
      </c>
      <c r="D456" t="str">
        <f t="shared" si="39"/>
        <v/>
      </c>
      <c r="E456" t="str">
        <f t="shared" si="40"/>
        <v/>
      </c>
      <c r="F456" t="str">
        <f t="shared" si="41"/>
        <v/>
      </c>
    </row>
    <row r="457" spans="1:6" x14ac:dyDescent="0.55000000000000004">
      <c r="A457" t="str">
        <f>IF('Transfer Definitions'!L48="y",'Population Definitions'!$A$6,"...")</f>
        <v>...</v>
      </c>
      <c r="B457" t="str">
        <f>IF('Transfer Definitions'!L48="y","---&gt;","")</f>
        <v/>
      </c>
      <c r="C457" t="str">
        <f>IF('Transfer Definitions'!L48="y",'Population Definitions'!$A$12,"")</f>
        <v/>
      </c>
      <c r="D457" t="str">
        <f t="shared" si="39"/>
        <v/>
      </c>
      <c r="E457" t="str">
        <f t="shared" si="40"/>
        <v/>
      </c>
      <c r="F457" t="str">
        <f t="shared" si="41"/>
        <v/>
      </c>
    </row>
    <row r="458" spans="1:6" x14ac:dyDescent="0.55000000000000004">
      <c r="A458" t="str">
        <f>IF('Transfer Definitions'!M48="y",'Population Definitions'!$A$6,"...")</f>
        <v>...</v>
      </c>
      <c r="B458" t="str">
        <f>IF('Transfer Definitions'!M48="y","---&gt;","")</f>
        <v/>
      </c>
      <c r="C458" t="str">
        <f>IF('Transfer Definitions'!M48="y",'Population Definitions'!$A$13,"")</f>
        <v/>
      </c>
      <c r="D458" t="str">
        <f t="shared" si="39"/>
        <v/>
      </c>
      <c r="E458" t="str">
        <f t="shared" si="40"/>
        <v/>
      </c>
      <c r="F458" t="str">
        <f t="shared" si="41"/>
        <v/>
      </c>
    </row>
    <row r="459" spans="1:6" x14ac:dyDescent="0.55000000000000004">
      <c r="A459" t="str">
        <f>IF('Transfer Definitions'!B49="y",'Population Definitions'!$A$7,"...")</f>
        <v>...</v>
      </c>
      <c r="B459" t="str">
        <f>IF('Transfer Definitions'!B49="y","---&gt;","")</f>
        <v/>
      </c>
      <c r="C459" t="str">
        <f>IF('Transfer Definitions'!B49="y",'Population Definitions'!$A$2,"")</f>
        <v/>
      </c>
      <c r="D459" t="str">
        <f t="shared" si="39"/>
        <v/>
      </c>
      <c r="E459" t="str">
        <f t="shared" si="40"/>
        <v/>
      </c>
      <c r="F459" t="str">
        <f t="shared" si="41"/>
        <v/>
      </c>
    </row>
    <row r="460" spans="1:6" x14ac:dyDescent="0.55000000000000004">
      <c r="A460" t="str">
        <f>IF('Transfer Definitions'!C49="y",'Population Definitions'!$A$7,"...")</f>
        <v>...</v>
      </c>
      <c r="B460" t="str">
        <f>IF('Transfer Definitions'!C49="y","---&gt;","")</f>
        <v/>
      </c>
      <c r="C460" t="str">
        <f>IF('Transfer Definitions'!C49="y",'Population Definitions'!$A$3,"")</f>
        <v/>
      </c>
      <c r="D460" t="str">
        <f t="shared" si="39"/>
        <v/>
      </c>
      <c r="E460" t="str">
        <f t="shared" si="40"/>
        <v/>
      </c>
      <c r="F460" t="str">
        <f t="shared" si="41"/>
        <v/>
      </c>
    </row>
    <row r="461" spans="1:6" x14ac:dyDescent="0.55000000000000004">
      <c r="A461" t="str">
        <f>IF('Transfer Definitions'!D49="y",'Population Definitions'!$A$7,"...")</f>
        <v>...</v>
      </c>
      <c r="B461" t="str">
        <f>IF('Transfer Definitions'!D49="y","---&gt;","")</f>
        <v/>
      </c>
      <c r="C461" t="str">
        <f>IF('Transfer Definitions'!D49="y",'Population Definitions'!$A$4,"")</f>
        <v/>
      </c>
      <c r="D461" t="str">
        <f t="shared" si="39"/>
        <v/>
      </c>
      <c r="E461" t="str">
        <f t="shared" si="40"/>
        <v/>
      </c>
      <c r="F461" t="str">
        <f t="shared" si="41"/>
        <v/>
      </c>
    </row>
    <row r="462" spans="1:6" x14ac:dyDescent="0.55000000000000004">
      <c r="A462" t="str">
        <f>IF('Transfer Definitions'!E49="y",'Population Definitions'!$A$7,"...")</f>
        <v>...</v>
      </c>
      <c r="B462" t="str">
        <f>IF('Transfer Definitions'!E49="y","---&gt;","")</f>
        <v/>
      </c>
      <c r="C462" t="str">
        <f>IF('Transfer Definitions'!E49="y",'Population Definitions'!$A$5,"")</f>
        <v/>
      </c>
      <c r="D462" t="str">
        <f t="shared" si="39"/>
        <v/>
      </c>
      <c r="E462" t="str">
        <f t="shared" si="40"/>
        <v/>
      </c>
      <c r="F462" t="str">
        <f t="shared" si="41"/>
        <v/>
      </c>
    </row>
    <row r="463" spans="1:6" x14ac:dyDescent="0.55000000000000004">
      <c r="A463" t="str">
        <f>IF('Transfer Definitions'!F49="y",'Population Definitions'!$A$7,"...")</f>
        <v>...</v>
      </c>
      <c r="B463" t="str">
        <f>IF('Transfer Definitions'!F49="y","---&gt;","")</f>
        <v/>
      </c>
      <c r="C463" t="str">
        <f>IF('Transfer Definitions'!F49="y",'Population Definitions'!$A$6,"")</f>
        <v/>
      </c>
      <c r="D463" t="str">
        <f t="shared" si="39"/>
        <v/>
      </c>
      <c r="E463" t="str">
        <f t="shared" si="40"/>
        <v/>
      </c>
      <c r="F463" t="str">
        <f t="shared" si="41"/>
        <v/>
      </c>
    </row>
    <row r="464" spans="1:6" x14ac:dyDescent="0.55000000000000004">
      <c r="A464" t="str">
        <f>IF('Transfer Definitions'!H49="y",'Population Definitions'!$A$7,"...")</f>
        <v>...</v>
      </c>
      <c r="B464" t="str">
        <f>IF('Transfer Definitions'!H49="y","---&gt;","")</f>
        <v/>
      </c>
      <c r="C464" t="str">
        <f>IF('Transfer Definitions'!H49="y",'Population Definitions'!$A$8,"")</f>
        <v/>
      </c>
      <c r="D464" t="str">
        <f t="shared" si="39"/>
        <v/>
      </c>
      <c r="E464" t="str">
        <f t="shared" si="40"/>
        <v/>
      </c>
      <c r="F464" t="str">
        <f t="shared" si="41"/>
        <v/>
      </c>
    </row>
    <row r="465" spans="1:6" x14ac:dyDescent="0.55000000000000004">
      <c r="A465" t="str">
        <f>IF('Transfer Definitions'!I49="y",'Population Definitions'!$A$7,"...")</f>
        <v>...</v>
      </c>
      <c r="B465" t="str">
        <f>IF('Transfer Definitions'!I49="y","---&gt;","")</f>
        <v/>
      </c>
      <c r="C465" t="str">
        <f>IF('Transfer Definitions'!I49="y",'Population Definitions'!$A$9,"")</f>
        <v/>
      </c>
      <c r="D465" t="str">
        <f t="shared" si="39"/>
        <v/>
      </c>
      <c r="E465" t="str">
        <f t="shared" si="40"/>
        <v/>
      </c>
      <c r="F465" t="str">
        <f t="shared" si="41"/>
        <v/>
      </c>
    </row>
    <row r="466" spans="1:6" x14ac:dyDescent="0.55000000000000004">
      <c r="A466" t="str">
        <f>IF('Transfer Definitions'!J49="y",'Population Definitions'!$A$7,"...")</f>
        <v>...</v>
      </c>
      <c r="B466" t="str">
        <f>IF('Transfer Definitions'!J49="y","---&gt;","")</f>
        <v/>
      </c>
      <c r="C466" t="str">
        <f>IF('Transfer Definitions'!J49="y",'Population Definitions'!$A$10,"")</f>
        <v/>
      </c>
      <c r="D466" t="str">
        <f t="shared" si="39"/>
        <v/>
      </c>
      <c r="E466" t="str">
        <f t="shared" si="40"/>
        <v/>
      </c>
      <c r="F466" t="str">
        <f t="shared" si="41"/>
        <v/>
      </c>
    </row>
    <row r="467" spans="1:6" x14ac:dyDescent="0.55000000000000004">
      <c r="A467" t="str">
        <f>IF('Transfer Definitions'!K49="y",'Population Definitions'!$A$7,"...")</f>
        <v>...</v>
      </c>
      <c r="B467" t="str">
        <f>IF('Transfer Definitions'!K49="y","---&gt;","")</f>
        <v/>
      </c>
      <c r="C467" t="str">
        <f>IF('Transfer Definitions'!K49="y",'Population Definitions'!$A$11,"")</f>
        <v/>
      </c>
      <c r="D467" t="str">
        <f t="shared" si="39"/>
        <v/>
      </c>
      <c r="E467" t="str">
        <f t="shared" si="40"/>
        <v/>
      </c>
      <c r="F467" t="str">
        <f t="shared" si="41"/>
        <v/>
      </c>
    </row>
    <row r="468" spans="1:6" x14ac:dyDescent="0.55000000000000004">
      <c r="A468" t="str">
        <f>IF('Transfer Definitions'!L49="y",'Population Definitions'!$A$7,"...")</f>
        <v>...</v>
      </c>
      <c r="B468" t="str">
        <f>IF('Transfer Definitions'!L49="y","---&gt;","")</f>
        <v/>
      </c>
      <c r="C468" t="str">
        <f>IF('Transfer Definitions'!L49="y",'Population Definitions'!$A$12,"")</f>
        <v/>
      </c>
      <c r="D468" t="str">
        <f t="shared" ref="D468:D499" si="42">IF(A468&lt;&gt;"...","Fraction","")</f>
        <v/>
      </c>
      <c r="E468" t="str">
        <f t="shared" ref="E468:E499" si="43">IF(A468&lt;&gt;"...",IF(SUMPRODUCT(--(G468:W468&lt;&gt;""))=0,0,"N.A."),"")</f>
        <v/>
      </c>
      <c r="F468" t="str">
        <f t="shared" ref="F468:F499" si="44">IF(A468&lt;&gt;"...","OR","")</f>
        <v/>
      </c>
    </row>
    <row r="469" spans="1:6" x14ac:dyDescent="0.55000000000000004">
      <c r="A469" t="str">
        <f>IF('Transfer Definitions'!M49="y",'Population Definitions'!$A$7,"...")</f>
        <v>...</v>
      </c>
      <c r="B469" t="str">
        <f>IF('Transfer Definitions'!M49="y","---&gt;","")</f>
        <v/>
      </c>
      <c r="C469" t="str">
        <f>IF('Transfer Definitions'!M49="y",'Population Definitions'!$A$13,"")</f>
        <v/>
      </c>
      <c r="D469" t="str">
        <f t="shared" si="42"/>
        <v/>
      </c>
      <c r="E469" t="str">
        <f t="shared" si="43"/>
        <v/>
      </c>
      <c r="F469" t="str">
        <f t="shared" si="44"/>
        <v/>
      </c>
    </row>
    <row r="470" spans="1:6" x14ac:dyDescent="0.55000000000000004">
      <c r="A470" t="str">
        <f>IF('Transfer Definitions'!B50="y",'Population Definitions'!$A$8,"...")</f>
        <v>...</v>
      </c>
      <c r="B470" t="str">
        <f>IF('Transfer Definitions'!B50="y","---&gt;","")</f>
        <v/>
      </c>
      <c r="C470" t="str">
        <f>IF('Transfer Definitions'!B50="y",'Population Definitions'!$A$2,"")</f>
        <v/>
      </c>
      <c r="D470" t="str">
        <f t="shared" si="42"/>
        <v/>
      </c>
      <c r="E470" t="str">
        <f t="shared" si="43"/>
        <v/>
      </c>
      <c r="F470" t="str">
        <f t="shared" si="44"/>
        <v/>
      </c>
    </row>
    <row r="471" spans="1:6" x14ac:dyDescent="0.55000000000000004">
      <c r="A471" t="str">
        <f>IF('Transfer Definitions'!C50="y",'Population Definitions'!$A$8,"...")</f>
        <v>...</v>
      </c>
      <c r="B471" t="str">
        <f>IF('Transfer Definitions'!C50="y","---&gt;","")</f>
        <v/>
      </c>
      <c r="C471" t="str">
        <f>IF('Transfer Definitions'!C50="y",'Population Definitions'!$A$3,"")</f>
        <v/>
      </c>
      <c r="D471" t="str">
        <f t="shared" si="42"/>
        <v/>
      </c>
      <c r="E471" t="str">
        <f t="shared" si="43"/>
        <v/>
      </c>
      <c r="F471" t="str">
        <f t="shared" si="44"/>
        <v/>
      </c>
    </row>
    <row r="472" spans="1:6" x14ac:dyDescent="0.55000000000000004">
      <c r="A472" t="str">
        <f>IF('Transfer Definitions'!D50="y",'Population Definitions'!$A$8,"...")</f>
        <v>...</v>
      </c>
      <c r="B472" t="str">
        <f>IF('Transfer Definitions'!D50="y","---&gt;","")</f>
        <v/>
      </c>
      <c r="C472" t="str">
        <f>IF('Transfer Definitions'!D50="y",'Population Definitions'!$A$4,"")</f>
        <v/>
      </c>
      <c r="D472" t="str">
        <f t="shared" si="42"/>
        <v/>
      </c>
      <c r="E472" t="str">
        <f t="shared" si="43"/>
        <v/>
      </c>
      <c r="F472" t="str">
        <f t="shared" si="44"/>
        <v/>
      </c>
    </row>
    <row r="473" spans="1:6" x14ac:dyDescent="0.55000000000000004">
      <c r="A473" t="str">
        <f>IF('Transfer Definitions'!E50="y",'Population Definitions'!$A$8,"...")</f>
        <v>...</v>
      </c>
      <c r="B473" t="str">
        <f>IF('Transfer Definitions'!E50="y","---&gt;","")</f>
        <v/>
      </c>
      <c r="C473" t="str">
        <f>IF('Transfer Definitions'!E50="y",'Population Definitions'!$A$5,"")</f>
        <v/>
      </c>
      <c r="D473" t="str">
        <f t="shared" si="42"/>
        <v/>
      </c>
      <c r="E473" t="str">
        <f t="shared" si="43"/>
        <v/>
      </c>
      <c r="F473" t="str">
        <f t="shared" si="44"/>
        <v/>
      </c>
    </row>
    <row r="474" spans="1:6" x14ac:dyDescent="0.55000000000000004">
      <c r="A474" t="str">
        <f>IF('Transfer Definitions'!F50="y",'Population Definitions'!$A$8,"...")</f>
        <v>...</v>
      </c>
      <c r="B474" t="str">
        <f>IF('Transfer Definitions'!F50="y","---&gt;","")</f>
        <v/>
      </c>
      <c r="C474" t="str">
        <f>IF('Transfer Definitions'!F50="y",'Population Definitions'!$A$6,"")</f>
        <v/>
      </c>
      <c r="D474" t="str">
        <f t="shared" si="42"/>
        <v/>
      </c>
      <c r="E474" t="str">
        <f t="shared" si="43"/>
        <v/>
      </c>
      <c r="F474" t="str">
        <f t="shared" si="44"/>
        <v/>
      </c>
    </row>
    <row r="475" spans="1:6" x14ac:dyDescent="0.55000000000000004">
      <c r="A475" t="str">
        <f>IF('Transfer Definitions'!G50="y",'Population Definitions'!$A$8,"...")</f>
        <v>...</v>
      </c>
      <c r="B475" t="str">
        <f>IF('Transfer Definitions'!G50="y","---&gt;","")</f>
        <v/>
      </c>
      <c r="C475" t="str">
        <f>IF('Transfer Definitions'!G50="y",'Population Definitions'!$A$7,"")</f>
        <v/>
      </c>
      <c r="D475" t="str">
        <f t="shared" si="42"/>
        <v/>
      </c>
      <c r="E475" t="str">
        <f t="shared" si="43"/>
        <v/>
      </c>
      <c r="F475" t="str">
        <f t="shared" si="44"/>
        <v/>
      </c>
    </row>
    <row r="476" spans="1:6" x14ac:dyDescent="0.55000000000000004">
      <c r="A476" t="str">
        <f>IF('Transfer Definitions'!I50="y",'Population Definitions'!$A$8,"...")</f>
        <v>...</v>
      </c>
      <c r="B476" t="str">
        <f>IF('Transfer Definitions'!I50="y","---&gt;","")</f>
        <v/>
      </c>
      <c r="C476" t="str">
        <f>IF('Transfer Definitions'!I50="y",'Population Definitions'!$A$9,"")</f>
        <v/>
      </c>
      <c r="D476" t="str">
        <f t="shared" si="42"/>
        <v/>
      </c>
      <c r="E476" t="str">
        <f t="shared" si="43"/>
        <v/>
      </c>
      <c r="F476" t="str">
        <f t="shared" si="44"/>
        <v/>
      </c>
    </row>
    <row r="477" spans="1:6" x14ac:dyDescent="0.55000000000000004">
      <c r="A477" t="str">
        <f>IF('Transfer Definitions'!J50="y",'Population Definitions'!$A$8,"...")</f>
        <v>...</v>
      </c>
      <c r="B477" t="str">
        <f>IF('Transfer Definitions'!J50="y","---&gt;","")</f>
        <v/>
      </c>
      <c r="C477" t="str">
        <f>IF('Transfer Definitions'!J50="y",'Population Definitions'!$A$10,"")</f>
        <v/>
      </c>
      <c r="D477" t="str">
        <f t="shared" si="42"/>
        <v/>
      </c>
      <c r="E477" t="str">
        <f t="shared" si="43"/>
        <v/>
      </c>
      <c r="F477" t="str">
        <f t="shared" si="44"/>
        <v/>
      </c>
    </row>
    <row r="478" spans="1:6" x14ac:dyDescent="0.55000000000000004">
      <c r="A478" t="str">
        <f>IF('Transfer Definitions'!K50="y",'Population Definitions'!$A$8,"...")</f>
        <v>...</v>
      </c>
      <c r="B478" t="str">
        <f>IF('Transfer Definitions'!K50="y","---&gt;","")</f>
        <v/>
      </c>
      <c r="C478" t="str">
        <f>IF('Transfer Definitions'!K50="y",'Population Definitions'!$A$11,"")</f>
        <v/>
      </c>
      <c r="D478" t="str">
        <f t="shared" si="42"/>
        <v/>
      </c>
      <c r="E478" t="str">
        <f t="shared" si="43"/>
        <v/>
      </c>
      <c r="F478" t="str">
        <f t="shared" si="44"/>
        <v/>
      </c>
    </row>
    <row r="479" spans="1:6" x14ac:dyDescent="0.55000000000000004">
      <c r="A479" t="str">
        <f>IF('Transfer Definitions'!L50="y",'Population Definitions'!$A$8,"...")</f>
        <v>...</v>
      </c>
      <c r="B479" t="str">
        <f>IF('Transfer Definitions'!L50="y","---&gt;","")</f>
        <v/>
      </c>
      <c r="C479" t="str">
        <f>IF('Transfer Definitions'!L50="y",'Population Definitions'!$A$12,"")</f>
        <v/>
      </c>
      <c r="D479" t="str">
        <f t="shared" si="42"/>
        <v/>
      </c>
      <c r="E479" t="str">
        <f t="shared" si="43"/>
        <v/>
      </c>
      <c r="F479" t="str">
        <f t="shared" si="44"/>
        <v/>
      </c>
    </row>
    <row r="480" spans="1:6" x14ac:dyDescent="0.55000000000000004">
      <c r="A480" t="str">
        <f>IF('Transfer Definitions'!M50="y",'Population Definitions'!$A$8,"...")</f>
        <v>...</v>
      </c>
      <c r="B480" t="str">
        <f>IF('Transfer Definitions'!M50="y","---&gt;","")</f>
        <v/>
      </c>
      <c r="C480" t="str">
        <f>IF('Transfer Definitions'!M50="y",'Population Definitions'!$A$13,"")</f>
        <v/>
      </c>
      <c r="D480" t="str">
        <f t="shared" si="42"/>
        <v/>
      </c>
      <c r="E480" t="str">
        <f t="shared" si="43"/>
        <v/>
      </c>
      <c r="F480" t="str">
        <f t="shared" si="44"/>
        <v/>
      </c>
    </row>
    <row r="481" spans="1:6" x14ac:dyDescent="0.55000000000000004">
      <c r="A481" t="str">
        <f>IF('Transfer Definitions'!B51="y",'Population Definitions'!$A$9,"...")</f>
        <v>...</v>
      </c>
      <c r="B481" t="str">
        <f>IF('Transfer Definitions'!B51="y","---&gt;","")</f>
        <v/>
      </c>
      <c r="C481" t="str">
        <f>IF('Transfer Definitions'!B51="y",'Population Definitions'!$A$2,"")</f>
        <v/>
      </c>
      <c r="D481" t="str">
        <f t="shared" si="42"/>
        <v/>
      </c>
      <c r="E481" t="str">
        <f t="shared" si="43"/>
        <v/>
      </c>
      <c r="F481" t="str">
        <f t="shared" si="44"/>
        <v/>
      </c>
    </row>
    <row r="482" spans="1:6" x14ac:dyDescent="0.55000000000000004">
      <c r="A482" t="str">
        <f>IF('Transfer Definitions'!C51="y",'Population Definitions'!$A$9,"...")</f>
        <v>...</v>
      </c>
      <c r="B482" t="str">
        <f>IF('Transfer Definitions'!C51="y","---&gt;","")</f>
        <v/>
      </c>
      <c r="C482" t="str">
        <f>IF('Transfer Definitions'!C51="y",'Population Definitions'!$A$3,"")</f>
        <v/>
      </c>
      <c r="D482" t="str">
        <f t="shared" si="42"/>
        <v/>
      </c>
      <c r="E482" t="str">
        <f t="shared" si="43"/>
        <v/>
      </c>
      <c r="F482" t="str">
        <f t="shared" si="44"/>
        <v/>
      </c>
    </row>
    <row r="483" spans="1:6" x14ac:dyDescent="0.55000000000000004">
      <c r="A483" t="str">
        <f>IF('Transfer Definitions'!D51="y",'Population Definitions'!$A$9,"...")</f>
        <v>...</v>
      </c>
      <c r="B483" t="str">
        <f>IF('Transfer Definitions'!D51="y","---&gt;","")</f>
        <v/>
      </c>
      <c r="C483" t="str">
        <f>IF('Transfer Definitions'!D51="y",'Population Definitions'!$A$4,"")</f>
        <v/>
      </c>
      <c r="D483" t="str">
        <f t="shared" si="42"/>
        <v/>
      </c>
      <c r="E483" t="str">
        <f t="shared" si="43"/>
        <v/>
      </c>
      <c r="F483" t="str">
        <f t="shared" si="44"/>
        <v/>
      </c>
    </row>
    <row r="484" spans="1:6" x14ac:dyDescent="0.55000000000000004">
      <c r="A484" t="str">
        <f>IF('Transfer Definitions'!E51="y",'Population Definitions'!$A$9,"...")</f>
        <v>...</v>
      </c>
      <c r="B484" t="str">
        <f>IF('Transfer Definitions'!E51="y","---&gt;","")</f>
        <v/>
      </c>
      <c r="C484" t="str">
        <f>IF('Transfer Definitions'!E51="y",'Population Definitions'!$A$5,"")</f>
        <v/>
      </c>
      <c r="D484" t="str">
        <f t="shared" si="42"/>
        <v/>
      </c>
      <c r="E484" t="str">
        <f t="shared" si="43"/>
        <v/>
      </c>
      <c r="F484" t="str">
        <f t="shared" si="44"/>
        <v/>
      </c>
    </row>
    <row r="485" spans="1:6" x14ac:dyDescent="0.55000000000000004">
      <c r="A485" t="str">
        <f>IF('Transfer Definitions'!F51="y",'Population Definitions'!$A$9,"...")</f>
        <v>...</v>
      </c>
      <c r="B485" t="str">
        <f>IF('Transfer Definitions'!F51="y","---&gt;","")</f>
        <v/>
      </c>
      <c r="C485" t="str">
        <f>IF('Transfer Definitions'!F51="y",'Population Definitions'!$A$6,"")</f>
        <v/>
      </c>
      <c r="D485" t="str">
        <f t="shared" si="42"/>
        <v/>
      </c>
      <c r="E485" t="str">
        <f t="shared" si="43"/>
        <v/>
      </c>
      <c r="F485" t="str">
        <f t="shared" si="44"/>
        <v/>
      </c>
    </row>
    <row r="486" spans="1:6" x14ac:dyDescent="0.55000000000000004">
      <c r="A486" t="str">
        <f>IF('Transfer Definitions'!G51="y",'Population Definitions'!$A$9,"...")</f>
        <v>...</v>
      </c>
      <c r="B486" t="str">
        <f>IF('Transfer Definitions'!G51="y","---&gt;","")</f>
        <v/>
      </c>
      <c r="C486" t="str">
        <f>IF('Transfer Definitions'!G51="y",'Population Definitions'!$A$7,"")</f>
        <v/>
      </c>
      <c r="D486" t="str">
        <f t="shared" si="42"/>
        <v/>
      </c>
      <c r="E486" t="str">
        <f t="shared" si="43"/>
        <v/>
      </c>
      <c r="F486" t="str">
        <f t="shared" si="44"/>
        <v/>
      </c>
    </row>
    <row r="487" spans="1:6" x14ac:dyDescent="0.55000000000000004">
      <c r="A487" t="str">
        <f>IF('Transfer Definitions'!H51="y",'Population Definitions'!$A$9,"...")</f>
        <v>...</v>
      </c>
      <c r="B487" t="str">
        <f>IF('Transfer Definitions'!H51="y","---&gt;","")</f>
        <v/>
      </c>
      <c r="C487" t="str">
        <f>IF('Transfer Definitions'!H51="y",'Population Definitions'!$A$8,"")</f>
        <v/>
      </c>
      <c r="D487" t="str">
        <f t="shared" si="42"/>
        <v/>
      </c>
      <c r="E487" t="str">
        <f t="shared" si="43"/>
        <v/>
      </c>
      <c r="F487" t="str">
        <f t="shared" si="44"/>
        <v/>
      </c>
    </row>
    <row r="488" spans="1:6" x14ac:dyDescent="0.55000000000000004">
      <c r="A488" t="str">
        <f>IF('Transfer Definitions'!J51="y",'Population Definitions'!$A$9,"...")</f>
        <v>...</v>
      </c>
      <c r="B488" t="str">
        <f>IF('Transfer Definitions'!J51="y","---&gt;","")</f>
        <v/>
      </c>
      <c r="C488" t="str">
        <f>IF('Transfer Definitions'!J51="y",'Population Definitions'!$A$10,"")</f>
        <v/>
      </c>
      <c r="D488" t="str">
        <f t="shared" si="42"/>
        <v/>
      </c>
      <c r="E488" t="str">
        <f t="shared" si="43"/>
        <v/>
      </c>
      <c r="F488" t="str">
        <f t="shared" si="44"/>
        <v/>
      </c>
    </row>
    <row r="489" spans="1:6" x14ac:dyDescent="0.55000000000000004">
      <c r="A489" t="str">
        <f>IF('Transfer Definitions'!K51="y",'Population Definitions'!$A$9,"...")</f>
        <v>...</v>
      </c>
      <c r="B489" t="str">
        <f>IF('Transfer Definitions'!K51="y","---&gt;","")</f>
        <v/>
      </c>
      <c r="C489" t="str">
        <f>IF('Transfer Definitions'!K51="y",'Population Definitions'!$A$11,"")</f>
        <v/>
      </c>
      <c r="D489" t="str">
        <f t="shared" si="42"/>
        <v/>
      </c>
      <c r="E489" t="str">
        <f t="shared" si="43"/>
        <v/>
      </c>
      <c r="F489" t="str">
        <f t="shared" si="44"/>
        <v/>
      </c>
    </row>
    <row r="490" spans="1:6" x14ac:dyDescent="0.55000000000000004">
      <c r="A490" t="str">
        <f>IF('Transfer Definitions'!L51="y",'Population Definitions'!$A$9,"...")</f>
        <v>...</v>
      </c>
      <c r="B490" t="str">
        <f>IF('Transfer Definitions'!L51="y","---&gt;","")</f>
        <v/>
      </c>
      <c r="C490" t="str">
        <f>IF('Transfer Definitions'!L51="y",'Population Definitions'!$A$12,"")</f>
        <v/>
      </c>
      <c r="D490" t="str">
        <f t="shared" si="42"/>
        <v/>
      </c>
      <c r="E490" t="str">
        <f t="shared" si="43"/>
        <v/>
      </c>
      <c r="F490" t="str">
        <f t="shared" si="44"/>
        <v/>
      </c>
    </row>
    <row r="491" spans="1:6" x14ac:dyDescent="0.55000000000000004">
      <c r="A491" t="str">
        <f>IF('Transfer Definitions'!M51="y",'Population Definitions'!$A$9,"...")</f>
        <v>...</v>
      </c>
      <c r="B491" t="str">
        <f>IF('Transfer Definitions'!M51="y","---&gt;","")</f>
        <v/>
      </c>
      <c r="C491" t="str">
        <f>IF('Transfer Definitions'!M51="y",'Population Definitions'!$A$13,"")</f>
        <v/>
      </c>
      <c r="D491" t="str">
        <f t="shared" si="42"/>
        <v/>
      </c>
      <c r="E491" t="str">
        <f t="shared" si="43"/>
        <v/>
      </c>
      <c r="F491" t="str">
        <f t="shared" si="44"/>
        <v/>
      </c>
    </row>
    <row r="492" spans="1:6" x14ac:dyDescent="0.55000000000000004">
      <c r="A492" t="str">
        <f>IF('Transfer Definitions'!B52="y",'Population Definitions'!$A$10,"...")</f>
        <v>...</v>
      </c>
      <c r="B492" t="str">
        <f>IF('Transfer Definitions'!B52="y","---&gt;","")</f>
        <v/>
      </c>
      <c r="C492" t="str">
        <f>IF('Transfer Definitions'!B52="y",'Population Definitions'!$A$2,"")</f>
        <v/>
      </c>
      <c r="D492" t="str">
        <f t="shared" si="42"/>
        <v/>
      </c>
      <c r="E492" t="str">
        <f t="shared" si="43"/>
        <v/>
      </c>
      <c r="F492" t="str">
        <f t="shared" si="44"/>
        <v/>
      </c>
    </row>
    <row r="493" spans="1:6" x14ac:dyDescent="0.55000000000000004">
      <c r="A493" t="str">
        <f>IF('Transfer Definitions'!C52="y",'Population Definitions'!$A$10,"...")</f>
        <v>...</v>
      </c>
      <c r="B493" t="str">
        <f>IF('Transfer Definitions'!C52="y","---&gt;","")</f>
        <v/>
      </c>
      <c r="C493" t="str">
        <f>IF('Transfer Definitions'!C52="y",'Population Definitions'!$A$3,"")</f>
        <v/>
      </c>
      <c r="D493" t="str">
        <f t="shared" si="42"/>
        <v/>
      </c>
      <c r="E493" t="str">
        <f t="shared" si="43"/>
        <v/>
      </c>
      <c r="F493" t="str">
        <f t="shared" si="44"/>
        <v/>
      </c>
    </row>
    <row r="494" spans="1:6" x14ac:dyDescent="0.55000000000000004">
      <c r="A494" t="str">
        <f>IF('Transfer Definitions'!D52="y",'Population Definitions'!$A$10,"...")</f>
        <v>...</v>
      </c>
      <c r="B494" t="str">
        <f>IF('Transfer Definitions'!D52="y","---&gt;","")</f>
        <v/>
      </c>
      <c r="C494" t="str">
        <f>IF('Transfer Definitions'!D52="y",'Population Definitions'!$A$4,"")</f>
        <v/>
      </c>
      <c r="D494" t="str">
        <f t="shared" si="42"/>
        <v/>
      </c>
      <c r="E494" t="str">
        <f t="shared" si="43"/>
        <v/>
      </c>
      <c r="F494" t="str">
        <f t="shared" si="44"/>
        <v/>
      </c>
    </row>
    <row r="495" spans="1:6" x14ac:dyDescent="0.55000000000000004">
      <c r="A495" t="str">
        <f>IF('Transfer Definitions'!E52="y",'Population Definitions'!$A$10,"...")</f>
        <v>...</v>
      </c>
      <c r="B495" t="str">
        <f>IF('Transfer Definitions'!E52="y","---&gt;","")</f>
        <v/>
      </c>
      <c r="C495" t="str">
        <f>IF('Transfer Definitions'!E52="y",'Population Definitions'!$A$5,"")</f>
        <v/>
      </c>
      <c r="D495" t="str">
        <f t="shared" si="42"/>
        <v/>
      </c>
      <c r="E495" t="str">
        <f t="shared" si="43"/>
        <v/>
      </c>
      <c r="F495" t="str">
        <f t="shared" si="44"/>
        <v/>
      </c>
    </row>
    <row r="496" spans="1:6" x14ac:dyDescent="0.55000000000000004">
      <c r="A496" t="str">
        <f>IF('Transfer Definitions'!F52="y",'Population Definitions'!$A$10,"...")</f>
        <v>...</v>
      </c>
      <c r="B496" t="str">
        <f>IF('Transfer Definitions'!F52="y","---&gt;","")</f>
        <v/>
      </c>
      <c r="C496" t="str">
        <f>IF('Transfer Definitions'!F52="y",'Population Definitions'!$A$6,"")</f>
        <v/>
      </c>
      <c r="D496" t="str">
        <f t="shared" si="42"/>
        <v/>
      </c>
      <c r="E496" t="str">
        <f t="shared" si="43"/>
        <v/>
      </c>
      <c r="F496" t="str">
        <f t="shared" si="44"/>
        <v/>
      </c>
    </row>
    <row r="497" spans="1:6" x14ac:dyDescent="0.55000000000000004">
      <c r="A497" t="str">
        <f>IF('Transfer Definitions'!G52="y",'Population Definitions'!$A$10,"...")</f>
        <v>...</v>
      </c>
      <c r="B497" t="str">
        <f>IF('Transfer Definitions'!G52="y","---&gt;","")</f>
        <v/>
      </c>
      <c r="C497" t="str">
        <f>IF('Transfer Definitions'!G52="y",'Population Definitions'!$A$7,"")</f>
        <v/>
      </c>
      <c r="D497" t="str">
        <f t="shared" si="42"/>
        <v/>
      </c>
      <c r="E497" t="str">
        <f t="shared" si="43"/>
        <v/>
      </c>
      <c r="F497" t="str">
        <f t="shared" si="44"/>
        <v/>
      </c>
    </row>
    <row r="498" spans="1:6" x14ac:dyDescent="0.55000000000000004">
      <c r="A498" t="str">
        <f>IF('Transfer Definitions'!H52="y",'Population Definitions'!$A$10,"...")</f>
        <v>...</v>
      </c>
      <c r="B498" t="str">
        <f>IF('Transfer Definitions'!H52="y","---&gt;","")</f>
        <v/>
      </c>
      <c r="C498" t="str">
        <f>IF('Transfer Definitions'!H52="y",'Population Definitions'!$A$8,"")</f>
        <v/>
      </c>
      <c r="D498" t="str">
        <f t="shared" si="42"/>
        <v/>
      </c>
      <c r="E498" t="str">
        <f t="shared" si="43"/>
        <v/>
      </c>
      <c r="F498" t="str">
        <f t="shared" si="44"/>
        <v/>
      </c>
    </row>
    <row r="499" spans="1:6" x14ac:dyDescent="0.55000000000000004">
      <c r="A499" t="str">
        <f>IF('Transfer Definitions'!I52="y",'Population Definitions'!$A$10,"...")</f>
        <v>...</v>
      </c>
      <c r="B499" t="str">
        <f>IF('Transfer Definitions'!I52="y","---&gt;","")</f>
        <v/>
      </c>
      <c r="C499" t="str">
        <f>IF('Transfer Definitions'!I52="y",'Population Definitions'!$A$9,"")</f>
        <v/>
      </c>
      <c r="D499" t="str">
        <f t="shared" si="42"/>
        <v/>
      </c>
      <c r="E499" t="str">
        <f t="shared" si="43"/>
        <v/>
      </c>
      <c r="F499" t="str">
        <f t="shared" si="44"/>
        <v/>
      </c>
    </row>
    <row r="500" spans="1:6" x14ac:dyDescent="0.55000000000000004">
      <c r="A500" t="str">
        <f>IF('Transfer Definitions'!K52="y",'Population Definitions'!$A$10,"...")</f>
        <v>...</v>
      </c>
      <c r="B500" t="str">
        <f>IF('Transfer Definitions'!K52="y","---&gt;","")</f>
        <v/>
      </c>
      <c r="C500" t="str">
        <f>IF('Transfer Definitions'!K52="y",'Population Definitions'!$A$11,"")</f>
        <v/>
      </c>
      <c r="D500" t="str">
        <f t="shared" ref="D500:D535" si="45">IF(A500&lt;&gt;"...","Fraction","")</f>
        <v/>
      </c>
      <c r="E500" t="str">
        <f t="shared" ref="E500:E535" si="46">IF(A500&lt;&gt;"...",IF(SUMPRODUCT(--(G500:W500&lt;&gt;""))=0,0,"N.A."),"")</f>
        <v/>
      </c>
      <c r="F500" t="str">
        <f t="shared" ref="F500:F535" si="47">IF(A500&lt;&gt;"...","OR","")</f>
        <v/>
      </c>
    </row>
    <row r="501" spans="1:6" x14ac:dyDescent="0.55000000000000004">
      <c r="A501" t="str">
        <f>IF('Transfer Definitions'!L52="y",'Population Definitions'!$A$10,"...")</f>
        <v>...</v>
      </c>
      <c r="B501" t="str">
        <f>IF('Transfer Definitions'!L52="y","---&gt;","")</f>
        <v/>
      </c>
      <c r="C501" t="str">
        <f>IF('Transfer Definitions'!L52="y",'Population Definitions'!$A$12,"")</f>
        <v/>
      </c>
      <c r="D501" t="str">
        <f t="shared" si="45"/>
        <v/>
      </c>
      <c r="E501" t="str">
        <f t="shared" si="46"/>
        <v/>
      </c>
      <c r="F501" t="str">
        <f t="shared" si="47"/>
        <v/>
      </c>
    </row>
    <row r="502" spans="1:6" x14ac:dyDescent="0.55000000000000004">
      <c r="A502" t="str">
        <f>IF('Transfer Definitions'!M52="y",'Population Definitions'!$A$10,"...")</f>
        <v>...</v>
      </c>
      <c r="B502" t="str">
        <f>IF('Transfer Definitions'!M52="y","---&gt;","")</f>
        <v/>
      </c>
      <c r="C502" t="str">
        <f>IF('Transfer Definitions'!M52="y",'Population Definitions'!$A$13,"")</f>
        <v/>
      </c>
      <c r="D502" t="str">
        <f t="shared" si="45"/>
        <v/>
      </c>
      <c r="E502" t="str">
        <f t="shared" si="46"/>
        <v/>
      </c>
      <c r="F502" t="str">
        <f t="shared" si="47"/>
        <v/>
      </c>
    </row>
    <row r="503" spans="1:6" x14ac:dyDescent="0.55000000000000004">
      <c r="A503" t="str">
        <f>IF('Transfer Definitions'!B53="y",'Population Definitions'!$A$11,"...")</f>
        <v>...</v>
      </c>
      <c r="B503" t="str">
        <f>IF('Transfer Definitions'!B53="y","---&gt;","")</f>
        <v/>
      </c>
      <c r="C503" t="str">
        <f>IF('Transfer Definitions'!B53="y",'Population Definitions'!$A$2,"")</f>
        <v/>
      </c>
      <c r="D503" t="str">
        <f t="shared" si="45"/>
        <v/>
      </c>
      <c r="E503" t="str">
        <f t="shared" si="46"/>
        <v/>
      </c>
      <c r="F503" t="str">
        <f t="shared" si="47"/>
        <v/>
      </c>
    </row>
    <row r="504" spans="1:6" x14ac:dyDescent="0.55000000000000004">
      <c r="A504" t="str">
        <f>IF('Transfer Definitions'!C53="y",'Population Definitions'!$A$11,"...")</f>
        <v>...</v>
      </c>
      <c r="B504" t="str">
        <f>IF('Transfer Definitions'!C53="y","---&gt;","")</f>
        <v/>
      </c>
      <c r="C504" t="str">
        <f>IF('Transfer Definitions'!C53="y",'Population Definitions'!$A$3,"")</f>
        <v/>
      </c>
      <c r="D504" t="str">
        <f t="shared" si="45"/>
        <v/>
      </c>
      <c r="E504" t="str">
        <f t="shared" si="46"/>
        <v/>
      </c>
      <c r="F504" t="str">
        <f t="shared" si="47"/>
        <v/>
      </c>
    </row>
    <row r="505" spans="1:6" x14ac:dyDescent="0.55000000000000004">
      <c r="A505" t="str">
        <f>IF('Transfer Definitions'!D53="y",'Population Definitions'!$A$11,"...")</f>
        <v>...</v>
      </c>
      <c r="B505" t="str">
        <f>IF('Transfer Definitions'!D53="y","---&gt;","")</f>
        <v/>
      </c>
      <c r="C505" t="str">
        <f>IF('Transfer Definitions'!D53="y",'Population Definitions'!$A$4,"")</f>
        <v/>
      </c>
      <c r="D505" t="str">
        <f t="shared" si="45"/>
        <v/>
      </c>
      <c r="E505" t="str">
        <f t="shared" si="46"/>
        <v/>
      </c>
      <c r="F505" t="str">
        <f t="shared" si="47"/>
        <v/>
      </c>
    </row>
    <row r="506" spans="1:6" x14ac:dyDescent="0.55000000000000004">
      <c r="A506" t="str">
        <f>IF('Transfer Definitions'!E53="y",'Population Definitions'!$A$11,"...")</f>
        <v>...</v>
      </c>
      <c r="B506" t="str">
        <f>IF('Transfer Definitions'!E53="y","---&gt;","")</f>
        <v/>
      </c>
      <c r="C506" t="str">
        <f>IF('Transfer Definitions'!E53="y",'Population Definitions'!$A$5,"")</f>
        <v/>
      </c>
      <c r="D506" t="str">
        <f t="shared" si="45"/>
        <v/>
      </c>
      <c r="E506" t="str">
        <f t="shared" si="46"/>
        <v/>
      </c>
      <c r="F506" t="str">
        <f t="shared" si="47"/>
        <v/>
      </c>
    </row>
    <row r="507" spans="1:6" x14ac:dyDescent="0.55000000000000004">
      <c r="A507" t="str">
        <f>IF('Transfer Definitions'!F53="y",'Population Definitions'!$A$11,"...")</f>
        <v>...</v>
      </c>
      <c r="B507" t="str">
        <f>IF('Transfer Definitions'!F53="y","---&gt;","")</f>
        <v/>
      </c>
      <c r="C507" t="str">
        <f>IF('Transfer Definitions'!F53="y",'Population Definitions'!$A$6,"")</f>
        <v/>
      </c>
      <c r="D507" t="str">
        <f t="shared" si="45"/>
        <v/>
      </c>
      <c r="E507" t="str">
        <f t="shared" si="46"/>
        <v/>
      </c>
      <c r="F507" t="str">
        <f t="shared" si="47"/>
        <v/>
      </c>
    </row>
    <row r="508" spans="1:6" x14ac:dyDescent="0.55000000000000004">
      <c r="A508" t="str">
        <f>IF('Transfer Definitions'!G53="y",'Population Definitions'!$A$11,"...")</f>
        <v>...</v>
      </c>
      <c r="B508" t="str">
        <f>IF('Transfer Definitions'!G53="y","---&gt;","")</f>
        <v/>
      </c>
      <c r="C508" t="str">
        <f>IF('Transfer Definitions'!G53="y",'Population Definitions'!$A$7,"")</f>
        <v/>
      </c>
      <c r="D508" t="str">
        <f t="shared" si="45"/>
        <v/>
      </c>
      <c r="E508" t="str">
        <f t="shared" si="46"/>
        <v/>
      </c>
      <c r="F508" t="str">
        <f t="shared" si="47"/>
        <v/>
      </c>
    </row>
    <row r="509" spans="1:6" x14ac:dyDescent="0.55000000000000004">
      <c r="A509" t="str">
        <f>IF('Transfer Definitions'!H53="y",'Population Definitions'!$A$11,"...")</f>
        <v>...</v>
      </c>
      <c r="B509" t="str">
        <f>IF('Transfer Definitions'!H53="y","---&gt;","")</f>
        <v/>
      </c>
      <c r="C509" t="str">
        <f>IF('Transfer Definitions'!H53="y",'Population Definitions'!$A$8,"")</f>
        <v/>
      </c>
      <c r="D509" t="str">
        <f t="shared" si="45"/>
        <v/>
      </c>
      <c r="E509" t="str">
        <f t="shared" si="46"/>
        <v/>
      </c>
      <c r="F509" t="str">
        <f t="shared" si="47"/>
        <v/>
      </c>
    </row>
    <row r="510" spans="1:6" x14ac:dyDescent="0.55000000000000004">
      <c r="A510" t="str">
        <f>IF('Transfer Definitions'!I53="y",'Population Definitions'!$A$11,"...")</f>
        <v>...</v>
      </c>
      <c r="B510" t="str">
        <f>IF('Transfer Definitions'!I53="y","---&gt;","")</f>
        <v/>
      </c>
      <c r="C510" t="str">
        <f>IF('Transfer Definitions'!I53="y",'Population Definitions'!$A$9,"")</f>
        <v/>
      </c>
      <c r="D510" t="str">
        <f t="shared" si="45"/>
        <v/>
      </c>
      <c r="E510" t="str">
        <f t="shared" si="46"/>
        <v/>
      </c>
      <c r="F510" t="str">
        <f t="shared" si="47"/>
        <v/>
      </c>
    </row>
    <row r="511" spans="1:6" x14ac:dyDescent="0.55000000000000004">
      <c r="A511" t="str">
        <f>IF('Transfer Definitions'!J53="y",'Population Definitions'!$A$11,"...")</f>
        <v>...</v>
      </c>
      <c r="B511" t="str">
        <f>IF('Transfer Definitions'!J53="y","---&gt;","")</f>
        <v/>
      </c>
      <c r="C511" t="str">
        <f>IF('Transfer Definitions'!J53="y",'Population Definitions'!$A$10,"")</f>
        <v/>
      </c>
      <c r="D511" t="str">
        <f t="shared" si="45"/>
        <v/>
      </c>
      <c r="E511" t="str">
        <f t="shared" si="46"/>
        <v/>
      </c>
      <c r="F511" t="str">
        <f t="shared" si="47"/>
        <v/>
      </c>
    </row>
    <row r="512" spans="1:6" x14ac:dyDescent="0.55000000000000004">
      <c r="A512" t="str">
        <f>IF('Transfer Definitions'!L53="y",'Population Definitions'!$A$11,"...")</f>
        <v>...</v>
      </c>
      <c r="B512" t="str">
        <f>IF('Transfer Definitions'!L53="y","---&gt;","")</f>
        <v/>
      </c>
      <c r="C512" t="str">
        <f>IF('Transfer Definitions'!L53="y",'Population Definitions'!$A$12,"")</f>
        <v/>
      </c>
      <c r="D512" t="str">
        <f t="shared" si="45"/>
        <v/>
      </c>
      <c r="E512" t="str">
        <f t="shared" si="46"/>
        <v/>
      </c>
      <c r="F512" t="str">
        <f t="shared" si="47"/>
        <v/>
      </c>
    </row>
    <row r="513" spans="1:6" x14ac:dyDescent="0.55000000000000004">
      <c r="A513" t="str">
        <f>IF('Transfer Definitions'!M53="y",'Population Definitions'!$A$11,"...")</f>
        <v>...</v>
      </c>
      <c r="B513" t="str">
        <f>IF('Transfer Definitions'!M53="y","---&gt;","")</f>
        <v/>
      </c>
      <c r="C513" t="str">
        <f>IF('Transfer Definitions'!M53="y",'Population Definitions'!$A$13,"")</f>
        <v/>
      </c>
      <c r="D513" t="str">
        <f t="shared" si="45"/>
        <v/>
      </c>
      <c r="E513" t="str">
        <f t="shared" si="46"/>
        <v/>
      </c>
      <c r="F513" t="str">
        <f t="shared" si="47"/>
        <v/>
      </c>
    </row>
    <row r="514" spans="1:6" x14ac:dyDescent="0.55000000000000004">
      <c r="A514" t="str">
        <f>IF('Transfer Definitions'!B54="y",'Population Definitions'!$A$12,"...")</f>
        <v>...</v>
      </c>
      <c r="B514" t="str">
        <f>IF('Transfer Definitions'!B54="y","---&gt;","")</f>
        <v/>
      </c>
      <c r="C514" t="str">
        <f>IF('Transfer Definitions'!B54="y",'Population Definitions'!$A$2,"")</f>
        <v/>
      </c>
      <c r="D514" t="str">
        <f t="shared" si="45"/>
        <v/>
      </c>
      <c r="E514" t="str">
        <f t="shared" si="46"/>
        <v/>
      </c>
      <c r="F514" t="str">
        <f t="shared" si="47"/>
        <v/>
      </c>
    </row>
    <row r="515" spans="1:6" x14ac:dyDescent="0.55000000000000004">
      <c r="A515" t="str">
        <f>IF('Transfer Definitions'!C54="y",'Population Definitions'!$A$12,"...")</f>
        <v>...</v>
      </c>
      <c r="B515" t="str">
        <f>IF('Transfer Definitions'!C54="y","---&gt;","")</f>
        <v/>
      </c>
      <c r="C515" t="str">
        <f>IF('Transfer Definitions'!C54="y",'Population Definitions'!$A$3,"")</f>
        <v/>
      </c>
      <c r="D515" t="str">
        <f t="shared" si="45"/>
        <v/>
      </c>
      <c r="E515" t="str">
        <f t="shared" si="46"/>
        <v/>
      </c>
      <c r="F515" t="str">
        <f t="shared" si="47"/>
        <v/>
      </c>
    </row>
    <row r="516" spans="1:6" x14ac:dyDescent="0.55000000000000004">
      <c r="A516" t="str">
        <f>IF('Transfer Definitions'!D54="y",'Population Definitions'!$A$12,"...")</f>
        <v>...</v>
      </c>
      <c r="B516" t="str">
        <f>IF('Transfer Definitions'!D54="y","---&gt;","")</f>
        <v/>
      </c>
      <c r="C516" t="str">
        <f>IF('Transfer Definitions'!D54="y",'Population Definitions'!$A$4,"")</f>
        <v/>
      </c>
      <c r="D516" t="str">
        <f t="shared" si="45"/>
        <v/>
      </c>
      <c r="E516" t="str">
        <f t="shared" si="46"/>
        <v/>
      </c>
      <c r="F516" t="str">
        <f t="shared" si="47"/>
        <v/>
      </c>
    </row>
    <row r="517" spans="1:6" x14ac:dyDescent="0.55000000000000004">
      <c r="A517" t="str">
        <f>IF('Transfer Definitions'!E54="y",'Population Definitions'!$A$12,"...")</f>
        <v>...</v>
      </c>
      <c r="B517" t="str">
        <f>IF('Transfer Definitions'!E54="y","---&gt;","")</f>
        <v/>
      </c>
      <c r="C517" t="str">
        <f>IF('Transfer Definitions'!E54="y",'Population Definitions'!$A$5,"")</f>
        <v/>
      </c>
      <c r="D517" t="str">
        <f t="shared" si="45"/>
        <v/>
      </c>
      <c r="E517" t="str">
        <f t="shared" si="46"/>
        <v/>
      </c>
      <c r="F517" t="str">
        <f t="shared" si="47"/>
        <v/>
      </c>
    </row>
    <row r="518" spans="1:6" x14ac:dyDescent="0.55000000000000004">
      <c r="A518" t="str">
        <f>IF('Transfer Definitions'!F54="y",'Population Definitions'!$A$12,"...")</f>
        <v>...</v>
      </c>
      <c r="B518" t="str">
        <f>IF('Transfer Definitions'!F54="y","---&gt;","")</f>
        <v/>
      </c>
      <c r="C518" t="str">
        <f>IF('Transfer Definitions'!F54="y",'Population Definitions'!$A$6,"")</f>
        <v/>
      </c>
      <c r="D518" t="str">
        <f t="shared" si="45"/>
        <v/>
      </c>
      <c r="E518" t="str">
        <f t="shared" si="46"/>
        <v/>
      </c>
      <c r="F518" t="str">
        <f t="shared" si="47"/>
        <v/>
      </c>
    </row>
    <row r="519" spans="1:6" x14ac:dyDescent="0.55000000000000004">
      <c r="A519" t="str">
        <f>IF('Transfer Definitions'!G54="y",'Population Definitions'!$A$12,"...")</f>
        <v>...</v>
      </c>
      <c r="B519" t="str">
        <f>IF('Transfer Definitions'!G54="y","---&gt;","")</f>
        <v/>
      </c>
      <c r="C519" t="str">
        <f>IF('Transfer Definitions'!G54="y",'Population Definitions'!$A$7,"")</f>
        <v/>
      </c>
      <c r="D519" t="str">
        <f t="shared" si="45"/>
        <v/>
      </c>
      <c r="E519" t="str">
        <f t="shared" si="46"/>
        <v/>
      </c>
      <c r="F519" t="str">
        <f t="shared" si="47"/>
        <v/>
      </c>
    </row>
    <row r="520" spans="1:6" x14ac:dyDescent="0.55000000000000004">
      <c r="A520" t="str">
        <f>IF('Transfer Definitions'!H54="y",'Population Definitions'!$A$12,"...")</f>
        <v>...</v>
      </c>
      <c r="B520" t="str">
        <f>IF('Transfer Definitions'!H54="y","---&gt;","")</f>
        <v/>
      </c>
      <c r="C520" t="str">
        <f>IF('Transfer Definitions'!H54="y",'Population Definitions'!$A$8,"")</f>
        <v/>
      </c>
      <c r="D520" t="str">
        <f t="shared" si="45"/>
        <v/>
      </c>
      <c r="E520" t="str">
        <f t="shared" si="46"/>
        <v/>
      </c>
      <c r="F520" t="str">
        <f t="shared" si="47"/>
        <v/>
      </c>
    </row>
    <row r="521" spans="1:6" x14ac:dyDescent="0.55000000000000004">
      <c r="A521" t="str">
        <f>IF('Transfer Definitions'!I54="y",'Population Definitions'!$A$12,"...")</f>
        <v>...</v>
      </c>
      <c r="B521" t="str">
        <f>IF('Transfer Definitions'!I54="y","---&gt;","")</f>
        <v/>
      </c>
      <c r="C521" t="str">
        <f>IF('Transfer Definitions'!I54="y",'Population Definitions'!$A$9,"")</f>
        <v/>
      </c>
      <c r="D521" t="str">
        <f t="shared" si="45"/>
        <v/>
      </c>
      <c r="E521" t="str">
        <f t="shared" si="46"/>
        <v/>
      </c>
      <c r="F521" t="str">
        <f t="shared" si="47"/>
        <v/>
      </c>
    </row>
    <row r="522" spans="1:6" x14ac:dyDescent="0.55000000000000004">
      <c r="A522" t="str">
        <f>IF('Transfer Definitions'!J54="y",'Population Definitions'!$A$12,"...")</f>
        <v>...</v>
      </c>
      <c r="B522" t="str">
        <f>IF('Transfer Definitions'!J54="y","---&gt;","")</f>
        <v/>
      </c>
      <c r="C522" t="str">
        <f>IF('Transfer Definitions'!J54="y",'Population Definitions'!$A$10,"")</f>
        <v/>
      </c>
      <c r="D522" t="str">
        <f t="shared" si="45"/>
        <v/>
      </c>
      <c r="E522" t="str">
        <f t="shared" si="46"/>
        <v/>
      </c>
      <c r="F522" t="str">
        <f t="shared" si="47"/>
        <v/>
      </c>
    </row>
    <row r="523" spans="1:6" x14ac:dyDescent="0.55000000000000004">
      <c r="A523" t="str">
        <f>IF('Transfer Definitions'!K54="y",'Population Definitions'!$A$12,"...")</f>
        <v>...</v>
      </c>
      <c r="B523" t="str">
        <f>IF('Transfer Definitions'!K54="y","---&gt;","")</f>
        <v/>
      </c>
      <c r="C523" t="str">
        <f>IF('Transfer Definitions'!K54="y",'Population Definitions'!$A$11,"")</f>
        <v/>
      </c>
      <c r="D523" t="str">
        <f t="shared" si="45"/>
        <v/>
      </c>
      <c r="E523" t="str">
        <f t="shared" si="46"/>
        <v/>
      </c>
      <c r="F523" t="str">
        <f t="shared" si="47"/>
        <v/>
      </c>
    </row>
    <row r="524" spans="1:6" x14ac:dyDescent="0.55000000000000004">
      <c r="A524" t="str">
        <f>IF('Transfer Definitions'!M54="y",'Population Definitions'!$A$12,"...")</f>
        <v>...</v>
      </c>
      <c r="B524" t="str">
        <f>IF('Transfer Definitions'!M54="y","---&gt;","")</f>
        <v/>
      </c>
      <c r="C524" t="str">
        <f>IF('Transfer Definitions'!M54="y",'Population Definitions'!$A$13,"")</f>
        <v/>
      </c>
      <c r="D524" t="str">
        <f t="shared" si="45"/>
        <v/>
      </c>
      <c r="E524" t="str">
        <f t="shared" si="46"/>
        <v/>
      </c>
      <c r="F524" t="str">
        <f t="shared" si="47"/>
        <v/>
      </c>
    </row>
    <row r="525" spans="1:6" x14ac:dyDescent="0.55000000000000004">
      <c r="A525" t="str">
        <f>IF('Transfer Definitions'!B55="y",'Population Definitions'!$A$13,"...")</f>
        <v>...</v>
      </c>
      <c r="B525" t="str">
        <f>IF('Transfer Definitions'!B55="y","---&gt;","")</f>
        <v/>
      </c>
      <c r="C525" t="str">
        <f>IF('Transfer Definitions'!B55="y",'Population Definitions'!$A$2,"")</f>
        <v/>
      </c>
      <c r="D525" t="str">
        <f t="shared" si="45"/>
        <v/>
      </c>
      <c r="E525" t="str">
        <f t="shared" si="46"/>
        <v/>
      </c>
      <c r="F525" t="str">
        <f t="shared" si="47"/>
        <v/>
      </c>
    </row>
    <row r="526" spans="1:6" x14ac:dyDescent="0.55000000000000004">
      <c r="A526" t="str">
        <f>IF('Transfer Definitions'!C55="y",'Population Definitions'!$A$13,"...")</f>
        <v>...</v>
      </c>
      <c r="B526" t="str">
        <f>IF('Transfer Definitions'!C55="y","---&gt;","")</f>
        <v/>
      </c>
      <c r="C526" t="str">
        <f>IF('Transfer Definitions'!C55="y",'Population Definitions'!$A$3,"")</f>
        <v/>
      </c>
      <c r="D526" t="str">
        <f t="shared" si="45"/>
        <v/>
      </c>
      <c r="E526" t="str">
        <f t="shared" si="46"/>
        <v/>
      </c>
      <c r="F526" t="str">
        <f t="shared" si="47"/>
        <v/>
      </c>
    </row>
    <row r="527" spans="1:6" x14ac:dyDescent="0.55000000000000004">
      <c r="A527" t="str">
        <f>IF('Transfer Definitions'!D55="y",'Population Definitions'!$A$13,"...")</f>
        <v>...</v>
      </c>
      <c r="B527" t="str">
        <f>IF('Transfer Definitions'!D55="y","---&gt;","")</f>
        <v/>
      </c>
      <c r="C527" t="str">
        <f>IF('Transfer Definitions'!D55="y",'Population Definitions'!$A$4,"")</f>
        <v/>
      </c>
      <c r="D527" t="str">
        <f t="shared" si="45"/>
        <v/>
      </c>
      <c r="E527" t="str">
        <f t="shared" si="46"/>
        <v/>
      </c>
      <c r="F527" t="str">
        <f t="shared" si="47"/>
        <v/>
      </c>
    </row>
    <row r="528" spans="1:6" x14ac:dyDescent="0.55000000000000004">
      <c r="A528" t="str">
        <f>IF('Transfer Definitions'!E55="y",'Population Definitions'!$A$13,"...")</f>
        <v>...</v>
      </c>
      <c r="B528" t="str">
        <f>IF('Transfer Definitions'!E55="y","---&gt;","")</f>
        <v/>
      </c>
      <c r="C528" t="str">
        <f>IF('Transfer Definitions'!E55="y",'Population Definitions'!$A$5,"")</f>
        <v/>
      </c>
      <c r="D528" t="str">
        <f t="shared" si="45"/>
        <v/>
      </c>
      <c r="E528" t="str">
        <f t="shared" si="46"/>
        <v/>
      </c>
      <c r="F528" t="str">
        <f t="shared" si="47"/>
        <v/>
      </c>
    </row>
    <row r="529" spans="1:6" x14ac:dyDescent="0.55000000000000004">
      <c r="A529" t="str">
        <f>IF('Transfer Definitions'!F55="y",'Population Definitions'!$A$13,"...")</f>
        <v>...</v>
      </c>
      <c r="B529" t="str">
        <f>IF('Transfer Definitions'!F55="y","---&gt;","")</f>
        <v/>
      </c>
      <c r="C529" t="str">
        <f>IF('Transfer Definitions'!F55="y",'Population Definitions'!$A$6,"")</f>
        <v/>
      </c>
      <c r="D529" t="str">
        <f t="shared" si="45"/>
        <v/>
      </c>
      <c r="E529" t="str">
        <f t="shared" si="46"/>
        <v/>
      </c>
      <c r="F529" t="str">
        <f t="shared" si="47"/>
        <v/>
      </c>
    </row>
    <row r="530" spans="1:6" x14ac:dyDescent="0.55000000000000004">
      <c r="A530" t="str">
        <f>IF('Transfer Definitions'!G55="y",'Population Definitions'!$A$13,"...")</f>
        <v>...</v>
      </c>
      <c r="B530" t="str">
        <f>IF('Transfer Definitions'!G55="y","---&gt;","")</f>
        <v/>
      </c>
      <c r="C530" t="str">
        <f>IF('Transfer Definitions'!G55="y",'Population Definitions'!$A$7,"")</f>
        <v/>
      </c>
      <c r="D530" t="str">
        <f t="shared" si="45"/>
        <v/>
      </c>
      <c r="E530" t="str">
        <f t="shared" si="46"/>
        <v/>
      </c>
      <c r="F530" t="str">
        <f t="shared" si="47"/>
        <v/>
      </c>
    </row>
    <row r="531" spans="1:6" x14ac:dyDescent="0.55000000000000004">
      <c r="A531" t="str">
        <f>IF('Transfer Definitions'!H55="y",'Population Definitions'!$A$13,"...")</f>
        <v>...</v>
      </c>
      <c r="B531" t="str">
        <f>IF('Transfer Definitions'!H55="y","---&gt;","")</f>
        <v/>
      </c>
      <c r="C531" t="str">
        <f>IF('Transfer Definitions'!H55="y",'Population Definitions'!$A$8,"")</f>
        <v/>
      </c>
      <c r="D531" t="str">
        <f t="shared" si="45"/>
        <v/>
      </c>
      <c r="E531" t="str">
        <f t="shared" si="46"/>
        <v/>
      </c>
      <c r="F531" t="str">
        <f t="shared" si="47"/>
        <v/>
      </c>
    </row>
    <row r="532" spans="1:6" x14ac:dyDescent="0.55000000000000004">
      <c r="A532" t="str">
        <f>IF('Transfer Definitions'!I55="y",'Population Definitions'!$A$13,"...")</f>
        <v>...</v>
      </c>
      <c r="B532" t="str">
        <f>IF('Transfer Definitions'!I55="y","---&gt;","")</f>
        <v/>
      </c>
      <c r="C532" t="str">
        <f>IF('Transfer Definitions'!I55="y",'Population Definitions'!$A$9,"")</f>
        <v/>
      </c>
      <c r="D532" t="str">
        <f t="shared" si="45"/>
        <v/>
      </c>
      <c r="E532" t="str">
        <f t="shared" si="46"/>
        <v/>
      </c>
      <c r="F532" t="str">
        <f t="shared" si="47"/>
        <v/>
      </c>
    </row>
    <row r="533" spans="1:6" x14ac:dyDescent="0.55000000000000004">
      <c r="A533" t="str">
        <f>IF('Transfer Definitions'!J55="y",'Population Definitions'!$A$13,"...")</f>
        <v>...</v>
      </c>
      <c r="B533" t="str">
        <f>IF('Transfer Definitions'!J55="y","---&gt;","")</f>
        <v/>
      </c>
      <c r="C533" t="str">
        <f>IF('Transfer Definitions'!J55="y",'Population Definitions'!$A$10,"")</f>
        <v/>
      </c>
      <c r="D533" t="str">
        <f t="shared" si="45"/>
        <v/>
      </c>
      <c r="E533" t="str">
        <f t="shared" si="46"/>
        <v/>
      </c>
      <c r="F533" t="str">
        <f t="shared" si="47"/>
        <v/>
      </c>
    </row>
    <row r="534" spans="1:6" x14ac:dyDescent="0.55000000000000004">
      <c r="A534" t="str">
        <f>IF('Transfer Definitions'!K55="y",'Population Definitions'!$A$13,"...")</f>
        <v>...</v>
      </c>
      <c r="B534" t="str">
        <f>IF('Transfer Definitions'!K55="y","---&gt;","")</f>
        <v/>
      </c>
      <c r="C534" t="str">
        <f>IF('Transfer Definitions'!K55="y",'Population Definitions'!$A$11,"")</f>
        <v/>
      </c>
      <c r="D534" t="str">
        <f t="shared" si="45"/>
        <v/>
      </c>
      <c r="E534" t="str">
        <f t="shared" si="46"/>
        <v/>
      </c>
      <c r="F534" t="str">
        <f t="shared" si="47"/>
        <v/>
      </c>
    </row>
    <row r="535" spans="1:6" x14ac:dyDescent="0.55000000000000004">
      <c r="A535" t="str">
        <f>IF('Transfer Definitions'!L55="y",'Population Definitions'!$A$13,"...")</f>
        <v>...</v>
      </c>
      <c r="B535" t="str">
        <f>IF('Transfer Definitions'!L55="y","---&gt;","")</f>
        <v/>
      </c>
      <c r="C535" t="str">
        <f>IF('Transfer Definitions'!L55="y",'Population Definitions'!$A$12,"")</f>
        <v/>
      </c>
      <c r="D535" t="str">
        <f t="shared" si="45"/>
        <v/>
      </c>
      <c r="E535" t="str">
        <f t="shared" si="46"/>
        <v/>
      </c>
      <c r="F535" t="str">
        <f t="shared" si="47"/>
        <v/>
      </c>
    </row>
  </sheetData>
  <dataValidations count="1">
    <dataValidation type="list" showInputMessage="1" showErrorMessage="1" sqref="D404:D535 D270:D401 D136:D267 D2:D133">
      <formula1>"Fraction,Number"</formula1>
    </dataValidation>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topLeftCell="B1" workbookViewId="0">
      <selection activeCell="F6" sqref="F6"/>
    </sheetView>
  </sheetViews>
  <sheetFormatPr defaultColWidth="8.83984375" defaultRowHeight="14.4" x14ac:dyDescent="0.55000000000000004"/>
  <cols>
    <col min="1" max="1" width="59.83984375" style="37" bestFit="1" customWidth="1"/>
    <col min="2" max="2" width="17.47265625" style="37" bestFit="1" customWidth="1"/>
    <col min="3" max="3" width="3.68359375" style="37" bestFit="1" customWidth="1"/>
    <col min="4" max="4" width="4.68359375" style="37" bestFit="1" customWidth="1"/>
    <col min="5" max="5" width="5.47265625" style="37" bestFit="1" customWidth="1"/>
    <col min="6" max="6" width="4" style="37" bestFit="1" customWidth="1"/>
    <col min="7" max="7" width="10.68359375" style="37" bestFit="1" customWidth="1"/>
    <col min="8" max="8" width="9.15625" style="37" bestFit="1" customWidth="1"/>
    <col min="9" max="9" width="8.15625" style="37" bestFit="1" customWidth="1"/>
    <col min="10" max="10" width="13.3125" style="37" bestFit="1" customWidth="1"/>
    <col min="11" max="11" width="5" style="37" bestFit="1" customWidth="1"/>
    <col min="12" max="12" width="10.15625" style="37" bestFit="1" customWidth="1"/>
    <col min="13" max="13" width="6.47265625" style="37" bestFit="1" customWidth="1"/>
    <col min="14" max="14" width="11.68359375" style="37" bestFit="1" customWidth="1"/>
    <col min="15" max="16384" width="8.83984375" style="37"/>
  </cols>
  <sheetData>
    <row r="1" spans="1:14" x14ac:dyDescent="0.55000000000000004">
      <c r="A1" s="37" t="s">
        <v>0</v>
      </c>
      <c r="B1" s="37" t="s">
        <v>1</v>
      </c>
      <c r="C1" s="9" t="str">
        <f>'Population Definitions'!$B$2</f>
        <v>0-4</v>
      </c>
      <c r="D1" s="9" t="str">
        <f>'Population Definitions'!$B$3</f>
        <v>5-14</v>
      </c>
      <c r="E1" s="9" t="str">
        <f>'Population Definitions'!$B$4</f>
        <v>15-64</v>
      </c>
      <c r="F1" s="9" t="str">
        <f>'Population Definitions'!$B$5</f>
        <v>65+</v>
      </c>
      <c r="G1" s="9" t="str">
        <f>'Population Definitions'!$B$6</f>
        <v>15-64 (HIV+)</v>
      </c>
      <c r="H1" s="9" t="str">
        <f>'Population Definitions'!$B$7</f>
        <v>65+ (HIV+)</v>
      </c>
      <c r="I1" s="9" t="str">
        <f>'Population Definitions'!$B$8</f>
        <v>Prisoners</v>
      </c>
      <c r="J1" s="9" t="str">
        <f>'Population Definitions'!$B$9</f>
        <v>Prisoners (HIV+)</v>
      </c>
      <c r="K1" s="9" t="str">
        <f>'Population Definitions'!$B$10</f>
        <v>HCW</v>
      </c>
      <c r="L1" s="9" t="str">
        <f>'Population Definitions'!$B$11</f>
        <v>HCW (HIV+)</v>
      </c>
      <c r="M1" s="9" t="str">
        <f>'Population Definitions'!$B$12</f>
        <v>Miners</v>
      </c>
      <c r="N1" s="9" t="str">
        <f>'Population Definitions'!$B$13</f>
        <v>Miners (HIV+)</v>
      </c>
    </row>
    <row r="2" spans="1:14" x14ac:dyDescent="0.55000000000000004">
      <c r="A2" s="49" t="s">
        <v>172</v>
      </c>
      <c r="B2" s="49" t="s">
        <v>179</v>
      </c>
      <c r="C2" s="58" t="s">
        <v>135</v>
      </c>
      <c r="D2" s="58" t="s">
        <v>6</v>
      </c>
      <c r="E2" s="58" t="s">
        <v>6</v>
      </c>
      <c r="F2" s="58" t="s">
        <v>6</v>
      </c>
      <c r="G2" s="58" t="s">
        <v>6</v>
      </c>
      <c r="H2" s="58" t="s">
        <v>6</v>
      </c>
      <c r="I2" s="58" t="s">
        <v>6</v>
      </c>
      <c r="J2" s="58" t="s">
        <v>6</v>
      </c>
      <c r="K2" s="58" t="s">
        <v>6</v>
      </c>
      <c r="L2" s="58" t="s">
        <v>6</v>
      </c>
      <c r="M2" s="58" t="s">
        <v>6</v>
      </c>
      <c r="N2" s="58" t="s">
        <v>6</v>
      </c>
    </row>
    <row r="3" spans="1:14" x14ac:dyDescent="0.55000000000000004">
      <c r="A3" s="50" t="s">
        <v>178</v>
      </c>
      <c r="B3" s="50" t="s">
        <v>180</v>
      </c>
      <c r="C3" s="58" t="s">
        <v>135</v>
      </c>
      <c r="D3" s="58" t="s">
        <v>135</v>
      </c>
      <c r="E3" s="58" t="s">
        <v>135</v>
      </c>
      <c r="F3" s="58" t="s">
        <v>135</v>
      </c>
      <c r="G3" s="58" t="s">
        <v>6</v>
      </c>
      <c r="H3" s="58" t="s">
        <v>6</v>
      </c>
      <c r="I3" s="58" t="s">
        <v>135</v>
      </c>
      <c r="J3" s="58" t="s">
        <v>6</v>
      </c>
      <c r="K3" s="58" t="s">
        <v>6</v>
      </c>
      <c r="L3" s="58" t="s">
        <v>6</v>
      </c>
      <c r="M3" s="58" t="s">
        <v>135</v>
      </c>
      <c r="N3" s="58" t="s">
        <v>6</v>
      </c>
    </row>
    <row r="4" spans="1:14" x14ac:dyDescent="0.55000000000000004">
      <c r="A4" s="50" t="s">
        <v>235</v>
      </c>
      <c r="B4" s="50" t="s">
        <v>236</v>
      </c>
      <c r="C4" s="58" t="s">
        <v>135</v>
      </c>
      <c r="D4" s="58" t="s">
        <v>135</v>
      </c>
      <c r="E4" s="58" t="s">
        <v>135</v>
      </c>
      <c r="F4" s="58" t="s">
        <v>135</v>
      </c>
      <c r="G4" s="58" t="s">
        <v>6</v>
      </c>
      <c r="H4" s="58" t="s">
        <v>6</v>
      </c>
      <c r="I4" s="58" t="s">
        <v>135</v>
      </c>
      <c r="J4" s="58" t="s">
        <v>6</v>
      </c>
      <c r="K4" s="58" t="s">
        <v>6</v>
      </c>
      <c r="L4" s="58" t="s">
        <v>6</v>
      </c>
      <c r="M4" s="58" t="s">
        <v>135</v>
      </c>
      <c r="N4" s="58" t="s">
        <v>6</v>
      </c>
    </row>
    <row r="5" spans="1:14" x14ac:dyDescent="0.55000000000000004">
      <c r="A5" s="50" t="s">
        <v>233</v>
      </c>
      <c r="B5" s="50" t="s">
        <v>234</v>
      </c>
      <c r="C5" s="58" t="s">
        <v>135</v>
      </c>
      <c r="D5" s="58" t="s">
        <v>135</v>
      </c>
      <c r="E5" s="58" t="s">
        <v>135</v>
      </c>
      <c r="F5" s="58" t="s">
        <v>135</v>
      </c>
      <c r="G5" s="58" t="s">
        <v>6</v>
      </c>
      <c r="H5" s="58" t="s">
        <v>6</v>
      </c>
      <c r="I5" s="58" t="s">
        <v>135</v>
      </c>
      <c r="J5" s="58" t="s">
        <v>6</v>
      </c>
      <c r="K5" s="58" t="s">
        <v>6</v>
      </c>
      <c r="L5" s="58" t="s">
        <v>6</v>
      </c>
      <c r="M5" s="58" t="s">
        <v>135</v>
      </c>
      <c r="N5" s="58" t="s">
        <v>6</v>
      </c>
    </row>
    <row r="6" spans="1:14" x14ac:dyDescent="0.55000000000000004">
      <c r="A6" s="50" t="s">
        <v>229</v>
      </c>
      <c r="B6" s="50" t="s">
        <v>182</v>
      </c>
      <c r="C6" s="58" t="s">
        <v>135</v>
      </c>
      <c r="D6" s="58" t="s">
        <v>135</v>
      </c>
      <c r="E6" s="58" t="s">
        <v>135</v>
      </c>
      <c r="F6" s="58" t="s">
        <v>135</v>
      </c>
      <c r="G6" s="58" t="s">
        <v>135</v>
      </c>
      <c r="H6" s="58" t="s">
        <v>135</v>
      </c>
      <c r="I6" s="58" t="s">
        <v>135</v>
      </c>
      <c r="J6" s="58" t="s">
        <v>135</v>
      </c>
      <c r="K6" s="58" t="s">
        <v>6</v>
      </c>
      <c r="L6" s="58" t="s">
        <v>6</v>
      </c>
      <c r="M6" s="58" t="s">
        <v>135</v>
      </c>
      <c r="N6" s="58" t="s">
        <v>135</v>
      </c>
    </row>
    <row r="7" spans="1:14" x14ac:dyDescent="0.55000000000000004">
      <c r="A7" s="50" t="s">
        <v>230</v>
      </c>
      <c r="B7" s="50" t="s">
        <v>181</v>
      </c>
      <c r="C7" s="58" t="s">
        <v>135</v>
      </c>
      <c r="D7" s="58" t="s">
        <v>135</v>
      </c>
      <c r="E7" s="58" t="s">
        <v>135</v>
      </c>
      <c r="F7" s="58" t="s">
        <v>135</v>
      </c>
      <c r="G7" s="58" t="s">
        <v>135</v>
      </c>
      <c r="H7" s="58" t="s">
        <v>135</v>
      </c>
      <c r="I7" s="58" t="s">
        <v>135</v>
      </c>
      <c r="J7" s="58" t="s">
        <v>135</v>
      </c>
      <c r="K7" s="58" t="s">
        <v>6</v>
      </c>
      <c r="L7" s="58" t="s">
        <v>6</v>
      </c>
      <c r="M7" s="58" t="s">
        <v>135</v>
      </c>
      <c r="N7" s="58" t="s">
        <v>135</v>
      </c>
    </row>
    <row r="8" spans="1:14" x14ac:dyDescent="0.55000000000000004">
      <c r="A8" s="50" t="s">
        <v>231</v>
      </c>
      <c r="B8" s="50" t="s">
        <v>183</v>
      </c>
      <c r="C8" s="58" t="s">
        <v>6</v>
      </c>
      <c r="D8" s="58" t="s">
        <v>6</v>
      </c>
      <c r="E8" s="58" t="s">
        <v>6</v>
      </c>
      <c r="F8" s="58" t="s">
        <v>6</v>
      </c>
      <c r="G8" s="58" t="s">
        <v>135</v>
      </c>
      <c r="H8" s="58" t="s">
        <v>135</v>
      </c>
      <c r="I8" s="58" t="s">
        <v>6</v>
      </c>
      <c r="J8" s="58" t="s">
        <v>135</v>
      </c>
      <c r="K8" s="58" t="s">
        <v>6</v>
      </c>
      <c r="L8" s="58" t="s">
        <v>6</v>
      </c>
      <c r="M8" s="58" t="s">
        <v>6</v>
      </c>
      <c r="N8" s="58" t="s">
        <v>135</v>
      </c>
    </row>
    <row r="9" spans="1:14" x14ac:dyDescent="0.55000000000000004">
      <c r="A9" s="51" t="s">
        <v>184</v>
      </c>
      <c r="B9" s="51" t="s">
        <v>185</v>
      </c>
      <c r="C9" s="58" t="s">
        <v>135</v>
      </c>
      <c r="D9" s="58" t="s">
        <v>135</v>
      </c>
      <c r="E9" s="58" t="s">
        <v>135</v>
      </c>
      <c r="F9" s="58" t="s">
        <v>135</v>
      </c>
      <c r="G9" s="58" t="s">
        <v>6</v>
      </c>
      <c r="H9" s="58" t="s">
        <v>6</v>
      </c>
      <c r="I9" s="58" t="s">
        <v>135</v>
      </c>
      <c r="J9" s="58" t="s">
        <v>6</v>
      </c>
      <c r="K9" s="58" t="s">
        <v>6</v>
      </c>
      <c r="L9" s="58" t="s">
        <v>6</v>
      </c>
      <c r="M9" s="58" t="s">
        <v>135</v>
      </c>
      <c r="N9" s="58" t="s">
        <v>6</v>
      </c>
    </row>
    <row r="10" spans="1:14" x14ac:dyDescent="0.55000000000000004">
      <c r="A10" s="51" t="s">
        <v>173</v>
      </c>
      <c r="B10" s="51" t="s">
        <v>186</v>
      </c>
      <c r="C10" s="58" t="s">
        <v>135</v>
      </c>
      <c r="D10" s="58" t="s">
        <v>135</v>
      </c>
      <c r="E10" s="58" t="s">
        <v>135</v>
      </c>
      <c r="F10" s="58" t="s">
        <v>135</v>
      </c>
      <c r="G10" s="58" t="s">
        <v>6</v>
      </c>
      <c r="H10" s="58" t="s">
        <v>6</v>
      </c>
      <c r="I10" s="58" t="s">
        <v>135</v>
      </c>
      <c r="J10" s="58" t="s">
        <v>6</v>
      </c>
      <c r="K10" s="58" t="s">
        <v>6</v>
      </c>
      <c r="L10" s="58" t="s">
        <v>6</v>
      </c>
      <c r="M10" s="58" t="s">
        <v>135</v>
      </c>
      <c r="N10" s="58" t="s">
        <v>6</v>
      </c>
    </row>
    <row r="11" spans="1:14" x14ac:dyDescent="0.55000000000000004">
      <c r="A11" s="51" t="s">
        <v>174</v>
      </c>
      <c r="B11" s="51" t="s">
        <v>187</v>
      </c>
      <c r="C11" s="58" t="s">
        <v>135</v>
      </c>
      <c r="D11" s="58" t="s">
        <v>135</v>
      </c>
      <c r="E11" s="58" t="s">
        <v>135</v>
      </c>
      <c r="F11" s="58" t="s">
        <v>135</v>
      </c>
      <c r="G11" s="58" t="s">
        <v>6</v>
      </c>
      <c r="H11" s="58" t="s">
        <v>6</v>
      </c>
      <c r="I11" s="58" t="s">
        <v>135</v>
      </c>
      <c r="J11" s="58" t="s">
        <v>6</v>
      </c>
      <c r="K11" s="58" t="s">
        <v>6</v>
      </c>
      <c r="L11" s="58" t="s">
        <v>6</v>
      </c>
      <c r="M11" s="58" t="s">
        <v>135</v>
      </c>
      <c r="N11" s="58" t="s">
        <v>6</v>
      </c>
    </row>
    <row r="12" spans="1:14" x14ac:dyDescent="0.55000000000000004">
      <c r="A12" s="51" t="s">
        <v>223</v>
      </c>
      <c r="B12" s="51" t="s">
        <v>188</v>
      </c>
      <c r="C12" s="58" t="s">
        <v>135</v>
      </c>
      <c r="D12" s="58" t="s">
        <v>135</v>
      </c>
      <c r="E12" s="58" t="s">
        <v>135</v>
      </c>
      <c r="F12" s="58" t="s">
        <v>135</v>
      </c>
      <c r="G12" s="58" t="s">
        <v>6</v>
      </c>
      <c r="H12" s="58" t="s">
        <v>6</v>
      </c>
      <c r="I12" s="58" t="s">
        <v>135</v>
      </c>
      <c r="J12" s="58" t="s">
        <v>6</v>
      </c>
      <c r="K12" s="58" t="s">
        <v>6</v>
      </c>
      <c r="L12" s="58" t="s">
        <v>6</v>
      </c>
      <c r="M12" s="58" t="s">
        <v>135</v>
      </c>
      <c r="N12" s="58" t="s">
        <v>6</v>
      </c>
    </row>
    <row r="13" spans="1:14" x14ac:dyDescent="0.55000000000000004">
      <c r="A13" s="51" t="s">
        <v>175</v>
      </c>
      <c r="B13" s="51" t="s">
        <v>189</v>
      </c>
      <c r="C13" s="58" t="s">
        <v>135</v>
      </c>
      <c r="D13" s="58" t="s">
        <v>135</v>
      </c>
      <c r="E13" s="58" t="s">
        <v>135</v>
      </c>
      <c r="F13" s="58" t="s">
        <v>135</v>
      </c>
      <c r="G13" s="58" t="s">
        <v>6</v>
      </c>
      <c r="H13" s="58" t="s">
        <v>6</v>
      </c>
      <c r="I13" s="58" t="s">
        <v>135</v>
      </c>
      <c r="J13" s="58" t="s">
        <v>6</v>
      </c>
      <c r="K13" s="58" t="s">
        <v>6</v>
      </c>
      <c r="L13" s="58" t="s">
        <v>6</v>
      </c>
      <c r="M13" s="58" t="s">
        <v>135</v>
      </c>
      <c r="N13" s="58" t="s">
        <v>6</v>
      </c>
    </row>
    <row r="14" spans="1:14" x14ac:dyDescent="0.55000000000000004">
      <c r="A14" s="51" t="s">
        <v>176</v>
      </c>
      <c r="B14" s="51" t="s">
        <v>190</v>
      </c>
      <c r="C14" s="58" t="s">
        <v>135</v>
      </c>
      <c r="D14" s="58" t="s">
        <v>135</v>
      </c>
      <c r="E14" s="58" t="s">
        <v>135</v>
      </c>
      <c r="F14" s="58" t="s">
        <v>135</v>
      </c>
      <c r="G14" s="58" t="s">
        <v>6</v>
      </c>
      <c r="H14" s="58" t="s">
        <v>6</v>
      </c>
      <c r="I14" s="58" t="s">
        <v>135</v>
      </c>
      <c r="J14" s="58" t="s">
        <v>6</v>
      </c>
      <c r="K14" s="58" t="s">
        <v>6</v>
      </c>
      <c r="L14" s="58" t="s">
        <v>6</v>
      </c>
      <c r="M14" s="58" t="s">
        <v>135</v>
      </c>
      <c r="N14" s="58" t="s">
        <v>6</v>
      </c>
    </row>
    <row r="15" spans="1:14" x14ac:dyDescent="0.55000000000000004">
      <c r="A15" s="51" t="s">
        <v>177</v>
      </c>
      <c r="B15" s="51" t="s">
        <v>191</v>
      </c>
      <c r="C15" s="58" t="s">
        <v>135</v>
      </c>
      <c r="D15" s="58" t="s">
        <v>135</v>
      </c>
      <c r="E15" s="58" t="s">
        <v>135</v>
      </c>
      <c r="F15" s="58" t="s">
        <v>135</v>
      </c>
      <c r="G15" s="58" t="s">
        <v>6</v>
      </c>
      <c r="H15" s="58" t="s">
        <v>6</v>
      </c>
      <c r="I15" s="58" t="s">
        <v>135</v>
      </c>
      <c r="J15" s="58" t="s">
        <v>6</v>
      </c>
      <c r="K15" s="58" t="s">
        <v>6</v>
      </c>
      <c r="L15" s="58" t="s">
        <v>6</v>
      </c>
      <c r="M15" s="58" t="s">
        <v>135</v>
      </c>
      <c r="N15" s="58" t="s">
        <v>6</v>
      </c>
    </row>
    <row r="16" spans="1:14" x14ac:dyDescent="0.55000000000000004">
      <c r="A16" s="51" t="s">
        <v>224</v>
      </c>
      <c r="B16" s="51" t="s">
        <v>192</v>
      </c>
      <c r="C16" s="58" t="s">
        <v>135</v>
      </c>
      <c r="D16" s="58" t="s">
        <v>135</v>
      </c>
      <c r="E16" s="58" t="s">
        <v>135</v>
      </c>
      <c r="F16" s="58" t="s">
        <v>135</v>
      </c>
      <c r="G16" s="58" t="s">
        <v>6</v>
      </c>
      <c r="H16" s="58" t="s">
        <v>6</v>
      </c>
      <c r="I16" s="58" t="s">
        <v>135</v>
      </c>
      <c r="J16" s="58" t="s">
        <v>6</v>
      </c>
      <c r="K16" s="58" t="s">
        <v>6</v>
      </c>
      <c r="L16" s="58" t="s">
        <v>6</v>
      </c>
      <c r="M16" s="58" t="s">
        <v>135</v>
      </c>
      <c r="N16" s="58" t="s">
        <v>6</v>
      </c>
    </row>
    <row r="17" spans="1:14" x14ac:dyDescent="0.55000000000000004">
      <c r="A17" s="51" t="s">
        <v>193</v>
      </c>
      <c r="B17" s="51" t="s">
        <v>199</v>
      </c>
      <c r="C17" s="58" t="s">
        <v>6</v>
      </c>
      <c r="D17" s="58" t="s">
        <v>6</v>
      </c>
      <c r="E17" s="58" t="s">
        <v>6</v>
      </c>
      <c r="F17" s="58" t="s">
        <v>6</v>
      </c>
      <c r="G17" s="58" t="s">
        <v>135</v>
      </c>
      <c r="H17" s="58" t="s">
        <v>135</v>
      </c>
      <c r="I17" s="58" t="s">
        <v>6</v>
      </c>
      <c r="J17" s="58" t="s">
        <v>135</v>
      </c>
      <c r="K17" s="58" t="s">
        <v>6</v>
      </c>
      <c r="L17" s="58" t="s">
        <v>6</v>
      </c>
      <c r="M17" s="58" t="s">
        <v>6</v>
      </c>
      <c r="N17" s="58" t="s">
        <v>135</v>
      </c>
    </row>
    <row r="18" spans="1:14" x14ac:dyDescent="0.55000000000000004">
      <c r="A18" s="51" t="s">
        <v>212</v>
      </c>
      <c r="B18" s="51" t="s">
        <v>213</v>
      </c>
      <c r="C18" s="58" t="s">
        <v>6</v>
      </c>
      <c r="D18" s="58" t="s">
        <v>6</v>
      </c>
      <c r="E18" s="58" t="s">
        <v>6</v>
      </c>
      <c r="F18" s="58" t="s">
        <v>6</v>
      </c>
      <c r="G18" s="58" t="s">
        <v>135</v>
      </c>
      <c r="H18" s="58" t="s">
        <v>135</v>
      </c>
      <c r="I18" s="58" t="s">
        <v>6</v>
      </c>
      <c r="J18" s="58" t="s">
        <v>135</v>
      </c>
      <c r="K18" s="58" t="s">
        <v>6</v>
      </c>
      <c r="L18" s="58" t="s">
        <v>6</v>
      </c>
      <c r="M18" s="58" t="s">
        <v>6</v>
      </c>
      <c r="N18" s="58" t="s">
        <v>135</v>
      </c>
    </row>
    <row r="19" spans="1:14" x14ac:dyDescent="0.55000000000000004">
      <c r="A19" s="51" t="s">
        <v>214</v>
      </c>
      <c r="B19" s="51" t="s">
        <v>215</v>
      </c>
      <c r="C19" s="58" t="s">
        <v>6</v>
      </c>
      <c r="D19" s="58" t="s">
        <v>6</v>
      </c>
      <c r="E19" s="58" t="s">
        <v>6</v>
      </c>
      <c r="F19" s="58" t="s">
        <v>6</v>
      </c>
      <c r="G19" s="58" t="s">
        <v>135</v>
      </c>
      <c r="H19" s="58" t="s">
        <v>135</v>
      </c>
      <c r="I19" s="58" t="s">
        <v>6</v>
      </c>
      <c r="J19" s="58" t="s">
        <v>135</v>
      </c>
      <c r="K19" s="58" t="s">
        <v>6</v>
      </c>
      <c r="L19" s="58" t="s">
        <v>6</v>
      </c>
      <c r="M19" s="58" t="s">
        <v>6</v>
      </c>
      <c r="N19" s="58" t="s">
        <v>135</v>
      </c>
    </row>
    <row r="20" spans="1:14" x14ac:dyDescent="0.55000000000000004">
      <c r="A20" s="51" t="s">
        <v>216</v>
      </c>
      <c r="B20" s="51" t="s">
        <v>221</v>
      </c>
      <c r="C20" s="58" t="s">
        <v>6</v>
      </c>
      <c r="D20" s="58" t="s">
        <v>6</v>
      </c>
      <c r="E20" s="58" t="s">
        <v>6</v>
      </c>
      <c r="F20" s="58" t="s">
        <v>6</v>
      </c>
      <c r="G20" s="58" t="s">
        <v>135</v>
      </c>
      <c r="H20" s="58" t="s">
        <v>135</v>
      </c>
      <c r="I20" s="58" t="s">
        <v>6</v>
      </c>
      <c r="J20" s="58" t="s">
        <v>135</v>
      </c>
      <c r="K20" s="58" t="s">
        <v>6</v>
      </c>
      <c r="L20" s="58" t="s">
        <v>6</v>
      </c>
      <c r="M20" s="58" t="s">
        <v>6</v>
      </c>
      <c r="N20" s="58" t="s">
        <v>135</v>
      </c>
    </row>
    <row r="21" spans="1:14" x14ac:dyDescent="0.55000000000000004">
      <c r="A21" s="51" t="s">
        <v>217</v>
      </c>
      <c r="B21" s="51" t="s">
        <v>218</v>
      </c>
      <c r="C21" s="58" t="s">
        <v>6</v>
      </c>
      <c r="D21" s="58" t="s">
        <v>6</v>
      </c>
      <c r="E21" s="58" t="s">
        <v>6</v>
      </c>
      <c r="F21" s="58" t="s">
        <v>6</v>
      </c>
      <c r="G21" s="58" t="s">
        <v>135</v>
      </c>
      <c r="H21" s="58" t="s">
        <v>135</v>
      </c>
      <c r="I21" s="58" t="s">
        <v>6</v>
      </c>
      <c r="J21" s="58" t="s">
        <v>135</v>
      </c>
      <c r="K21" s="58" t="s">
        <v>6</v>
      </c>
      <c r="L21" s="58" t="s">
        <v>6</v>
      </c>
      <c r="M21" s="58" t="s">
        <v>6</v>
      </c>
      <c r="N21" s="58" t="s">
        <v>135</v>
      </c>
    </row>
    <row r="22" spans="1:14" x14ac:dyDescent="0.55000000000000004">
      <c r="A22" s="51" t="s">
        <v>219</v>
      </c>
      <c r="B22" s="51" t="s">
        <v>220</v>
      </c>
      <c r="C22" s="58" t="s">
        <v>6</v>
      </c>
      <c r="D22" s="58" t="s">
        <v>6</v>
      </c>
      <c r="E22" s="58" t="s">
        <v>6</v>
      </c>
      <c r="F22" s="58" t="s">
        <v>6</v>
      </c>
      <c r="G22" s="58" t="s">
        <v>135</v>
      </c>
      <c r="H22" s="58" t="s">
        <v>135</v>
      </c>
      <c r="I22" s="58" t="s">
        <v>6</v>
      </c>
      <c r="J22" s="58" t="s">
        <v>135</v>
      </c>
      <c r="K22" s="58" t="s">
        <v>6</v>
      </c>
      <c r="L22" s="58" t="s">
        <v>6</v>
      </c>
      <c r="M22" s="58" t="s">
        <v>6</v>
      </c>
      <c r="N22" s="58" t="s">
        <v>135</v>
      </c>
    </row>
    <row r="23" spans="1:14" x14ac:dyDescent="0.55000000000000004">
      <c r="A23" s="57" t="s">
        <v>200</v>
      </c>
      <c r="B23" s="51" t="s">
        <v>194</v>
      </c>
      <c r="C23" s="58" t="s">
        <v>6</v>
      </c>
      <c r="D23" s="58" t="s">
        <v>6</v>
      </c>
      <c r="E23" s="58" t="s">
        <v>6</v>
      </c>
      <c r="F23" s="58" t="s">
        <v>6</v>
      </c>
      <c r="G23" s="58" t="s">
        <v>6</v>
      </c>
      <c r="H23" s="58" t="s">
        <v>6</v>
      </c>
      <c r="I23" s="58" t="s">
        <v>6</v>
      </c>
      <c r="J23" s="58" t="s">
        <v>6</v>
      </c>
      <c r="K23" s="58" t="s">
        <v>6</v>
      </c>
      <c r="L23" s="58" t="s">
        <v>6</v>
      </c>
      <c r="M23" s="58" t="s">
        <v>6</v>
      </c>
      <c r="N23" s="58" t="s">
        <v>6</v>
      </c>
    </row>
    <row r="24" spans="1:14" x14ac:dyDescent="0.55000000000000004">
      <c r="A24" s="57" t="s">
        <v>201</v>
      </c>
      <c r="B24" s="51" t="s">
        <v>195</v>
      </c>
      <c r="C24" s="58" t="s">
        <v>6</v>
      </c>
      <c r="D24" s="58" t="s">
        <v>6</v>
      </c>
      <c r="E24" s="58" t="s">
        <v>6</v>
      </c>
      <c r="F24" s="58" t="s">
        <v>6</v>
      </c>
      <c r="G24" s="58" t="s">
        <v>6</v>
      </c>
      <c r="H24" s="58" t="s">
        <v>6</v>
      </c>
      <c r="I24" s="58" t="s">
        <v>6</v>
      </c>
      <c r="J24" s="58" t="s">
        <v>6</v>
      </c>
      <c r="K24" s="58" t="s">
        <v>6</v>
      </c>
      <c r="L24" s="58" t="s">
        <v>6</v>
      </c>
      <c r="M24" s="58" t="s">
        <v>6</v>
      </c>
      <c r="N24" s="58" t="s">
        <v>6</v>
      </c>
    </row>
    <row r="25" spans="1:14" x14ac:dyDescent="0.55000000000000004">
      <c r="A25" s="57" t="s">
        <v>202</v>
      </c>
      <c r="B25" s="51" t="s">
        <v>196</v>
      </c>
      <c r="C25" s="58" t="s">
        <v>6</v>
      </c>
      <c r="D25" s="58" t="s">
        <v>6</v>
      </c>
      <c r="E25" s="58" t="s">
        <v>6</v>
      </c>
      <c r="F25" s="58" t="s">
        <v>6</v>
      </c>
      <c r="G25" s="58" t="s">
        <v>6</v>
      </c>
      <c r="H25" s="58" t="s">
        <v>6</v>
      </c>
      <c r="I25" s="58" t="s">
        <v>6</v>
      </c>
      <c r="J25" s="58" t="s">
        <v>6</v>
      </c>
      <c r="K25" s="58" t="s">
        <v>6</v>
      </c>
      <c r="L25" s="58" t="s">
        <v>6</v>
      </c>
      <c r="M25" s="58" t="s">
        <v>6</v>
      </c>
      <c r="N25" s="58" t="s">
        <v>6</v>
      </c>
    </row>
    <row r="26" spans="1:14" x14ac:dyDescent="0.55000000000000004">
      <c r="A26" s="57" t="s">
        <v>203</v>
      </c>
      <c r="B26" s="51" t="s">
        <v>204</v>
      </c>
      <c r="C26" s="58" t="s">
        <v>6</v>
      </c>
      <c r="D26" s="58" t="s">
        <v>6</v>
      </c>
      <c r="E26" s="58" t="s">
        <v>6</v>
      </c>
      <c r="F26" s="58" t="s">
        <v>6</v>
      </c>
      <c r="G26" s="58" t="s">
        <v>6</v>
      </c>
      <c r="H26" s="58" t="s">
        <v>6</v>
      </c>
      <c r="I26" s="58" t="s">
        <v>6</v>
      </c>
      <c r="J26" s="58" t="s">
        <v>6</v>
      </c>
      <c r="K26" s="58" t="s">
        <v>6</v>
      </c>
      <c r="L26" s="58" t="s">
        <v>6</v>
      </c>
      <c r="M26" s="58" t="s">
        <v>6</v>
      </c>
      <c r="N26" s="58" t="s">
        <v>6</v>
      </c>
    </row>
    <row r="27" spans="1:14" x14ac:dyDescent="0.55000000000000004">
      <c r="A27" s="57" t="s">
        <v>205</v>
      </c>
      <c r="B27" s="51" t="s">
        <v>206</v>
      </c>
      <c r="C27" s="58" t="s">
        <v>6</v>
      </c>
      <c r="D27" s="58" t="s">
        <v>6</v>
      </c>
      <c r="E27" s="58" t="s">
        <v>6</v>
      </c>
      <c r="F27" s="58" t="s">
        <v>6</v>
      </c>
      <c r="G27" s="58" t="s">
        <v>6</v>
      </c>
      <c r="H27" s="58" t="s">
        <v>6</v>
      </c>
      <c r="I27" s="58" t="s">
        <v>6</v>
      </c>
      <c r="J27" s="58" t="s">
        <v>6</v>
      </c>
      <c r="K27" s="58" t="s">
        <v>6</v>
      </c>
      <c r="L27" s="58" t="s">
        <v>6</v>
      </c>
      <c r="M27" s="58" t="s">
        <v>6</v>
      </c>
      <c r="N27" s="58" t="s">
        <v>6</v>
      </c>
    </row>
    <row r="28" spans="1:14" x14ac:dyDescent="0.55000000000000004">
      <c r="A28" s="57" t="s">
        <v>207</v>
      </c>
      <c r="B28" s="51" t="s">
        <v>208</v>
      </c>
      <c r="C28" s="58" t="s">
        <v>6</v>
      </c>
      <c r="D28" s="58" t="s">
        <v>6</v>
      </c>
      <c r="E28" s="58" t="s">
        <v>6</v>
      </c>
      <c r="F28" s="58" t="s">
        <v>6</v>
      </c>
      <c r="G28" s="58" t="s">
        <v>6</v>
      </c>
      <c r="H28" s="58" t="s">
        <v>6</v>
      </c>
      <c r="I28" s="58" t="s">
        <v>6</v>
      </c>
      <c r="J28" s="58" t="s">
        <v>6</v>
      </c>
      <c r="K28" s="58" t="s">
        <v>6</v>
      </c>
      <c r="L28" s="58" t="s">
        <v>6</v>
      </c>
      <c r="M28" s="58" t="s">
        <v>6</v>
      </c>
      <c r="N28" s="58" t="s">
        <v>6</v>
      </c>
    </row>
    <row r="29" spans="1:14" x14ac:dyDescent="0.55000000000000004">
      <c r="A29" s="59" t="s">
        <v>237</v>
      </c>
      <c r="B29" s="59" t="s">
        <v>238</v>
      </c>
      <c r="C29" s="58" t="s">
        <v>6</v>
      </c>
      <c r="D29" s="58" t="s">
        <v>6</v>
      </c>
      <c r="E29" s="58" t="s">
        <v>6</v>
      </c>
      <c r="F29" s="58" t="s">
        <v>6</v>
      </c>
      <c r="G29" s="58" t="s">
        <v>6</v>
      </c>
      <c r="H29" s="58" t="s">
        <v>6</v>
      </c>
      <c r="I29" s="58" t="s">
        <v>6</v>
      </c>
      <c r="J29" s="58" t="s">
        <v>6</v>
      </c>
      <c r="K29" s="58" t="s">
        <v>6</v>
      </c>
      <c r="L29" s="58" t="s">
        <v>6</v>
      </c>
      <c r="M29" s="58" t="s">
        <v>6</v>
      </c>
      <c r="N29" s="58" t="s">
        <v>6</v>
      </c>
    </row>
    <row r="30" spans="1:14" x14ac:dyDescent="0.55000000000000004">
      <c r="A30" s="59" t="s">
        <v>232</v>
      </c>
      <c r="B30" s="59" t="s">
        <v>225</v>
      </c>
      <c r="C30" s="58" t="s">
        <v>6</v>
      </c>
      <c r="D30" s="58" t="s">
        <v>6</v>
      </c>
      <c r="E30" s="58" t="s">
        <v>6</v>
      </c>
      <c r="F30" s="58" t="s">
        <v>6</v>
      </c>
      <c r="G30" s="58" t="s">
        <v>6</v>
      </c>
      <c r="H30" s="58" t="s">
        <v>6</v>
      </c>
      <c r="I30" s="58" t="s">
        <v>6</v>
      </c>
      <c r="J30" s="58" t="s">
        <v>6</v>
      </c>
      <c r="K30" s="58" t="s">
        <v>6</v>
      </c>
      <c r="L30" s="58" t="s">
        <v>6</v>
      </c>
      <c r="M30" s="58" t="s">
        <v>6</v>
      </c>
      <c r="N30" s="58" t="s">
        <v>6</v>
      </c>
    </row>
    <row r="31" spans="1:14" x14ac:dyDescent="0.55000000000000004">
      <c r="A31" s="67" t="s">
        <v>239</v>
      </c>
      <c r="B31" s="67" t="s">
        <v>240</v>
      </c>
      <c r="C31" s="68" t="s">
        <v>6</v>
      </c>
      <c r="D31" s="68" t="s">
        <v>135</v>
      </c>
      <c r="E31" s="68" t="s">
        <v>135</v>
      </c>
      <c r="F31" s="68" t="s">
        <v>135</v>
      </c>
      <c r="G31" s="68" t="s">
        <v>6</v>
      </c>
      <c r="H31" s="68" t="s">
        <v>6</v>
      </c>
      <c r="I31" s="68" t="s">
        <v>135</v>
      </c>
      <c r="J31" s="68" t="s">
        <v>6</v>
      </c>
      <c r="K31" s="68" t="s">
        <v>6</v>
      </c>
      <c r="L31" s="68" t="s">
        <v>6</v>
      </c>
      <c r="M31" s="68" t="s">
        <v>135</v>
      </c>
      <c r="N31" s="68" t="s">
        <v>6</v>
      </c>
    </row>
    <row r="32" spans="1:14" x14ac:dyDescent="0.55000000000000004">
      <c r="A32" s="67" t="s">
        <v>241</v>
      </c>
      <c r="B32" s="67" t="s">
        <v>242</v>
      </c>
      <c r="C32" s="68" t="s">
        <v>6</v>
      </c>
      <c r="D32" s="68" t="s">
        <v>6</v>
      </c>
      <c r="E32" s="68" t="s">
        <v>6</v>
      </c>
      <c r="F32" s="68" t="s">
        <v>6</v>
      </c>
      <c r="G32" s="68" t="s">
        <v>135</v>
      </c>
      <c r="H32" s="68" t="s">
        <v>135</v>
      </c>
      <c r="I32" s="68" t="s">
        <v>6</v>
      </c>
      <c r="J32" s="68" t="s">
        <v>135</v>
      </c>
      <c r="K32" s="68" t="s">
        <v>6</v>
      </c>
      <c r="L32" s="68" t="s">
        <v>6</v>
      </c>
      <c r="M32" s="68" t="s">
        <v>6</v>
      </c>
      <c r="N32" s="68" t="s">
        <v>135</v>
      </c>
    </row>
  </sheetData>
  <dataValidations count="1">
    <dataValidation type="list" showInputMessage="1" showErrorMessage="1" sqref="C2:N32">
      <formula1>"n,y"</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41"/>
  <sheetViews>
    <sheetView tabSelected="1" topLeftCell="H296" workbookViewId="0">
      <selection activeCell="V302" sqref="V302"/>
    </sheetView>
  </sheetViews>
  <sheetFormatPr defaultColWidth="8.83984375" defaultRowHeight="14.4" x14ac:dyDescent="0.55000000000000004"/>
  <cols>
    <col min="1" max="1" width="58.68359375" style="37" bestFit="1" customWidth="1"/>
    <col min="2" max="2" width="43.68359375" style="37" bestFit="1" customWidth="1"/>
    <col min="3" max="3" width="7.47265625" style="37" bestFit="1" customWidth="1"/>
    <col min="4" max="4" width="10.3125" style="37" bestFit="1" customWidth="1"/>
    <col min="5" max="5" width="3.47265625" style="37" bestFit="1" customWidth="1"/>
    <col min="6" max="20" width="5.15625" style="37" bestFit="1" customWidth="1"/>
    <col min="21" max="21" width="15" style="37" bestFit="1" customWidth="1"/>
    <col min="22" max="22" width="18.3125" style="37" customWidth="1"/>
    <col min="23" max="23" width="15.3125" style="37" bestFit="1" customWidth="1"/>
    <col min="24" max="24" width="14.3125" style="37" bestFit="1" customWidth="1"/>
    <col min="25" max="26" width="15" style="37" bestFit="1" customWidth="1"/>
    <col min="27" max="16384" width="8.83984375" style="37"/>
  </cols>
  <sheetData>
    <row r="1" spans="1:25" x14ac:dyDescent="0.55000000000000004">
      <c r="A1" s="41" t="str">
        <f>'Program Definitions'!$A$2</f>
        <v>BCG vaccination</v>
      </c>
      <c r="B1" s="41" t="s">
        <v>197</v>
      </c>
      <c r="C1" s="41"/>
      <c r="D1" s="41"/>
      <c r="E1" s="41"/>
      <c r="F1" s="41"/>
      <c r="G1" s="41"/>
      <c r="H1" s="41"/>
      <c r="I1" s="41"/>
      <c r="J1" s="41"/>
      <c r="K1" s="41"/>
      <c r="L1" s="41"/>
      <c r="M1" s="41"/>
      <c r="N1" s="41"/>
      <c r="O1" s="41"/>
      <c r="P1" s="41"/>
      <c r="Q1" s="41"/>
      <c r="R1" s="41"/>
      <c r="S1" s="41"/>
      <c r="T1" s="41"/>
      <c r="U1" s="41"/>
      <c r="V1" s="41"/>
    </row>
    <row r="2" spans="1:25" x14ac:dyDescent="0.55000000000000004">
      <c r="A2" s="41" t="s">
        <v>11</v>
      </c>
      <c r="B2" s="41"/>
      <c r="C2" s="41" t="s">
        <v>8</v>
      </c>
      <c r="D2" s="41" t="s">
        <v>9</v>
      </c>
      <c r="E2" s="41"/>
      <c r="F2" s="41">
        <v>2000</v>
      </c>
      <c r="G2" s="41">
        <v>2001</v>
      </c>
      <c r="H2" s="41">
        <v>2002</v>
      </c>
      <c r="I2" s="41">
        <v>2003</v>
      </c>
      <c r="J2" s="41">
        <v>2004</v>
      </c>
      <c r="K2" s="41">
        <v>2005</v>
      </c>
      <c r="L2" s="41">
        <v>2006</v>
      </c>
      <c r="M2" s="41">
        <v>2007</v>
      </c>
      <c r="N2" s="41">
        <v>2008</v>
      </c>
      <c r="O2" s="41">
        <v>2009</v>
      </c>
      <c r="P2" s="41">
        <v>2010</v>
      </c>
      <c r="Q2" s="41">
        <v>2011</v>
      </c>
      <c r="R2" s="41">
        <v>2012</v>
      </c>
      <c r="S2" s="41">
        <v>2013</v>
      </c>
      <c r="T2" s="41">
        <v>2014</v>
      </c>
      <c r="U2" s="41">
        <v>2015</v>
      </c>
      <c r="V2" s="41">
        <v>2016</v>
      </c>
    </row>
    <row r="3" spans="1:25" x14ac:dyDescent="0.55000000000000004">
      <c r="A3" s="41" t="s">
        <v>12</v>
      </c>
      <c r="B3" s="41" t="str">
        <f>IF(B1="Fixed Cost Program","...","Program Coverage")</f>
        <v>Program Coverage</v>
      </c>
      <c r="C3" s="41" t="str">
        <f>IF(B3&lt;&gt;"...","Number","")</f>
        <v>Number</v>
      </c>
      <c r="D3" s="39" t="str">
        <f>IF(B3&lt;&gt;"...",IF(SUMPRODUCT(--(F3:V3&lt;&gt;""))=0,0,"N.A."),"")</f>
        <v>N.A.</v>
      </c>
      <c r="E3" s="41" t="str">
        <f>IF(B3&lt;&gt;"...","OR","")</f>
        <v>OR</v>
      </c>
      <c r="F3" s="60"/>
      <c r="G3" s="60"/>
      <c r="H3" s="60"/>
      <c r="I3" s="60"/>
      <c r="J3" s="60"/>
      <c r="K3" s="60"/>
      <c r="L3" s="60"/>
      <c r="M3" s="60"/>
      <c r="N3" s="60"/>
      <c r="O3" s="60"/>
      <c r="P3" s="60"/>
      <c r="Q3" s="60"/>
      <c r="R3" s="60"/>
      <c r="S3" s="60"/>
      <c r="T3" s="60"/>
      <c r="U3" s="60"/>
      <c r="V3" s="44">
        <f>1389893*0.2</f>
        <v>277978.60000000003</v>
      </c>
    </row>
    <row r="4" spans="1:25" x14ac:dyDescent="0.55000000000000004">
      <c r="A4" s="41" t="s">
        <v>11</v>
      </c>
      <c r="B4" s="41" t="s">
        <v>13</v>
      </c>
      <c r="C4" s="41" t="s">
        <v>15</v>
      </c>
      <c r="D4" s="39" t="str">
        <f>IF(SUMPRODUCT(--(F4:V4&lt;&gt;""))=0,0,"N.A.")</f>
        <v>N.A.</v>
      </c>
      <c r="E4" s="41" t="s">
        <v>16</v>
      </c>
      <c r="F4" s="65"/>
      <c r="G4" s="65"/>
      <c r="H4" s="65"/>
      <c r="I4" s="65"/>
      <c r="J4" s="65"/>
      <c r="K4" s="65"/>
      <c r="L4" s="65"/>
      <c r="M4" s="65"/>
      <c r="N4" s="65"/>
      <c r="O4" s="65"/>
      <c r="P4" s="65"/>
      <c r="Q4" s="65"/>
      <c r="R4" s="65"/>
      <c r="S4" s="65"/>
      <c r="T4" s="65"/>
      <c r="U4" s="65"/>
      <c r="V4" s="65">
        <v>18792743.25</v>
      </c>
      <c r="W4" s="69"/>
      <c r="X4" s="55"/>
    </row>
    <row r="5" spans="1:25" x14ac:dyDescent="0.55000000000000004">
      <c r="A5" s="41" t="s">
        <v>11</v>
      </c>
      <c r="B5" s="41" t="str">
        <f>IF(B1="Fixed Cost Program","...",CONCATENATE("Unit Cost Estimate",IF(C3="Fraction"," (Per 1%)","")))</f>
        <v>Unit Cost Estimate</v>
      </c>
      <c r="C5" s="41" t="str">
        <f>IF(B5&lt;&gt;"...","USD","")</f>
        <v>USD</v>
      </c>
      <c r="D5" s="66">
        <v>56</v>
      </c>
      <c r="E5" s="41" t="str">
        <f t="shared" ref="E5:E10" si="0">IF(B5&lt;&gt;"...","OR","")</f>
        <v>OR</v>
      </c>
      <c r="F5" s="65" t="str">
        <f>IF(B5&lt;&gt;"...","...","")</f>
        <v>...</v>
      </c>
      <c r="G5" s="65" t="str">
        <f>IF(B5&lt;&gt;"...","...","")</f>
        <v>...</v>
      </c>
      <c r="H5" s="65" t="str">
        <f>IF(B5&lt;&gt;"...","...","")</f>
        <v>...</v>
      </c>
      <c r="I5" s="65" t="str">
        <f>IF(B5&lt;&gt;"...","...","")</f>
        <v>...</v>
      </c>
      <c r="J5" s="65" t="str">
        <f>IF(B5&lt;&gt;"...","...","")</f>
        <v>...</v>
      </c>
      <c r="K5" s="65" t="str">
        <f>IF(B5&lt;&gt;"...","...","")</f>
        <v>...</v>
      </c>
      <c r="L5" s="65" t="str">
        <f>IF(B5&lt;&gt;"...","...","")</f>
        <v>...</v>
      </c>
      <c r="M5" s="65" t="str">
        <f>IF(B5&lt;&gt;"...","...","")</f>
        <v>...</v>
      </c>
      <c r="N5" s="65" t="str">
        <f>IF(B5&lt;&gt;"...","...","")</f>
        <v>...</v>
      </c>
      <c r="O5" s="65" t="str">
        <f>IF(B5&lt;&gt;"...","...","")</f>
        <v>...</v>
      </c>
      <c r="P5" s="65" t="str">
        <f>IF(B5&lt;&gt;"...","...","")</f>
        <v>...</v>
      </c>
      <c r="Q5" s="65" t="str">
        <f>IF(B5&lt;&gt;"...","...","")</f>
        <v>...</v>
      </c>
      <c r="R5" s="65" t="str">
        <f>IF(B5&lt;&gt;"...","...","")</f>
        <v>...</v>
      </c>
      <c r="S5" s="65" t="str">
        <f>IF(B5&lt;&gt;"...","...","")</f>
        <v>...</v>
      </c>
      <c r="T5" s="65" t="str">
        <f>IF(B5&lt;&gt;"...","...","")</f>
        <v>...</v>
      </c>
      <c r="U5" s="65" t="str">
        <f>IF(B5&lt;&gt;"...","...","")</f>
        <v>...</v>
      </c>
      <c r="V5" s="65" t="str">
        <f>IF(B5&lt;&gt;"...","...","")</f>
        <v>...</v>
      </c>
      <c r="W5" s="9"/>
    </row>
    <row r="6" spans="1:25" x14ac:dyDescent="0.55000000000000004">
      <c r="A6" s="41" t="s">
        <v>17</v>
      </c>
      <c r="B6" s="41" t="str">
        <f>IF(B1="MDR/XDR Treatment Program","Efficacy (After Completed Treatment)",IF(B1="XDR Treat Program","Efficacy (After Completed Treatment)",IF(B1="MDR Treat Program","Efficacy (After Completed Treatment)",IF(B1="DS Treat Program","Efficacy (After Completed Treatment)",IF(B1="Latency Treat Program","Efficacy (After Completed Treatment)",IF(B1="Strain Diag Program","Sensitivity (Detection Probability)",IF(B1="DR Targeted Diagnosis Program","Sensitivity (Detection Probability)",IF(B1="DS Targeted Diagnosis Program","Sensitivity (Detection Probability)",IF(B1="Vaccination Program","Vaccination Effectiveness Probability",IF(B1="Fixed Cost Program","...","..."))))))))))</f>
        <v>Vaccination Effectiveness Probability</v>
      </c>
      <c r="C6" s="41" t="str">
        <f>IF(B6&lt;&gt;"...","Unique","")</f>
        <v>Unique</v>
      </c>
      <c r="D6" s="39" t="str">
        <f>IF(B6&lt;&gt;"...",IF(SUMPRODUCT(--(F6:V6&lt;&gt;""))=0,0,"N.A."),"")</f>
        <v>N.A.</v>
      </c>
      <c r="E6" s="41" t="str">
        <f t="shared" si="0"/>
        <v>OR</v>
      </c>
      <c r="F6" s="40"/>
      <c r="G6" s="40"/>
      <c r="H6" s="40"/>
      <c r="I6" s="40"/>
      <c r="J6" s="40"/>
      <c r="K6" s="40"/>
      <c r="L6" s="40"/>
      <c r="M6" s="40"/>
      <c r="N6" s="40"/>
      <c r="O6" s="40"/>
      <c r="P6" s="40"/>
      <c r="Q6" s="40"/>
      <c r="R6" s="40"/>
      <c r="S6" s="40"/>
      <c r="T6" s="40"/>
      <c r="U6" s="40"/>
      <c r="V6" s="40">
        <v>0.5</v>
      </c>
    </row>
    <row r="7" spans="1:25" x14ac:dyDescent="0.55000000000000004">
      <c r="A7" s="41" t="s">
        <v>11</v>
      </c>
      <c r="B7" s="41" t="str">
        <f>IF(B1="MDR/XDR Treatment Program","Adherence Probability (Yearly)",IF(B1="XDR Treat Program","Adherence Probability (Yearly)",IF(B1="MDR Treat Program","Adherence Probability (Yearly)",IF(B1="DS Treat Program","Adherence Probability (Yearly)",IF(B1="Latency Treat Program","Adherence Probability (Yearly)",IF(B1="Strain Diag Program","Latents Identified (Per Active Case)",IF(B1="DR Targeted Diagnosis Program","Latents Identified (Per DR-TB Case)",IF(B1="DS Targeted Diagnosis Program","Latents Identified (Per DS-TB Case)",IF(B1="Vaccination Program","...",IF(B1="Fixed Cost Program","...","..."))))))))))</f>
        <v>...</v>
      </c>
      <c r="C7" s="41" t="str">
        <f>IF(B7&lt;&gt;"...","Unique","")</f>
        <v/>
      </c>
      <c r="D7" s="39" t="str">
        <f>IF(B7&lt;&gt;"...",IF(SUMPRODUCT(--(F7:V7&lt;&gt;""))=0,0,"N.A."),"")</f>
        <v/>
      </c>
      <c r="E7" s="41" t="str">
        <f t="shared" si="0"/>
        <v/>
      </c>
      <c r="F7" s="40"/>
      <c r="G7" s="40"/>
      <c r="H7" s="40"/>
      <c r="I7" s="40"/>
      <c r="J7" s="40"/>
      <c r="K7" s="40"/>
      <c r="L7" s="40"/>
      <c r="M7" s="40"/>
      <c r="N7" s="40"/>
      <c r="O7" s="40"/>
      <c r="P7" s="40"/>
      <c r="Q7" s="40"/>
      <c r="R7" s="40"/>
      <c r="S7" s="40"/>
      <c r="T7" s="40"/>
      <c r="U7" s="40"/>
      <c r="V7" s="40"/>
    </row>
    <row r="8" spans="1:25" x14ac:dyDescent="0.55000000000000004">
      <c r="A8" s="41" t="s">
        <v>11</v>
      </c>
      <c r="B8" s="41" t="str">
        <f>IF(B1="MDR/XDR Treatment Program","Treatment Duration (Months)",IF(B1="XDR Treat Program","Treatment Duration (Months)",IF(B1="MDR Treat Program","Treatment Duration (Months)",IF(B1="DS Treat Program","Treatment Duration (Months)",IF(B1="Latency Treat Program","Treatment Duration (Months)",IF(B1="Strain Diag Program","Latent Treatment Efficacy (After Completed Treatment)",IF(B1="DR Targeted Diagnosis Program","Latent Treatment Efficacy (After Completed Treatment)",IF(B1="DS Targeted Diagnosis Program","Latent Treatment Efficacy (After Completed Treatment)",IF(B1="Vaccination Program","...",IF(B1="Fixed Cost Program","...","..."))))))))))</f>
        <v>...</v>
      </c>
      <c r="C8" s="41" t="str">
        <f>IF(B8&lt;&gt;"...","Unique","")</f>
        <v/>
      </c>
      <c r="D8" s="39" t="str">
        <f>IF(B8&lt;&gt;"...",IF(SUMPRODUCT(--(F8:V8&lt;&gt;""))=0,0,"N.A."),"")</f>
        <v/>
      </c>
      <c r="E8" s="41" t="str">
        <f t="shared" si="0"/>
        <v/>
      </c>
      <c r="F8" s="40"/>
      <c r="G8" s="40"/>
      <c r="H8" s="40"/>
      <c r="I8" s="40"/>
      <c r="J8" s="40"/>
      <c r="K8" s="40"/>
      <c r="L8" s="40"/>
      <c r="M8" s="40"/>
      <c r="N8" s="40"/>
      <c r="O8" s="40"/>
      <c r="P8" s="40"/>
      <c r="Q8" s="40"/>
      <c r="R8" s="40"/>
      <c r="S8" s="40"/>
      <c r="T8" s="40"/>
      <c r="U8" s="40"/>
      <c r="V8" s="40"/>
    </row>
    <row r="9" spans="1:25" x14ac:dyDescent="0.55000000000000004">
      <c r="A9" s="41" t="s">
        <v>11</v>
      </c>
      <c r="B9" s="41" t="str">
        <f>IF(B1="MDR/XDR Treatment Program","...",IF(B1="XDR Treat Program","...",IF(B1="MDR Treat Program","...",IF(B1="DS Treat Program","...",IF(B1="Latency Treat Program","...",IF(B1="Strain Diag Program","Latent Treatment Adherence Probability (Yearly)",IF(B1="DR Targeted Diagnosis Program","Latent Treatment Adherence Probability (Yearly)",IF(B1="DS Targeted Diagnosis Program","Latent Treatment Adherence Probability (Yearly)",IF(B1="Vaccination Program","...",IF(B1="Fixed Cost Program","...","..."))))))))))</f>
        <v>...</v>
      </c>
      <c r="C9" s="41" t="str">
        <f>IF(B9&lt;&gt;"...","Unique","")</f>
        <v/>
      </c>
      <c r="D9" s="39" t="str">
        <f>IF(B9&lt;&gt;"...",IF(SUMPRODUCT(--(F9:V9&lt;&gt;""))=0,0,"N.A."),"")</f>
        <v/>
      </c>
      <c r="E9" s="41" t="str">
        <f t="shared" si="0"/>
        <v/>
      </c>
      <c r="F9" s="40"/>
      <c r="G9" s="40"/>
      <c r="H9" s="40"/>
      <c r="I9" s="40"/>
      <c r="J9" s="40"/>
      <c r="K9" s="40"/>
      <c r="L9" s="40"/>
      <c r="M9" s="40"/>
      <c r="N9" s="40"/>
      <c r="O9" s="40"/>
      <c r="P9" s="40"/>
      <c r="Q9" s="40"/>
      <c r="R9" s="40"/>
      <c r="S9" s="40"/>
      <c r="T9" s="40"/>
      <c r="U9" s="40"/>
      <c r="V9" s="40"/>
    </row>
    <row r="10" spans="1:25" x14ac:dyDescent="0.55000000000000004">
      <c r="A10" s="41" t="s">
        <v>11</v>
      </c>
      <c r="B10" s="41" t="str">
        <f>IF(B1="MDR/XDR Treatment Program","...",IF(B1="XDR Treat Program","...",IF(B1="MDR Treat Program","...",IF(B1="DS Treat Program","...",IF(B1="Latency Treat Program","...",IF(B1="Strain Diag Program","Latent Treatment Duration (Months)",IF(B1="DR Targeted Diagnosis Program","Latent Treatment Duration (Months)",IF(B1="DS Targeted Diagnosis Program","Latent Treatment Duration (Months)",IF(B1="Vaccination Program","...",IF(B1="Fixed Cost Program","...","..."))))))))))</f>
        <v>...</v>
      </c>
      <c r="C10" s="41" t="str">
        <f>IF(B10&lt;&gt;"...","Unique","")</f>
        <v/>
      </c>
      <c r="D10" s="39" t="str">
        <f>IF(B10&lt;&gt;"...",IF(SUMPRODUCT(--(F10:V10&lt;&gt;""))=0,0,"N.A."),"")</f>
        <v/>
      </c>
      <c r="E10" s="41" t="str">
        <f t="shared" si="0"/>
        <v/>
      </c>
      <c r="F10" s="40"/>
      <c r="G10" s="40"/>
      <c r="H10" s="40"/>
      <c r="I10" s="40"/>
      <c r="J10" s="40"/>
      <c r="K10" s="40"/>
      <c r="L10" s="40"/>
      <c r="M10" s="40"/>
      <c r="N10" s="40"/>
      <c r="O10" s="40"/>
      <c r="P10" s="40"/>
      <c r="Q10" s="40"/>
      <c r="R10" s="40"/>
      <c r="S10" s="40"/>
      <c r="T10" s="40"/>
      <c r="U10" s="40"/>
      <c r="V10" s="40"/>
    </row>
    <row r="11" spans="1:25" x14ac:dyDescent="0.55000000000000004">
      <c r="A11" s="41"/>
    </row>
    <row r="12" spans="1:25" x14ac:dyDescent="0.55000000000000004">
      <c r="A12" s="41" t="str">
        <f>'Program Definitions'!$A$3</f>
        <v>Mass Screening at PHC facilities (include Symptom screening and then Xpert)</v>
      </c>
      <c r="B12" s="41" t="s">
        <v>222</v>
      </c>
      <c r="C12" s="41"/>
      <c r="D12" s="41"/>
      <c r="E12" s="41"/>
      <c r="F12" s="41"/>
      <c r="G12" s="41"/>
      <c r="H12" s="41"/>
      <c r="I12" s="41"/>
      <c r="J12" s="41"/>
      <c r="K12" s="41"/>
      <c r="L12" s="41"/>
      <c r="M12" s="41"/>
      <c r="N12" s="41"/>
      <c r="O12" s="41"/>
      <c r="P12" s="41"/>
      <c r="Q12" s="41"/>
      <c r="R12" s="41"/>
      <c r="S12" s="41"/>
      <c r="T12" s="41"/>
      <c r="U12" s="41"/>
      <c r="V12" s="41"/>
      <c r="Y12" s="69"/>
    </row>
    <row r="13" spans="1:25" x14ac:dyDescent="0.55000000000000004">
      <c r="A13" s="41" t="s">
        <v>11</v>
      </c>
      <c r="B13" s="41"/>
      <c r="C13" s="41" t="s">
        <v>8</v>
      </c>
      <c r="D13" s="41" t="s">
        <v>9</v>
      </c>
      <c r="E13" s="41"/>
      <c r="F13" s="41">
        <v>2000</v>
      </c>
      <c r="G13" s="41">
        <v>2001</v>
      </c>
      <c r="H13" s="41">
        <v>2002</v>
      </c>
      <c r="I13" s="41">
        <v>2003</v>
      </c>
      <c r="J13" s="41">
        <v>2004</v>
      </c>
      <c r="K13" s="41">
        <v>2005</v>
      </c>
      <c r="L13" s="41">
        <v>2006</v>
      </c>
      <c r="M13" s="41">
        <v>2007</v>
      </c>
      <c r="N13" s="41">
        <v>2008</v>
      </c>
      <c r="O13" s="41">
        <v>2009</v>
      </c>
      <c r="P13" s="41">
        <v>2010</v>
      </c>
      <c r="Q13" s="41">
        <v>2011</v>
      </c>
      <c r="R13" s="41">
        <v>2012</v>
      </c>
      <c r="S13" s="41">
        <v>2013</v>
      </c>
      <c r="T13" s="41">
        <v>2014</v>
      </c>
      <c r="U13" s="41">
        <v>2015</v>
      </c>
      <c r="V13" s="41">
        <v>2016</v>
      </c>
      <c r="Y13" s="69"/>
    </row>
    <row r="14" spans="1:25" x14ac:dyDescent="0.55000000000000004">
      <c r="A14" s="41" t="s">
        <v>12</v>
      </c>
      <c r="B14" s="41" t="str">
        <f>IF(B12="Fixed Cost Program","...","Program Coverage")</f>
        <v>Program Coverage</v>
      </c>
      <c r="C14" s="41" t="str">
        <f>IF(B14&lt;&gt;"...","Number","")</f>
        <v>Number</v>
      </c>
      <c r="D14" s="39" t="str">
        <f>IF(B14&lt;&gt;"...",IF(SUMPRODUCT(--(F14:V14&lt;&gt;""))=0,0,"N.A."),"")</f>
        <v>N.A.</v>
      </c>
      <c r="E14" s="41" t="str">
        <f>IF(B14&lt;&gt;"...","OR","")</f>
        <v>OR</v>
      </c>
      <c r="F14" s="60"/>
      <c r="G14" s="60"/>
      <c r="H14" s="60"/>
      <c r="I14" s="60"/>
      <c r="J14" s="60"/>
      <c r="K14" s="60"/>
      <c r="L14" s="60"/>
      <c r="M14" s="60"/>
      <c r="N14" s="60"/>
      <c r="O14" s="60"/>
      <c r="P14" s="60"/>
      <c r="Q14" s="60"/>
      <c r="R14" s="60"/>
      <c r="S14" s="60"/>
      <c r="T14" s="60"/>
      <c r="U14" s="60"/>
      <c r="V14" s="44">
        <v>11630.67</v>
      </c>
    </row>
    <row r="15" spans="1:25" x14ac:dyDescent="0.55000000000000004">
      <c r="A15" s="41" t="s">
        <v>11</v>
      </c>
      <c r="B15" s="41" t="s">
        <v>13</v>
      </c>
      <c r="C15" s="41" t="s">
        <v>15</v>
      </c>
      <c r="D15" s="39" t="str">
        <f>IF(SUMPRODUCT(--(F15:V15&lt;&gt;""))=0,0,"N.A.")</f>
        <v>N.A.</v>
      </c>
      <c r="E15" s="41" t="s">
        <v>16</v>
      </c>
      <c r="F15" s="65"/>
      <c r="G15" s="65"/>
      <c r="H15" s="65"/>
      <c r="I15" s="65"/>
      <c r="J15" s="65"/>
      <c r="K15" s="65"/>
      <c r="L15" s="65"/>
      <c r="M15" s="65"/>
      <c r="N15" s="65"/>
      <c r="O15" s="65"/>
      <c r="P15" s="65"/>
      <c r="Q15" s="65"/>
      <c r="R15" s="65"/>
      <c r="S15" s="65"/>
      <c r="T15" s="65"/>
      <c r="U15" s="65"/>
      <c r="V15" s="65">
        <f>V14*D16</f>
        <v>111011837.4825</v>
      </c>
      <c r="X15" s="55"/>
    </row>
    <row r="16" spans="1:25" x14ac:dyDescent="0.55000000000000004">
      <c r="A16" s="41" t="s">
        <v>11</v>
      </c>
      <c r="B16" s="41" t="str">
        <f>IF(B12="Fixed Cost Program","...",CONCATENATE("Unit Cost Estimate",IF(C14="Fraction"," (Per 1%)","")))</f>
        <v>Unit Cost Estimate</v>
      </c>
      <c r="C16" s="41" t="str">
        <f>IF(B16&lt;&gt;"...","USD","")</f>
        <v>USD</v>
      </c>
      <c r="D16" s="66">
        <v>9544.75</v>
      </c>
      <c r="E16" s="41" t="str">
        <f t="shared" ref="E16:E21" si="1">IF(B16&lt;&gt;"...","OR","")</f>
        <v>OR</v>
      </c>
      <c r="F16" s="65" t="str">
        <f>IF(B16&lt;&gt;"...","...","")</f>
        <v>...</v>
      </c>
      <c r="G16" s="65" t="str">
        <f>IF(B16&lt;&gt;"...","...","")</f>
        <v>...</v>
      </c>
      <c r="H16" s="65" t="str">
        <f>IF(B16&lt;&gt;"...","...","")</f>
        <v>...</v>
      </c>
      <c r="I16" s="65" t="str">
        <f>IF(B16&lt;&gt;"...","...","")</f>
        <v>...</v>
      </c>
      <c r="J16" s="65" t="str">
        <f>IF(B16&lt;&gt;"...","...","")</f>
        <v>...</v>
      </c>
      <c r="K16" s="65" t="str">
        <f>IF(B16&lt;&gt;"...","...","")</f>
        <v>...</v>
      </c>
      <c r="L16" s="65" t="str">
        <f>IF(B16&lt;&gt;"...","...","")</f>
        <v>...</v>
      </c>
      <c r="M16" s="65" t="str">
        <f>IF(B16&lt;&gt;"...","...","")</f>
        <v>...</v>
      </c>
      <c r="N16" s="65" t="str">
        <f>IF(B16&lt;&gt;"...","...","")</f>
        <v>...</v>
      </c>
      <c r="O16" s="65" t="str">
        <f>IF(B16&lt;&gt;"...","...","")</f>
        <v>...</v>
      </c>
      <c r="P16" s="65" t="str">
        <f>IF(B16&lt;&gt;"...","...","")</f>
        <v>...</v>
      </c>
      <c r="Q16" s="65" t="str">
        <f>IF(B16&lt;&gt;"...","...","")</f>
        <v>...</v>
      </c>
      <c r="R16" s="65" t="str">
        <f>IF(B16&lt;&gt;"...","...","")</f>
        <v>...</v>
      </c>
      <c r="S16" s="65" t="str">
        <f>IF(B16&lt;&gt;"...","...","")</f>
        <v>...</v>
      </c>
      <c r="T16" s="65" t="str">
        <f>IF(B16&lt;&gt;"...","...","")</f>
        <v>...</v>
      </c>
      <c r="U16" s="65" t="str">
        <f>IF(B16&lt;&gt;"...","...","")</f>
        <v>...</v>
      </c>
      <c r="V16" s="65" t="str">
        <f>IF(B16&lt;&gt;"...","...","")</f>
        <v>...</v>
      </c>
      <c r="Y16" s="69"/>
    </row>
    <row r="17" spans="1:22" x14ac:dyDescent="0.55000000000000004">
      <c r="A17" s="41" t="s">
        <v>17</v>
      </c>
      <c r="B17" s="41" t="str">
        <f>IF(B12="MDR/XDR Treatment Program","Efficacy (After Completed Treatment)",IF(B12="XDR Treat Program","Efficacy (After Completed Treatment)",IF(B12="MDR Treat Program","Efficacy (After Completed Treatment)",IF(B12="DS Treat Program","Efficacy (After Completed Treatment)",IF(B12="Latency Treat Program","Efficacy (After Completed Treatment)",IF(B12="Strain Diag Program","Sensitivity (Detection Probability)",IF(B12="DR Targeted Diagnosis Program","Sensitivity (Detection Probability)",IF(B12="DS Targeted Diagnosis Program","Sensitivity (Detection Probability)",IF(B12="Vaccination Program","Vaccination Effectiveness Probability",IF(B12="Fixed Cost Program","...","..."))))))))))</f>
        <v>Sensitivity (Detection Probability)</v>
      </c>
      <c r="C17" s="41" t="str">
        <f>IF(B17&lt;&gt;"...","Unique","")</f>
        <v>Unique</v>
      </c>
      <c r="D17" s="39" t="str">
        <f>IF(B17&lt;&gt;"...",IF(SUMPRODUCT(--(F17:V17&lt;&gt;""))=0,0,"N.A."),"")</f>
        <v>N.A.</v>
      </c>
      <c r="E17" s="41" t="str">
        <f t="shared" si="1"/>
        <v>OR</v>
      </c>
      <c r="F17" s="40"/>
      <c r="G17" s="40"/>
      <c r="H17" s="40"/>
      <c r="I17" s="40"/>
      <c r="J17" s="40"/>
      <c r="K17" s="40"/>
      <c r="L17" s="40"/>
      <c r="M17" s="40"/>
      <c r="N17" s="40"/>
      <c r="O17" s="40"/>
      <c r="P17" s="40"/>
      <c r="Q17" s="40"/>
      <c r="R17" s="40"/>
      <c r="S17" s="40"/>
      <c r="T17" s="40"/>
      <c r="U17" s="40"/>
      <c r="V17" s="40">
        <f>0.88*0.6</f>
        <v>0.52800000000000002</v>
      </c>
    </row>
    <row r="18" spans="1:22" x14ac:dyDescent="0.55000000000000004">
      <c r="A18" s="41" t="s">
        <v>11</v>
      </c>
      <c r="B18" s="41" t="str">
        <f>IF(B12="MDR/XDR Treatment Program","Adherence Probability (Yearly)",IF(B12="XDR Treat Program","Adherence Probability (Yearly)",IF(B12="MDR Treat Program","Adherence Probability (Yearly)",IF(B12="DS Treat Program","Adherence Probability (Yearly)",IF(B12="Latency Treat Program","Adherence Probability (Yearly)",IF(B12="Strain Diag Program","Latents Identified (Per Active Case)",IF(B12="DR Targeted Diagnosis Program","Latents Identified (Per DR-TB Case)",IF(B12="DS Targeted Diagnosis Program","Latents Identified (Per DS-TB Case)",IF(B12="Vaccination Program","...",IF(B12="Fixed Cost Program","...","..."))))))))))</f>
        <v>Latents Identified (Per Active Case)</v>
      </c>
      <c r="C18" s="41" t="str">
        <f>IF(B18&lt;&gt;"...","Unique","")</f>
        <v>Unique</v>
      </c>
      <c r="D18" s="39" t="str">
        <f>IF(B18&lt;&gt;"...",IF(SUMPRODUCT(--(F18:V18&lt;&gt;""))=0,0,"N.A."),"")</f>
        <v>N.A.</v>
      </c>
      <c r="E18" s="41" t="str">
        <f t="shared" si="1"/>
        <v>OR</v>
      </c>
      <c r="F18" s="40"/>
      <c r="G18" s="40"/>
      <c r="H18" s="40"/>
      <c r="I18" s="40"/>
      <c r="J18" s="40"/>
      <c r="K18" s="40"/>
      <c r="L18" s="40"/>
      <c r="M18" s="40"/>
      <c r="N18" s="40"/>
      <c r="O18" s="40"/>
      <c r="P18" s="40"/>
      <c r="Q18" s="40"/>
      <c r="R18" s="40"/>
      <c r="S18" s="40"/>
      <c r="T18" s="40"/>
      <c r="U18" s="40"/>
      <c r="V18" s="63">
        <v>0</v>
      </c>
    </row>
    <row r="19" spans="1:22" x14ac:dyDescent="0.55000000000000004">
      <c r="A19" s="41" t="s">
        <v>11</v>
      </c>
      <c r="B19" s="41" t="str">
        <f>IF(B12="MDR/XDR Treatment Program","Treatment Duration (Months)",IF(B12="XDR Treat Program","Treatment Duration (Months)",IF(B12="MDR Treat Program","Treatment Duration (Months)",IF(B12="DS Treat Program","Treatment Duration (Months)",IF(B12="Latency Treat Program","Treatment Duration (Months)",IF(B12="Strain Diag Program","Latent Treatment Efficacy (After Completed Treatment)",IF(B12="DR Targeted Diagnosis Program","Latent Treatment Efficacy (After Completed Treatment)",IF(B12="DS Targeted Diagnosis Program","Latent Treatment Efficacy (After Completed Treatment)",IF(B12="Vaccination Program","...",IF(B12="Fixed Cost Program","...","..."))))))))))</f>
        <v>Latent Treatment Efficacy (After Completed Treatment)</v>
      </c>
      <c r="C19" s="41" t="str">
        <f>IF(B19&lt;&gt;"...","Unique","")</f>
        <v>Unique</v>
      </c>
      <c r="D19" s="39" t="str">
        <f>IF(B19&lt;&gt;"...",IF(SUMPRODUCT(--(F19:V19&lt;&gt;""))=0,0,"N.A."),"")</f>
        <v>N.A.</v>
      </c>
      <c r="E19" s="41" t="str">
        <f t="shared" si="1"/>
        <v>OR</v>
      </c>
      <c r="F19" s="40"/>
      <c r="G19" s="40"/>
      <c r="H19" s="40"/>
      <c r="I19" s="40"/>
      <c r="J19" s="40"/>
      <c r="K19" s="40"/>
      <c r="L19" s="40"/>
      <c r="M19" s="40"/>
      <c r="N19" s="40"/>
      <c r="O19" s="40"/>
      <c r="P19" s="40"/>
      <c r="Q19" s="40"/>
      <c r="R19" s="40"/>
      <c r="S19" s="40"/>
      <c r="T19" s="40"/>
      <c r="U19" s="40"/>
      <c r="V19" s="40">
        <v>0</v>
      </c>
    </row>
    <row r="20" spans="1:22" x14ac:dyDescent="0.55000000000000004">
      <c r="A20" s="41" t="s">
        <v>11</v>
      </c>
      <c r="B20" s="41" t="str">
        <f>IF(B12="MDR/XDR Treatment Program","...",IF(B12="XDR Treat Program","...",IF(B12="MDR Treat Program","...",IF(B12="DS Treat Program","...",IF(B12="Latency Treat Program","...",IF(B12="Strain Diag Program","Latent Treatment Adherence Probability (Yearly)",IF(B12="DR Targeted Diagnosis Program","Latent Treatment Adherence Probability (Yearly)",IF(B12="DS Targeted Diagnosis Program","Latent Treatment Adherence Probability (Yearly)",IF(B12="Vaccination Program","...",IF(B12="Fixed Cost Program","...","..."))))))))))</f>
        <v>Latent Treatment Adherence Probability (Yearly)</v>
      </c>
      <c r="C20" s="41" t="str">
        <f>IF(B20&lt;&gt;"...","Unique","")</f>
        <v>Unique</v>
      </c>
      <c r="D20" s="39" t="str">
        <f>IF(B20&lt;&gt;"...",IF(SUMPRODUCT(--(F20:V20&lt;&gt;""))=0,0,"N.A."),"")</f>
        <v>N.A.</v>
      </c>
      <c r="E20" s="41" t="str">
        <f t="shared" si="1"/>
        <v>OR</v>
      </c>
      <c r="F20" s="40"/>
      <c r="G20" s="40"/>
      <c r="H20" s="40"/>
      <c r="I20" s="40"/>
      <c r="J20" s="40"/>
      <c r="K20" s="40"/>
      <c r="L20" s="40"/>
      <c r="M20" s="40"/>
      <c r="N20" s="40"/>
      <c r="O20" s="40"/>
      <c r="P20" s="40"/>
      <c r="Q20" s="40"/>
      <c r="R20" s="40"/>
      <c r="S20" s="40"/>
      <c r="T20" s="40"/>
      <c r="U20" s="40"/>
      <c r="V20" s="40">
        <v>0</v>
      </c>
    </row>
    <row r="21" spans="1:22" x14ac:dyDescent="0.55000000000000004">
      <c r="A21" s="41" t="s">
        <v>11</v>
      </c>
      <c r="B21" s="41" t="str">
        <f>IF(B12="MDR/XDR Treatment Program","...",IF(B12="XDR Treat Program","...",IF(B12="MDR Treat Program","...",IF(B12="DS Treat Program","...",IF(B12="Latency Treat Program","...",IF(B12="Strain Diag Program","Latent Treatment Duration (Months)",IF(B12="DR Targeted Diagnosis Program","Latent Treatment Duration (Months)",IF(B12="DS Targeted Diagnosis Program","Latent Treatment Duration (Months)",IF(B12="Vaccination Program","...",IF(B12="Fixed Cost Program","...","..."))))))))))</f>
        <v>Latent Treatment Duration (Months)</v>
      </c>
      <c r="C21" s="41" t="str">
        <f>IF(B21&lt;&gt;"...","Unique","")</f>
        <v>Unique</v>
      </c>
      <c r="D21" s="39" t="str">
        <f>IF(B21&lt;&gt;"...",IF(SUMPRODUCT(--(F21:V21&lt;&gt;""))=0,0,"N.A."),"")</f>
        <v>N.A.</v>
      </c>
      <c r="E21" s="41" t="str">
        <f t="shared" si="1"/>
        <v>OR</v>
      </c>
      <c r="F21" s="40"/>
      <c r="G21" s="40"/>
      <c r="H21" s="40"/>
      <c r="I21" s="40"/>
      <c r="J21" s="40"/>
      <c r="K21" s="40"/>
      <c r="L21" s="40"/>
      <c r="M21" s="40"/>
      <c r="N21" s="40"/>
      <c r="O21" s="40"/>
      <c r="P21" s="40"/>
      <c r="Q21" s="40"/>
      <c r="R21" s="40"/>
      <c r="S21" s="40"/>
      <c r="T21" s="40"/>
      <c r="U21" s="40"/>
      <c r="V21" s="62">
        <v>12</v>
      </c>
    </row>
    <row r="22" spans="1:22" x14ac:dyDescent="0.55000000000000004">
      <c r="A22" s="41"/>
    </row>
    <row r="23" spans="1:22" x14ac:dyDescent="0.55000000000000004">
      <c r="A23" s="41" t="str">
        <f>'Program Definitions'!$A$4</f>
        <v>Enhanced Mass Screening at PHC facilities</v>
      </c>
      <c r="B23" s="41" t="s">
        <v>222</v>
      </c>
      <c r="C23" s="41"/>
      <c r="D23" s="41"/>
      <c r="E23" s="41"/>
      <c r="F23" s="41"/>
      <c r="G23" s="41"/>
      <c r="H23" s="41"/>
      <c r="I23" s="41"/>
      <c r="J23" s="41"/>
      <c r="K23" s="41"/>
      <c r="L23" s="41"/>
      <c r="M23" s="41"/>
      <c r="N23" s="41"/>
      <c r="O23" s="41"/>
      <c r="P23" s="41"/>
      <c r="Q23" s="41"/>
      <c r="R23" s="41"/>
      <c r="S23" s="41"/>
      <c r="T23" s="41"/>
      <c r="U23" s="41"/>
      <c r="V23" s="41"/>
    </row>
    <row r="24" spans="1:22" x14ac:dyDescent="0.55000000000000004">
      <c r="A24" s="41" t="s">
        <v>11</v>
      </c>
      <c r="B24" s="41"/>
      <c r="C24" s="41" t="s">
        <v>8</v>
      </c>
      <c r="D24" s="41" t="s">
        <v>9</v>
      </c>
      <c r="E24" s="41"/>
      <c r="F24" s="41">
        <v>2000</v>
      </c>
      <c r="G24" s="41">
        <v>2001</v>
      </c>
      <c r="H24" s="41">
        <v>2002</v>
      </c>
      <c r="I24" s="41">
        <v>2003</v>
      </c>
      <c r="J24" s="41">
        <v>2004</v>
      </c>
      <c r="K24" s="41">
        <v>2005</v>
      </c>
      <c r="L24" s="41">
        <v>2006</v>
      </c>
      <c r="M24" s="41">
        <v>2007</v>
      </c>
      <c r="N24" s="41">
        <v>2008</v>
      </c>
      <c r="O24" s="41">
        <v>2009</v>
      </c>
      <c r="P24" s="41">
        <v>2010</v>
      </c>
      <c r="Q24" s="41">
        <v>2011</v>
      </c>
      <c r="R24" s="41">
        <v>2012</v>
      </c>
      <c r="S24" s="41">
        <v>2013</v>
      </c>
      <c r="T24" s="41">
        <v>2014</v>
      </c>
      <c r="U24" s="41">
        <v>2015</v>
      </c>
      <c r="V24" s="41">
        <v>2016</v>
      </c>
    </row>
    <row r="25" spans="1:22" x14ac:dyDescent="0.55000000000000004">
      <c r="A25" s="41" t="s">
        <v>12</v>
      </c>
      <c r="B25" s="41" t="str">
        <f>IF(B23="Fixed Cost Program","...","Program Coverage")</f>
        <v>Program Coverage</v>
      </c>
      <c r="C25" s="41" t="str">
        <f>IF(B25&lt;&gt;"...","Number","")</f>
        <v>Number</v>
      </c>
      <c r="D25" s="39" t="str">
        <f>IF(B25&lt;&gt;"...",IF(SUMPRODUCT(--(F25:V25&lt;&gt;""))=0,0,"N.A."),"")</f>
        <v>N.A.</v>
      </c>
      <c r="E25" s="41" t="str">
        <f>IF(B25&lt;&gt;"...","OR","")</f>
        <v>OR</v>
      </c>
      <c r="F25" s="60"/>
      <c r="G25" s="60"/>
      <c r="H25" s="60"/>
      <c r="I25" s="60"/>
      <c r="J25" s="60"/>
      <c r="K25" s="60"/>
      <c r="L25" s="60"/>
      <c r="M25" s="60"/>
      <c r="N25" s="60"/>
      <c r="O25" s="60"/>
      <c r="P25" s="60"/>
      <c r="Q25" s="60"/>
      <c r="R25" s="60"/>
      <c r="S25" s="60"/>
      <c r="T25" s="60"/>
      <c r="U25" s="60"/>
      <c r="V25" s="44">
        <v>0</v>
      </c>
    </row>
    <row r="26" spans="1:22" x14ac:dyDescent="0.55000000000000004">
      <c r="A26" s="41" t="s">
        <v>11</v>
      </c>
      <c r="B26" s="41" t="s">
        <v>13</v>
      </c>
      <c r="C26" s="41" t="s">
        <v>15</v>
      </c>
      <c r="D26" s="39" t="str">
        <f>IF(SUMPRODUCT(--(F26:V26&lt;&gt;""))=0,0,"N.A.")</f>
        <v>N.A.</v>
      </c>
      <c r="E26" s="41" t="s">
        <v>16</v>
      </c>
      <c r="F26" s="65"/>
      <c r="G26" s="65"/>
      <c r="H26" s="65"/>
      <c r="I26" s="65"/>
      <c r="J26" s="65"/>
      <c r="K26" s="65"/>
      <c r="L26" s="65"/>
      <c r="M26" s="65"/>
      <c r="N26" s="65"/>
      <c r="O26" s="65"/>
      <c r="P26" s="65"/>
      <c r="Q26" s="65"/>
      <c r="R26" s="65"/>
      <c r="S26" s="65"/>
      <c r="T26" s="65"/>
      <c r="U26" s="65"/>
      <c r="V26" s="65">
        <v>0</v>
      </c>
    </row>
    <row r="27" spans="1:22" x14ac:dyDescent="0.55000000000000004">
      <c r="A27" s="41" t="s">
        <v>11</v>
      </c>
      <c r="B27" s="41" t="str">
        <f>IF(B23="Fixed Cost Program","...",CONCATENATE("Unit Cost Estimate",IF(C25="Fraction"," (Per 1%)","")))</f>
        <v>Unit Cost Estimate</v>
      </c>
      <c r="C27" s="41" t="str">
        <f>IF(B27&lt;&gt;"...","USD","")</f>
        <v>USD</v>
      </c>
      <c r="D27" s="66">
        <v>9490.51</v>
      </c>
      <c r="E27" s="41" t="str">
        <f t="shared" ref="E27:E32" si="2">IF(B27&lt;&gt;"...","OR","")</f>
        <v>OR</v>
      </c>
      <c r="F27" s="65" t="str">
        <f>IF(B27&lt;&gt;"...","...","")</f>
        <v>...</v>
      </c>
      <c r="G27" s="65" t="str">
        <f>IF(B27&lt;&gt;"...","...","")</f>
        <v>...</v>
      </c>
      <c r="H27" s="65" t="str">
        <f>IF(B27&lt;&gt;"...","...","")</f>
        <v>...</v>
      </c>
      <c r="I27" s="65" t="str">
        <f>IF(B27&lt;&gt;"...","...","")</f>
        <v>...</v>
      </c>
      <c r="J27" s="65" t="str">
        <f>IF(B27&lt;&gt;"...","...","")</f>
        <v>...</v>
      </c>
      <c r="K27" s="65" t="str">
        <f>IF(B27&lt;&gt;"...","...","")</f>
        <v>...</v>
      </c>
      <c r="L27" s="65" t="str">
        <f>IF(B27&lt;&gt;"...","...","")</f>
        <v>...</v>
      </c>
      <c r="M27" s="65" t="str">
        <f>IF(B27&lt;&gt;"...","...","")</f>
        <v>...</v>
      </c>
      <c r="N27" s="65" t="str">
        <f>IF(B27&lt;&gt;"...","...","")</f>
        <v>...</v>
      </c>
      <c r="O27" s="65" t="str">
        <f>IF(B27&lt;&gt;"...","...","")</f>
        <v>...</v>
      </c>
      <c r="P27" s="65" t="str">
        <f>IF(B27&lt;&gt;"...","...","")</f>
        <v>...</v>
      </c>
      <c r="Q27" s="65" t="str">
        <f>IF(B27&lt;&gt;"...","...","")</f>
        <v>...</v>
      </c>
      <c r="R27" s="65" t="str">
        <f>IF(B27&lt;&gt;"...","...","")</f>
        <v>...</v>
      </c>
      <c r="S27" s="65" t="str">
        <f>IF(B27&lt;&gt;"...","...","")</f>
        <v>...</v>
      </c>
      <c r="T27" s="65" t="str">
        <f>IF(B27&lt;&gt;"...","...","")</f>
        <v>...</v>
      </c>
      <c r="U27" s="65" t="str">
        <f>IF(B27&lt;&gt;"...","...","")</f>
        <v>...</v>
      </c>
      <c r="V27" s="65" t="str">
        <f>IF(B27&lt;&gt;"...","...","")</f>
        <v>...</v>
      </c>
    </row>
    <row r="28" spans="1:22" x14ac:dyDescent="0.55000000000000004">
      <c r="A28" s="41" t="s">
        <v>17</v>
      </c>
      <c r="B28" s="41" t="str">
        <f>IF(B23="MDR/XDR Treatment Program","Efficacy (After Completed Treatment)",IF(B23="XDR Treat Program","Efficacy (After Completed Treatment)",IF(B23="MDR Treat Program","Efficacy (After Completed Treatment)",IF(B23="DS Treat Program","Efficacy (After Completed Treatment)",IF(B23="Latency Treat Program","Efficacy (After Completed Treatment)",IF(B23="Strain Diag Program","Sensitivity (Detection Probability)",IF(B23="DR Targeted Diagnosis Program","Sensitivity (Detection Probability)",IF(B23="DS Targeted Diagnosis Program","Sensitivity (Detection Probability)",IF(B23="Vaccination Program","Vaccination Effectiveness Probability",IF(B23="Fixed Cost Program","...","..."))))))))))</f>
        <v>Sensitivity (Detection Probability)</v>
      </c>
      <c r="C28" s="41" t="str">
        <f>IF(B28&lt;&gt;"...","Unique","")</f>
        <v>Unique</v>
      </c>
      <c r="D28" s="39" t="str">
        <f>IF(B28&lt;&gt;"...",IF(SUMPRODUCT(--(F28:V28&lt;&gt;""))=0,0,"N.A."),"")</f>
        <v>N.A.</v>
      </c>
      <c r="E28" s="41" t="str">
        <f t="shared" si="2"/>
        <v>OR</v>
      </c>
      <c r="F28" s="40"/>
      <c r="G28" s="40"/>
      <c r="H28" s="40"/>
      <c r="I28" s="40"/>
      <c r="J28" s="40"/>
      <c r="K28" s="40"/>
      <c r="L28" s="40"/>
      <c r="M28" s="40"/>
      <c r="N28" s="40"/>
      <c r="O28" s="40"/>
      <c r="P28" s="40"/>
      <c r="Q28" s="40"/>
      <c r="R28" s="40"/>
      <c r="S28" s="40"/>
      <c r="T28" s="40"/>
      <c r="U28" s="40"/>
      <c r="V28" s="40">
        <f>0.8*0.88</f>
        <v>0.70400000000000007</v>
      </c>
    </row>
    <row r="29" spans="1:22" x14ac:dyDescent="0.55000000000000004">
      <c r="A29" s="41" t="s">
        <v>11</v>
      </c>
      <c r="B29" s="41" t="str">
        <f>IF(B23="MDR/XDR Treatment Program","Adherence Probability (Yearly)",IF(B23="XDR Treat Program","Adherence Probability (Yearly)",IF(B23="MDR Treat Program","Adherence Probability (Yearly)",IF(B23="DS Treat Program","Adherence Probability (Yearly)",IF(B23="Latency Treat Program","Adherence Probability (Yearly)",IF(B23="Strain Diag Program","Latents Identified (Per Active Case)",IF(B23="DR Targeted Diagnosis Program","Latents Identified (Per DR-TB Case)",IF(B23="DS Targeted Diagnosis Program","Latents Identified (Per DS-TB Case)",IF(B23="Vaccination Program","...",IF(B23="Fixed Cost Program","...","..."))))))))))</f>
        <v>Latents Identified (Per Active Case)</v>
      </c>
      <c r="C29" s="41" t="str">
        <f>IF(B29&lt;&gt;"...","Unique","")</f>
        <v>Unique</v>
      </c>
      <c r="D29" s="39" t="str">
        <f>IF(B29&lt;&gt;"...",IF(SUMPRODUCT(--(F29:V29&lt;&gt;""))=0,0,"N.A."),"")</f>
        <v>N.A.</v>
      </c>
      <c r="E29" s="41" t="str">
        <f t="shared" si="2"/>
        <v>OR</v>
      </c>
      <c r="F29" s="40"/>
      <c r="G29" s="40"/>
      <c r="H29" s="40"/>
      <c r="I29" s="40"/>
      <c r="J29" s="40"/>
      <c r="K29" s="40"/>
      <c r="L29" s="40"/>
      <c r="M29" s="40"/>
      <c r="N29" s="40"/>
      <c r="O29" s="40"/>
      <c r="P29" s="40"/>
      <c r="Q29" s="40"/>
      <c r="R29" s="40"/>
      <c r="S29" s="40"/>
      <c r="T29" s="40"/>
      <c r="U29" s="40"/>
      <c r="V29" s="63">
        <v>0</v>
      </c>
    </row>
    <row r="30" spans="1:22" x14ac:dyDescent="0.55000000000000004">
      <c r="A30" s="41" t="s">
        <v>11</v>
      </c>
      <c r="B30" s="41" t="str">
        <f>IF(B23="MDR/XDR Treatment Program","Treatment Duration (Months)",IF(B23="XDR Treat Program","Treatment Duration (Months)",IF(B23="MDR Treat Program","Treatment Duration (Months)",IF(B23="DS Treat Program","Treatment Duration (Months)",IF(B23="Latency Treat Program","Treatment Duration (Months)",IF(B23="Strain Diag Program","Latent Treatment Efficacy (After Completed Treatment)",IF(B23="DR Targeted Diagnosis Program","Latent Treatment Efficacy (After Completed Treatment)",IF(B23="DS Targeted Diagnosis Program","Latent Treatment Efficacy (After Completed Treatment)",IF(B23="Vaccination Program","...",IF(B23="Fixed Cost Program","...","..."))))))))))</f>
        <v>Latent Treatment Efficacy (After Completed Treatment)</v>
      </c>
      <c r="C30" s="41" t="str">
        <f>IF(B30&lt;&gt;"...","Unique","")</f>
        <v>Unique</v>
      </c>
      <c r="D30" s="39" t="str">
        <f>IF(B30&lt;&gt;"...",IF(SUMPRODUCT(--(F30:V30&lt;&gt;""))=0,0,"N.A."),"")</f>
        <v>N.A.</v>
      </c>
      <c r="E30" s="41" t="str">
        <f t="shared" si="2"/>
        <v>OR</v>
      </c>
      <c r="F30" s="40"/>
      <c r="G30" s="40"/>
      <c r="H30" s="40"/>
      <c r="I30" s="40"/>
      <c r="J30" s="40"/>
      <c r="K30" s="40"/>
      <c r="L30" s="40"/>
      <c r="M30" s="40"/>
      <c r="N30" s="40"/>
      <c r="O30" s="40"/>
      <c r="P30" s="40"/>
      <c r="Q30" s="40"/>
      <c r="R30" s="40"/>
      <c r="S30" s="40"/>
      <c r="T30" s="40"/>
      <c r="U30" s="40"/>
      <c r="V30" s="40">
        <v>0</v>
      </c>
    </row>
    <row r="31" spans="1:22" x14ac:dyDescent="0.55000000000000004">
      <c r="A31" s="41" t="s">
        <v>11</v>
      </c>
      <c r="B31" s="41" t="str">
        <f>IF(B23="MDR/XDR Treatment Program","...",IF(B23="XDR Treat Program","...",IF(B23="MDR Treat Program","...",IF(B23="DS Treat Program","...",IF(B23="Latency Treat Program","...",IF(B23="Strain Diag Program","Latent Treatment Adherence Probability (Yearly)",IF(B23="DR Targeted Diagnosis Program","Latent Treatment Adherence Probability (Yearly)",IF(B23="DS Targeted Diagnosis Program","Latent Treatment Adherence Probability (Yearly)",IF(B23="Vaccination Program","...",IF(B23="Fixed Cost Program","...","..."))))))))))</f>
        <v>Latent Treatment Adherence Probability (Yearly)</v>
      </c>
      <c r="C31" s="41" t="str">
        <f>IF(B31&lt;&gt;"...","Unique","")</f>
        <v>Unique</v>
      </c>
      <c r="D31" s="39" t="str">
        <f>IF(B31&lt;&gt;"...",IF(SUMPRODUCT(--(F31:V31&lt;&gt;""))=0,0,"N.A."),"")</f>
        <v>N.A.</v>
      </c>
      <c r="E31" s="41" t="str">
        <f t="shared" si="2"/>
        <v>OR</v>
      </c>
      <c r="F31" s="40"/>
      <c r="G31" s="40"/>
      <c r="H31" s="40"/>
      <c r="I31" s="40"/>
      <c r="J31" s="40"/>
      <c r="K31" s="40"/>
      <c r="L31" s="40"/>
      <c r="M31" s="40"/>
      <c r="N31" s="40"/>
      <c r="O31" s="40"/>
      <c r="P31" s="40"/>
      <c r="Q31" s="40"/>
      <c r="R31" s="40"/>
      <c r="S31" s="40"/>
      <c r="T31" s="40"/>
      <c r="U31" s="40"/>
      <c r="V31" s="40">
        <v>0</v>
      </c>
    </row>
    <row r="32" spans="1:22" x14ac:dyDescent="0.55000000000000004">
      <c r="A32" s="41" t="s">
        <v>11</v>
      </c>
      <c r="B32" s="41" t="str">
        <f>IF(B23="MDR/XDR Treatment Program","...",IF(B23="XDR Treat Program","...",IF(B23="MDR Treat Program","...",IF(B23="DS Treat Program","...",IF(B23="Latency Treat Program","...",IF(B23="Strain Diag Program","Latent Treatment Duration (Months)",IF(B23="DR Targeted Diagnosis Program","Latent Treatment Duration (Months)",IF(B23="DS Targeted Diagnosis Program","Latent Treatment Duration (Months)",IF(B23="Vaccination Program","...",IF(B23="Fixed Cost Program","...","..."))))))))))</f>
        <v>Latent Treatment Duration (Months)</v>
      </c>
      <c r="C32" s="41" t="str">
        <f>IF(B32&lt;&gt;"...","Unique","")</f>
        <v>Unique</v>
      </c>
      <c r="D32" s="39" t="str">
        <f>IF(B32&lt;&gt;"...",IF(SUMPRODUCT(--(F32:V32&lt;&gt;""))=0,0,"N.A."),"")</f>
        <v>N.A.</v>
      </c>
      <c r="E32" s="41" t="str">
        <f t="shared" si="2"/>
        <v>OR</v>
      </c>
      <c r="F32" s="40"/>
      <c r="G32" s="40"/>
      <c r="H32" s="40"/>
      <c r="I32" s="40"/>
      <c r="J32" s="40"/>
      <c r="K32" s="40"/>
      <c r="L32" s="40"/>
      <c r="M32" s="40"/>
      <c r="N32" s="40"/>
      <c r="O32" s="40"/>
      <c r="P32" s="40"/>
      <c r="Q32" s="40"/>
      <c r="R32" s="40"/>
      <c r="S32" s="40"/>
      <c r="T32" s="40"/>
      <c r="U32" s="40"/>
      <c r="V32" s="62">
        <v>12</v>
      </c>
    </row>
    <row r="33" spans="1:22" x14ac:dyDescent="0.55000000000000004">
      <c r="A33" s="41"/>
    </row>
    <row r="34" spans="1:22" x14ac:dyDescent="0.55000000000000004">
      <c r="A34" s="41" t="str">
        <f>'Program Definitions'!$A$5</f>
        <v>Mass Screening/Outreach in High Risk Areas</v>
      </c>
      <c r="B34" s="41" t="s">
        <v>222</v>
      </c>
      <c r="C34" s="41"/>
      <c r="D34" s="41"/>
      <c r="E34" s="41"/>
      <c r="F34" s="41"/>
      <c r="G34" s="41"/>
      <c r="H34" s="41"/>
      <c r="I34" s="41"/>
      <c r="J34" s="41"/>
      <c r="K34" s="41"/>
      <c r="L34" s="41"/>
      <c r="M34" s="41"/>
      <c r="N34" s="41"/>
      <c r="O34" s="41"/>
      <c r="P34" s="41"/>
      <c r="Q34" s="41"/>
      <c r="R34" s="41"/>
      <c r="S34" s="41"/>
      <c r="T34" s="41"/>
      <c r="U34" s="41"/>
      <c r="V34" s="41"/>
    </row>
    <row r="35" spans="1:22" x14ac:dyDescent="0.55000000000000004">
      <c r="A35" s="41" t="s">
        <v>11</v>
      </c>
      <c r="B35" s="41"/>
      <c r="C35" s="41" t="s">
        <v>8</v>
      </c>
      <c r="D35" s="41" t="s">
        <v>9</v>
      </c>
      <c r="E35" s="41"/>
      <c r="F35" s="41">
        <v>2000</v>
      </c>
      <c r="G35" s="41">
        <v>2001</v>
      </c>
      <c r="H35" s="41">
        <v>2002</v>
      </c>
      <c r="I35" s="41">
        <v>2003</v>
      </c>
      <c r="J35" s="41">
        <v>2004</v>
      </c>
      <c r="K35" s="41">
        <v>2005</v>
      </c>
      <c r="L35" s="41">
        <v>2006</v>
      </c>
      <c r="M35" s="41">
        <v>2007</v>
      </c>
      <c r="N35" s="41">
        <v>2008</v>
      </c>
      <c r="O35" s="41">
        <v>2009</v>
      </c>
      <c r="P35" s="41">
        <v>2010</v>
      </c>
      <c r="Q35" s="41">
        <v>2011</v>
      </c>
      <c r="R35" s="41">
        <v>2012</v>
      </c>
      <c r="S35" s="41">
        <v>2013</v>
      </c>
      <c r="T35" s="41">
        <v>2014</v>
      </c>
      <c r="U35" s="41">
        <v>2015</v>
      </c>
      <c r="V35" s="41">
        <v>2016</v>
      </c>
    </row>
    <row r="36" spans="1:22" x14ac:dyDescent="0.55000000000000004">
      <c r="A36" s="41" t="s">
        <v>12</v>
      </c>
      <c r="B36" s="41" t="str">
        <f>IF(B34="Fixed Cost Program","...","Program Coverage")</f>
        <v>Program Coverage</v>
      </c>
      <c r="C36" s="41" t="str">
        <f>IF(B36&lt;&gt;"...","Number","")</f>
        <v>Number</v>
      </c>
      <c r="D36" s="39" t="str">
        <f>IF(B36&lt;&gt;"...",IF(SUMPRODUCT(--(F36:V36&lt;&gt;""))=0,0,"N.A."),"")</f>
        <v>N.A.</v>
      </c>
      <c r="E36" s="41" t="str">
        <f>IF(B36&lt;&gt;"...","OR","")</f>
        <v>OR</v>
      </c>
      <c r="F36" s="60"/>
      <c r="G36" s="60"/>
      <c r="H36" s="60"/>
      <c r="I36" s="60"/>
      <c r="J36" s="60"/>
      <c r="K36" s="60"/>
      <c r="L36" s="60"/>
      <c r="M36" s="60"/>
      <c r="N36" s="60"/>
      <c r="O36" s="60"/>
      <c r="P36" s="60"/>
      <c r="Q36" s="60"/>
      <c r="R36" s="60"/>
      <c r="S36" s="60"/>
      <c r="T36" s="60"/>
      <c r="U36" s="60"/>
      <c r="V36" s="44">
        <v>0</v>
      </c>
    </row>
    <row r="37" spans="1:22" x14ac:dyDescent="0.55000000000000004">
      <c r="A37" s="41" t="s">
        <v>11</v>
      </c>
      <c r="B37" s="41" t="s">
        <v>13</v>
      </c>
      <c r="C37" s="41" t="s">
        <v>15</v>
      </c>
      <c r="D37" s="39" t="str">
        <f>IF(SUMPRODUCT(--(F37:V37&lt;&gt;""))=0,0,"N.A.")</f>
        <v>N.A.</v>
      </c>
      <c r="E37" s="41" t="s">
        <v>16</v>
      </c>
      <c r="F37" s="65"/>
      <c r="G37" s="65"/>
      <c r="H37" s="65"/>
      <c r="I37" s="65"/>
      <c r="J37" s="65"/>
      <c r="K37" s="65"/>
      <c r="L37" s="65"/>
      <c r="M37" s="65"/>
      <c r="N37" s="65"/>
      <c r="O37" s="65"/>
      <c r="P37" s="65"/>
      <c r="Q37" s="65"/>
      <c r="R37" s="65"/>
      <c r="S37" s="65"/>
      <c r="T37" s="65"/>
      <c r="U37" s="65"/>
      <c r="V37" s="65">
        <v>0</v>
      </c>
    </row>
    <row r="38" spans="1:22" x14ac:dyDescent="0.55000000000000004">
      <c r="A38" s="41" t="s">
        <v>11</v>
      </c>
      <c r="B38" s="41" t="str">
        <f>IF(B34="Fixed Cost Program","...",CONCATENATE("Unit Cost Estimate",IF(C36="Fraction"," (Per 1%)","")))</f>
        <v>Unit Cost Estimate</v>
      </c>
      <c r="C38" s="41" t="str">
        <f>IF(B38&lt;&gt;"...","USD","")</f>
        <v>USD</v>
      </c>
      <c r="D38" s="66">
        <v>46432.2</v>
      </c>
      <c r="E38" s="41" t="str">
        <f t="shared" ref="E38:E43" si="3">IF(B38&lt;&gt;"...","OR","")</f>
        <v>OR</v>
      </c>
      <c r="F38" s="65" t="str">
        <f>IF(B38&lt;&gt;"...","...","")</f>
        <v>...</v>
      </c>
      <c r="G38" s="65" t="str">
        <f>IF(B38&lt;&gt;"...","...","")</f>
        <v>...</v>
      </c>
      <c r="H38" s="65" t="str">
        <f>IF(B38&lt;&gt;"...","...","")</f>
        <v>...</v>
      </c>
      <c r="I38" s="65" t="str">
        <f>IF(B38&lt;&gt;"...","...","")</f>
        <v>...</v>
      </c>
      <c r="J38" s="65" t="str">
        <f>IF(B38&lt;&gt;"...","...","")</f>
        <v>...</v>
      </c>
      <c r="K38" s="65" t="str">
        <f>IF(B38&lt;&gt;"...","...","")</f>
        <v>...</v>
      </c>
      <c r="L38" s="65" t="str">
        <f>IF(B38&lt;&gt;"...","...","")</f>
        <v>...</v>
      </c>
      <c r="M38" s="65" t="str">
        <f>IF(B38&lt;&gt;"...","...","")</f>
        <v>...</v>
      </c>
      <c r="N38" s="65" t="str">
        <f>IF(B38&lt;&gt;"...","...","")</f>
        <v>...</v>
      </c>
      <c r="O38" s="65" t="str">
        <f>IF(B38&lt;&gt;"...","...","")</f>
        <v>...</v>
      </c>
      <c r="P38" s="65" t="str">
        <f>IF(B38&lt;&gt;"...","...","")</f>
        <v>...</v>
      </c>
      <c r="Q38" s="65" t="str">
        <f>IF(B38&lt;&gt;"...","...","")</f>
        <v>...</v>
      </c>
      <c r="R38" s="65" t="str">
        <f>IF(B38&lt;&gt;"...","...","")</f>
        <v>...</v>
      </c>
      <c r="S38" s="65" t="str">
        <f>IF(B38&lt;&gt;"...","...","")</f>
        <v>...</v>
      </c>
      <c r="T38" s="65" t="str">
        <f>IF(B38&lt;&gt;"...","...","")</f>
        <v>...</v>
      </c>
      <c r="U38" s="65" t="str">
        <f>IF(B38&lt;&gt;"...","...","")</f>
        <v>...</v>
      </c>
      <c r="V38" s="65" t="str">
        <f>IF(B38&lt;&gt;"...","...","")</f>
        <v>...</v>
      </c>
    </row>
    <row r="39" spans="1:22" x14ac:dyDescent="0.55000000000000004">
      <c r="A39" s="41" t="s">
        <v>17</v>
      </c>
      <c r="B39" s="41" t="str">
        <f>IF(B34="MDR/XDR Treatment Program","Efficacy (After Completed Treatment)",IF(B34="XDR Treat Program","Efficacy (After Completed Treatment)",IF(B34="MDR Treat Program","Efficacy (After Completed Treatment)",IF(B34="DS Treat Program","Efficacy (After Completed Treatment)",IF(B34="Latency Treat Program","Efficacy (After Completed Treatment)",IF(B34="Strain Diag Program","Sensitivity (Detection Probability)",IF(B34="DR Targeted Diagnosis Program","Sensitivity (Detection Probability)",IF(B34="DS Targeted Diagnosis Program","Sensitivity (Detection Probability)",IF(B34="Vaccination Program","Vaccination Effectiveness Probability",IF(B34="Fixed Cost Program","...","..."))))))))))</f>
        <v>Sensitivity (Detection Probability)</v>
      </c>
      <c r="C39" s="41" t="str">
        <f>IF(B39&lt;&gt;"...","Unique","")</f>
        <v>Unique</v>
      </c>
      <c r="D39" s="39" t="str">
        <f>IF(B39&lt;&gt;"...",IF(SUMPRODUCT(--(F39:V39&lt;&gt;""))=0,0,"N.A."),"")</f>
        <v>N.A.</v>
      </c>
      <c r="E39" s="41" t="str">
        <f t="shared" si="3"/>
        <v>OR</v>
      </c>
      <c r="F39" s="40"/>
      <c r="G39" s="40"/>
      <c r="H39" s="40"/>
      <c r="I39" s="40"/>
      <c r="J39" s="40"/>
      <c r="K39" s="40"/>
      <c r="L39" s="40"/>
      <c r="M39" s="40"/>
      <c r="N39" s="40"/>
      <c r="O39" s="40"/>
      <c r="P39" s="40"/>
      <c r="Q39" s="40"/>
      <c r="R39" s="40"/>
      <c r="S39" s="40"/>
      <c r="T39" s="40"/>
      <c r="U39" s="40"/>
      <c r="V39" s="40">
        <f>0.88</f>
        <v>0.88</v>
      </c>
    </row>
    <row r="40" spans="1:22" x14ac:dyDescent="0.55000000000000004">
      <c r="A40" s="41" t="s">
        <v>11</v>
      </c>
      <c r="B40" s="41" t="str">
        <f>IF(B34="MDR/XDR Treatment Program","Adherence Probability (Yearly)",IF(B34="XDR Treat Program","Adherence Probability (Yearly)",IF(B34="MDR Treat Program","Adherence Probability (Yearly)",IF(B34="DS Treat Program","Adherence Probability (Yearly)",IF(B34="Latency Treat Program","Adherence Probability (Yearly)",IF(B34="Strain Diag Program","Latents Identified (Per Active Case)",IF(B34="DR Targeted Diagnosis Program","Latents Identified (Per DR-TB Case)",IF(B34="DS Targeted Diagnosis Program","Latents Identified (Per DS-TB Case)",IF(B34="Vaccination Program","...",IF(B34="Fixed Cost Program","...","..."))))))))))</f>
        <v>Latents Identified (Per Active Case)</v>
      </c>
      <c r="C40" s="41" t="str">
        <f>IF(B40&lt;&gt;"...","Unique","")</f>
        <v>Unique</v>
      </c>
      <c r="D40" s="39" t="str">
        <f>IF(B40&lt;&gt;"...",IF(SUMPRODUCT(--(F40:V40&lt;&gt;""))=0,0,"N.A."),"")</f>
        <v>N.A.</v>
      </c>
      <c r="E40" s="41" t="str">
        <f t="shared" si="3"/>
        <v>OR</v>
      </c>
      <c r="F40" s="63"/>
      <c r="G40" s="63"/>
      <c r="H40" s="63"/>
      <c r="I40" s="63"/>
      <c r="J40" s="63"/>
      <c r="K40" s="63"/>
      <c r="L40" s="63"/>
      <c r="M40" s="63"/>
      <c r="N40" s="63"/>
      <c r="O40" s="63"/>
      <c r="P40" s="63"/>
      <c r="Q40" s="63"/>
      <c r="R40" s="63"/>
      <c r="S40" s="63"/>
      <c r="T40" s="63"/>
      <c r="U40" s="63"/>
      <c r="V40" s="63">
        <v>0</v>
      </c>
    </row>
    <row r="41" spans="1:22" x14ac:dyDescent="0.55000000000000004">
      <c r="A41" s="41" t="s">
        <v>11</v>
      </c>
      <c r="B41" s="41" t="str">
        <f>IF(B34="MDR/XDR Treatment Program","Treatment Duration (Months)",IF(B34="XDR Treat Program","Treatment Duration (Months)",IF(B34="MDR Treat Program","Treatment Duration (Months)",IF(B34="DS Treat Program","Treatment Duration (Months)",IF(B34="Latency Treat Program","Treatment Duration (Months)",IF(B34="Strain Diag Program","Latent Treatment Efficacy (After Completed Treatment)",IF(B34="DR Targeted Diagnosis Program","Latent Treatment Efficacy (After Completed Treatment)",IF(B34="DS Targeted Diagnosis Program","Latent Treatment Efficacy (After Completed Treatment)",IF(B34="Vaccination Program","...",IF(B34="Fixed Cost Program","...","..."))))))))))</f>
        <v>Latent Treatment Efficacy (After Completed Treatment)</v>
      </c>
      <c r="C41" s="41" t="str">
        <f>IF(B41&lt;&gt;"...","Unique","")</f>
        <v>Unique</v>
      </c>
      <c r="D41" s="39" t="str">
        <f>IF(B41&lt;&gt;"...",IF(SUMPRODUCT(--(F41:V41&lt;&gt;""))=0,0,"N.A."),"")</f>
        <v>N.A.</v>
      </c>
      <c r="E41" s="41" t="str">
        <f t="shared" si="3"/>
        <v>OR</v>
      </c>
      <c r="F41" s="40"/>
      <c r="G41" s="40"/>
      <c r="H41" s="40"/>
      <c r="I41" s="40"/>
      <c r="J41" s="40"/>
      <c r="K41" s="40"/>
      <c r="L41" s="40"/>
      <c r="M41" s="40"/>
      <c r="N41" s="40"/>
      <c r="O41" s="40"/>
      <c r="P41" s="40"/>
      <c r="Q41" s="40"/>
      <c r="R41" s="40"/>
      <c r="S41" s="40"/>
      <c r="T41" s="40"/>
      <c r="U41" s="40"/>
      <c r="V41" s="40">
        <v>0</v>
      </c>
    </row>
    <row r="42" spans="1:22" x14ac:dyDescent="0.55000000000000004">
      <c r="A42" s="41" t="s">
        <v>11</v>
      </c>
      <c r="B42" s="41" t="str">
        <f>IF(B34="MDR/XDR Treatment Program","...",IF(B34="XDR Treat Program","...",IF(B34="MDR Treat Program","...",IF(B34="DS Treat Program","...",IF(B34="Latency Treat Program","...",IF(B34="Strain Diag Program","Latent Treatment Adherence Probability (Yearly)",IF(B34="DR Targeted Diagnosis Program","Latent Treatment Adherence Probability (Yearly)",IF(B34="DS Targeted Diagnosis Program","Latent Treatment Adherence Probability (Yearly)",IF(B34="Vaccination Program","...",IF(B34="Fixed Cost Program","...","..."))))))))))</f>
        <v>Latent Treatment Adherence Probability (Yearly)</v>
      </c>
      <c r="C42" s="41" t="str">
        <f>IF(B42&lt;&gt;"...","Unique","")</f>
        <v>Unique</v>
      </c>
      <c r="D42" s="39" t="str">
        <f>IF(B42&lt;&gt;"...",IF(SUMPRODUCT(--(F42:V42&lt;&gt;""))=0,0,"N.A."),"")</f>
        <v>N.A.</v>
      </c>
      <c r="E42" s="41" t="str">
        <f t="shared" si="3"/>
        <v>OR</v>
      </c>
      <c r="F42" s="40"/>
      <c r="G42" s="40"/>
      <c r="H42" s="40"/>
      <c r="I42" s="40"/>
      <c r="J42" s="40"/>
      <c r="K42" s="40"/>
      <c r="L42" s="40"/>
      <c r="M42" s="40"/>
      <c r="N42" s="40"/>
      <c r="O42" s="40"/>
      <c r="P42" s="40"/>
      <c r="Q42" s="40"/>
      <c r="R42" s="40"/>
      <c r="S42" s="40"/>
      <c r="T42" s="40"/>
      <c r="U42" s="40"/>
      <c r="V42" s="40">
        <v>0</v>
      </c>
    </row>
    <row r="43" spans="1:22" x14ac:dyDescent="0.55000000000000004">
      <c r="A43" s="41" t="s">
        <v>11</v>
      </c>
      <c r="B43" s="41" t="str">
        <f>IF(B34="MDR/XDR Treatment Program","...",IF(B34="XDR Treat Program","...",IF(B34="MDR Treat Program","...",IF(B34="DS Treat Program","...",IF(B34="Latency Treat Program","...",IF(B34="Strain Diag Program","Latent Treatment Duration (Months)",IF(B34="DR Targeted Diagnosis Program","Latent Treatment Duration (Months)",IF(B34="DS Targeted Diagnosis Program","Latent Treatment Duration (Months)",IF(B34="Vaccination Program","...",IF(B34="Fixed Cost Program","...","..."))))))))))</f>
        <v>Latent Treatment Duration (Months)</v>
      </c>
      <c r="C43" s="41" t="str">
        <f>IF(B43&lt;&gt;"...","Unique","")</f>
        <v>Unique</v>
      </c>
      <c r="D43" s="39" t="str">
        <f>IF(B43&lt;&gt;"...",IF(SUMPRODUCT(--(F43:V43&lt;&gt;""))=0,0,"N.A."),"")</f>
        <v>N.A.</v>
      </c>
      <c r="E43" s="41" t="str">
        <f t="shared" si="3"/>
        <v>OR</v>
      </c>
      <c r="F43" s="62"/>
      <c r="G43" s="62"/>
      <c r="H43" s="62"/>
      <c r="I43" s="62"/>
      <c r="J43" s="62"/>
      <c r="K43" s="62"/>
      <c r="L43" s="62"/>
      <c r="M43" s="62"/>
      <c r="N43" s="62"/>
      <c r="O43" s="62"/>
      <c r="P43" s="62"/>
      <c r="Q43" s="62"/>
      <c r="R43" s="62"/>
      <c r="S43" s="62"/>
      <c r="T43" s="62"/>
      <c r="U43" s="62"/>
      <c r="V43" s="62">
        <v>12</v>
      </c>
    </row>
    <row r="44" spans="1:22" x14ac:dyDescent="0.55000000000000004">
      <c r="A44" s="41"/>
    </row>
    <row r="45" spans="1:22" x14ac:dyDescent="0.55000000000000004">
      <c r="A45" s="41" t="str">
        <f>'Program Definitions'!$A$6</f>
        <v>Contact tracing for DS cases/IPT</v>
      </c>
      <c r="B45" s="41" t="s">
        <v>226</v>
      </c>
      <c r="C45" s="41"/>
      <c r="D45" s="41"/>
      <c r="E45" s="41"/>
      <c r="F45" s="41"/>
      <c r="G45" s="41"/>
      <c r="H45" s="41"/>
      <c r="I45" s="41"/>
      <c r="J45" s="41"/>
      <c r="K45" s="41"/>
      <c r="L45" s="41"/>
      <c r="M45" s="41"/>
      <c r="N45" s="41"/>
      <c r="O45" s="41"/>
      <c r="P45" s="41"/>
      <c r="Q45" s="41"/>
      <c r="R45" s="41"/>
      <c r="S45" s="41"/>
      <c r="T45" s="41"/>
      <c r="U45" s="41"/>
      <c r="V45" s="41"/>
    </row>
    <row r="46" spans="1:22" x14ac:dyDescent="0.55000000000000004">
      <c r="A46" s="41" t="s">
        <v>11</v>
      </c>
      <c r="B46" s="41"/>
      <c r="C46" s="41" t="s">
        <v>8</v>
      </c>
      <c r="D46" s="41" t="s">
        <v>9</v>
      </c>
      <c r="E46" s="41"/>
      <c r="F46" s="41">
        <v>2000</v>
      </c>
      <c r="G46" s="41">
        <v>2001</v>
      </c>
      <c r="H46" s="41">
        <v>2002</v>
      </c>
      <c r="I46" s="41">
        <v>2003</v>
      </c>
      <c r="J46" s="41">
        <v>2004</v>
      </c>
      <c r="K46" s="41">
        <v>2005</v>
      </c>
      <c r="L46" s="41">
        <v>2006</v>
      </c>
      <c r="M46" s="41">
        <v>2007</v>
      </c>
      <c r="N46" s="41">
        <v>2008</v>
      </c>
      <c r="O46" s="41">
        <v>2009</v>
      </c>
      <c r="P46" s="41">
        <v>2010</v>
      </c>
      <c r="Q46" s="41">
        <v>2011</v>
      </c>
      <c r="R46" s="41">
        <v>2012</v>
      </c>
      <c r="S46" s="41">
        <v>2013</v>
      </c>
      <c r="T46" s="41">
        <v>2014</v>
      </c>
      <c r="U46" s="41">
        <v>2015</v>
      </c>
      <c r="V46" s="41">
        <v>2016</v>
      </c>
    </row>
    <row r="47" spans="1:22" x14ac:dyDescent="0.55000000000000004">
      <c r="A47" s="41" t="s">
        <v>12</v>
      </c>
      <c r="B47" s="41" t="str">
        <f>IF(B45="Fixed Cost Program","...","Program Coverage")</f>
        <v>Program Coverage</v>
      </c>
      <c r="C47" s="41" t="str">
        <f>IF(B47&lt;&gt;"...","Number","")</f>
        <v>Number</v>
      </c>
      <c r="D47" s="39" t="str">
        <f>IF(B47&lt;&gt;"...",IF(SUMPRODUCT(--(F47:V47&lt;&gt;""))=0,0,"N.A."),"")</f>
        <v>N.A.</v>
      </c>
      <c r="E47" s="41" t="str">
        <f>IF(B47&lt;&gt;"...","OR","")</f>
        <v>OR</v>
      </c>
      <c r="F47" s="60"/>
      <c r="G47" s="60"/>
      <c r="H47" s="60"/>
      <c r="I47" s="60"/>
      <c r="J47" s="60"/>
      <c r="K47" s="60"/>
      <c r="L47" s="60"/>
      <c r="M47" s="60"/>
      <c r="N47" s="60"/>
      <c r="O47" s="60"/>
      <c r="P47" s="60"/>
      <c r="Q47" s="60"/>
      <c r="R47" s="60"/>
      <c r="S47" s="60"/>
      <c r="T47" s="60"/>
      <c r="U47" s="60"/>
      <c r="V47" s="44">
        <v>1043.8</v>
      </c>
    </row>
    <row r="48" spans="1:22" x14ac:dyDescent="0.55000000000000004">
      <c r="A48" s="41" t="s">
        <v>11</v>
      </c>
      <c r="B48" s="41" t="s">
        <v>13</v>
      </c>
      <c r="C48" s="41" t="s">
        <v>15</v>
      </c>
      <c r="D48" s="39" t="str">
        <f>IF(SUMPRODUCT(--(F48:V48&lt;&gt;""))=0,0,"N.A.")</f>
        <v>N.A.</v>
      </c>
      <c r="E48" s="41" t="s">
        <v>16</v>
      </c>
      <c r="F48" s="65"/>
      <c r="G48" s="65"/>
      <c r="H48" s="65"/>
      <c r="I48" s="65"/>
      <c r="J48" s="65"/>
      <c r="K48" s="65"/>
      <c r="L48" s="65"/>
      <c r="M48" s="65"/>
      <c r="N48" s="65"/>
      <c r="O48" s="65"/>
      <c r="P48" s="65"/>
      <c r="Q48" s="65"/>
      <c r="R48" s="65"/>
      <c r="S48" s="65"/>
      <c r="T48" s="65"/>
      <c r="U48" s="65"/>
      <c r="V48" s="65">
        <f>V47*D49</f>
        <v>8566623.1699999999</v>
      </c>
    </row>
    <row r="49" spans="1:24" x14ac:dyDescent="0.55000000000000004">
      <c r="A49" s="41" t="s">
        <v>11</v>
      </c>
      <c r="B49" s="41" t="str">
        <f>IF(B45="Fixed Cost Program","...",CONCATENATE("Unit Cost Estimate",IF(C47="Fraction"," (Per 1%)","")))</f>
        <v>Unit Cost Estimate</v>
      </c>
      <c r="C49" s="41" t="str">
        <f>IF(B49&lt;&gt;"...","USD","")</f>
        <v>USD</v>
      </c>
      <c r="D49" s="66">
        <v>8207.15</v>
      </c>
      <c r="E49" s="41" t="str">
        <f t="shared" ref="E49:E54" si="4">IF(B49&lt;&gt;"...","OR","")</f>
        <v>OR</v>
      </c>
      <c r="F49" s="65" t="str">
        <f>IF(B49&lt;&gt;"...","...","")</f>
        <v>...</v>
      </c>
      <c r="G49" s="65" t="str">
        <f>IF(B49&lt;&gt;"...","...","")</f>
        <v>...</v>
      </c>
      <c r="H49" s="65" t="str">
        <f>IF(B49&lt;&gt;"...","...","")</f>
        <v>...</v>
      </c>
      <c r="I49" s="65" t="str">
        <f>IF(B49&lt;&gt;"...","...","")</f>
        <v>...</v>
      </c>
      <c r="J49" s="65" t="str">
        <f>IF(B49&lt;&gt;"...","...","")</f>
        <v>...</v>
      </c>
      <c r="K49" s="65" t="str">
        <f>IF(B49&lt;&gt;"...","...","")</f>
        <v>...</v>
      </c>
      <c r="L49" s="65" t="str">
        <f>IF(B49&lt;&gt;"...","...","")</f>
        <v>...</v>
      </c>
      <c r="M49" s="65" t="str">
        <f>IF(B49&lt;&gt;"...","...","")</f>
        <v>...</v>
      </c>
      <c r="N49" s="65" t="str">
        <f>IF(B49&lt;&gt;"...","...","")</f>
        <v>...</v>
      </c>
      <c r="O49" s="65" t="str">
        <f>IF(B49&lt;&gt;"...","...","")</f>
        <v>...</v>
      </c>
      <c r="P49" s="65" t="str">
        <f>IF(B49&lt;&gt;"...","...","")</f>
        <v>...</v>
      </c>
      <c r="Q49" s="65" t="str">
        <f>IF(B49&lt;&gt;"...","...","")</f>
        <v>...</v>
      </c>
      <c r="R49" s="65" t="str">
        <f>IF(B49&lt;&gt;"...","...","")</f>
        <v>...</v>
      </c>
      <c r="S49" s="65" t="str">
        <f>IF(B49&lt;&gt;"...","...","")</f>
        <v>...</v>
      </c>
      <c r="T49" s="65" t="str">
        <f>IF(B49&lt;&gt;"...","...","")</f>
        <v>...</v>
      </c>
      <c r="U49" s="65" t="str">
        <f>IF(B49&lt;&gt;"...","...","")</f>
        <v>...</v>
      </c>
      <c r="V49" s="65" t="str">
        <f>IF(B49&lt;&gt;"...","...","")</f>
        <v>...</v>
      </c>
      <c r="X49" s="55"/>
    </row>
    <row r="50" spans="1:24" x14ac:dyDescent="0.55000000000000004">
      <c r="A50" s="41" t="s">
        <v>17</v>
      </c>
      <c r="B50" s="41" t="str">
        <f>IF(B45="MDR/XDR Treatment Program","Efficacy (After Completed Treatment)",IF(B45="XDR Treat Program","Efficacy (After Completed Treatment)",IF(B45="MDR Treat Program","Efficacy (After Completed Treatment)",IF(B45="DS Treat Program","Efficacy (After Completed Treatment)",IF(B45="Latency Treat Program","Efficacy (After Completed Treatment)",IF(B45="Strain Diag Program","Sensitivity (Detection Probability)",IF(B45="DR Targeted Diagnosis Program","Sensitivity (Detection Probability)",IF(B45="DS Targeted Diagnosis Program","Sensitivity (Detection Probability)",IF(B45="Vaccination Program","Vaccination Effectiveness Probability",IF(B45="Fixed Cost Program","...","..."))))))))))</f>
        <v>Sensitivity (Detection Probability)</v>
      </c>
      <c r="C50" s="41" t="str">
        <f>IF(B50&lt;&gt;"...","Unique","")</f>
        <v>Unique</v>
      </c>
      <c r="D50" s="39" t="str">
        <f>IF(B50&lt;&gt;"...",IF(SUMPRODUCT(--(F50:V50&lt;&gt;""))=0,0,"N.A."),"")</f>
        <v>N.A.</v>
      </c>
      <c r="E50" s="41" t="str">
        <f t="shared" si="4"/>
        <v>OR</v>
      </c>
      <c r="F50" s="40"/>
      <c r="G50" s="40"/>
      <c r="H50" s="40"/>
      <c r="I50" s="40"/>
      <c r="J50" s="40"/>
      <c r="K50" s="40"/>
      <c r="L50" s="40"/>
      <c r="M50" s="40"/>
      <c r="N50" s="40"/>
      <c r="O50" s="40"/>
      <c r="P50" s="40"/>
      <c r="Q50" s="40"/>
      <c r="R50" s="40"/>
      <c r="S50" s="40"/>
      <c r="T50" s="40"/>
      <c r="U50" s="40"/>
      <c r="V50" s="40">
        <f>0.88</f>
        <v>0.88</v>
      </c>
    </row>
    <row r="51" spans="1:24" x14ac:dyDescent="0.55000000000000004">
      <c r="A51" s="41" t="s">
        <v>11</v>
      </c>
      <c r="B51" s="41" t="str">
        <f>IF(B45="MDR/XDR Treatment Program","Adherence Probability (Yearly)",IF(B45="XDR Treat Program","Adherence Probability (Yearly)",IF(B45="MDR Treat Program","Adherence Probability (Yearly)",IF(B45="DS Treat Program","Adherence Probability (Yearly)",IF(B45="Latency Treat Program","Adherence Probability (Yearly)",IF(B45="Strain Diag Program","Latents Identified (Per Active Case)",IF(B45="DR Targeted Diagnosis Program","Latents Identified (Per DR-TB Case)",IF(B45="DS Targeted Diagnosis Program","Latents Identified (Per DS-TB Case)",IF(B45="Vaccination Program","...",IF(B45="Fixed Cost Program","...","..."))))))))))</f>
        <v>Latents Identified (Per DS-TB Case)</v>
      </c>
      <c r="C51" s="41" t="str">
        <f>IF(B51&lt;&gt;"...","Unique","")</f>
        <v>Unique</v>
      </c>
      <c r="D51" s="39" t="str">
        <f>IF(B51&lt;&gt;"...",IF(SUMPRODUCT(--(F51:V51&lt;&gt;""))=0,0,"N.A."),"")</f>
        <v>N.A.</v>
      </c>
      <c r="E51" s="41" t="str">
        <f t="shared" si="4"/>
        <v>OR</v>
      </c>
      <c r="F51" s="63"/>
      <c r="G51" s="63"/>
      <c r="H51" s="63"/>
      <c r="I51" s="63"/>
      <c r="J51" s="63"/>
      <c r="K51" s="63"/>
      <c r="L51" s="63"/>
      <c r="M51" s="63"/>
      <c r="N51" s="63"/>
      <c r="O51" s="63"/>
      <c r="P51" s="63"/>
      <c r="Q51" s="63"/>
      <c r="R51" s="63"/>
      <c r="S51" s="63"/>
      <c r="T51" s="63"/>
      <c r="U51" s="63"/>
      <c r="V51" s="63">
        <v>0</v>
      </c>
    </row>
    <row r="52" spans="1:24" x14ac:dyDescent="0.55000000000000004">
      <c r="A52" s="41" t="s">
        <v>11</v>
      </c>
      <c r="B52" s="41" t="str">
        <f>IF(B45="MDR/XDR Treatment Program","Treatment Duration (Months)",IF(B45="XDR Treat Program","Treatment Duration (Months)",IF(B45="MDR Treat Program","Treatment Duration (Months)",IF(B45="DS Treat Program","Treatment Duration (Months)",IF(B45="Latency Treat Program","Treatment Duration (Months)",IF(B45="Strain Diag Program","Latent Treatment Efficacy (After Completed Treatment)",IF(B45="DR Targeted Diagnosis Program","Latent Treatment Efficacy (After Completed Treatment)",IF(B45="DS Targeted Diagnosis Program","Latent Treatment Efficacy (After Completed Treatment)",IF(B45="Vaccination Program","...",IF(B45="Fixed Cost Program","...","..."))))))))))</f>
        <v>Latent Treatment Efficacy (After Completed Treatment)</v>
      </c>
      <c r="C52" s="41" t="str">
        <f>IF(B52&lt;&gt;"...","Unique","")</f>
        <v>Unique</v>
      </c>
      <c r="D52" s="39" t="str">
        <f>IF(B52&lt;&gt;"...",IF(SUMPRODUCT(--(F52:V52&lt;&gt;""))=0,0,"N.A."),"")</f>
        <v>N.A.</v>
      </c>
      <c r="E52" s="41" t="str">
        <f t="shared" si="4"/>
        <v>OR</v>
      </c>
      <c r="F52" s="40"/>
      <c r="G52" s="40"/>
      <c r="H52" s="40"/>
      <c r="I52" s="40"/>
      <c r="J52" s="40"/>
      <c r="K52" s="40"/>
      <c r="L52" s="40"/>
      <c r="M52" s="40"/>
      <c r="N52" s="40"/>
      <c r="O52" s="40"/>
      <c r="P52" s="40"/>
      <c r="Q52" s="40"/>
      <c r="R52" s="40"/>
      <c r="S52" s="40"/>
      <c r="T52" s="40"/>
      <c r="U52" s="40"/>
      <c r="V52" s="40">
        <f>(0.39+0.47)/2</f>
        <v>0.43</v>
      </c>
    </row>
    <row r="53" spans="1:24" x14ac:dyDescent="0.55000000000000004">
      <c r="A53" s="41" t="s">
        <v>11</v>
      </c>
      <c r="B53" s="41" t="str">
        <f>IF(B45="MDR/XDR Treatment Program","...",IF(B45="XDR Treat Program","...",IF(B45="MDR Treat Program","...",IF(B45="DS Treat Program","...",IF(B45="Latency Treat Program","...",IF(B45="Strain Diag Program","Latent Treatment Adherence Probability (Yearly)",IF(B45="DR Targeted Diagnosis Program","Latent Treatment Adherence Probability (Yearly)",IF(B45="DS Targeted Diagnosis Program","Latent Treatment Adherence Probability (Yearly)",IF(B45="Vaccination Program","...",IF(B45="Fixed Cost Program","...","..."))))))))))</f>
        <v>Latent Treatment Adherence Probability (Yearly)</v>
      </c>
      <c r="C53" s="41" t="str">
        <f>IF(B53&lt;&gt;"...","Unique","")</f>
        <v>Unique</v>
      </c>
      <c r="D53" s="39" t="str">
        <f>IF(B53&lt;&gt;"...",IF(SUMPRODUCT(--(F53:V53&lt;&gt;""))=0,0,"N.A."),"")</f>
        <v>N.A.</v>
      </c>
      <c r="E53" s="41" t="str">
        <f t="shared" si="4"/>
        <v>OR</v>
      </c>
      <c r="F53" s="40"/>
      <c r="G53" s="40"/>
      <c r="H53" s="40"/>
      <c r="I53" s="40"/>
      <c r="J53" s="40"/>
      <c r="K53" s="40"/>
      <c r="L53" s="40"/>
      <c r="M53" s="40"/>
      <c r="N53" s="40"/>
      <c r="O53" s="40"/>
      <c r="P53" s="40"/>
      <c r="Q53" s="40"/>
      <c r="R53" s="40"/>
      <c r="S53" s="40"/>
      <c r="T53" s="40"/>
      <c r="U53" s="40"/>
      <c r="V53" s="40">
        <v>0.5</v>
      </c>
    </row>
    <row r="54" spans="1:24" x14ac:dyDescent="0.55000000000000004">
      <c r="A54" s="41" t="s">
        <v>11</v>
      </c>
      <c r="B54" s="41" t="str">
        <f>IF(B45="MDR/XDR Treatment Program","...",IF(B45="XDR Treat Program","...",IF(B45="MDR Treat Program","...",IF(B45="DS Treat Program","...",IF(B45="Latency Treat Program","...",IF(B45="Strain Diag Program","Latent Treatment Duration (Months)",IF(B45="DR Targeted Diagnosis Program","Latent Treatment Duration (Months)",IF(B45="DS Targeted Diagnosis Program","Latent Treatment Duration (Months)",IF(B45="Vaccination Program","...",IF(B45="Fixed Cost Program","...","..."))))))))))</f>
        <v>Latent Treatment Duration (Months)</v>
      </c>
      <c r="C54" s="41" t="str">
        <f>IF(B54&lt;&gt;"...","Unique","")</f>
        <v>Unique</v>
      </c>
      <c r="D54" s="39" t="str">
        <f>IF(B54&lt;&gt;"...",IF(SUMPRODUCT(--(F54:V54&lt;&gt;""))=0,0,"N.A."),"")</f>
        <v>N.A.</v>
      </c>
      <c r="E54" s="41" t="str">
        <f t="shared" si="4"/>
        <v>OR</v>
      </c>
      <c r="F54" s="61"/>
      <c r="G54" s="61"/>
      <c r="H54" s="61"/>
      <c r="I54" s="61"/>
      <c r="J54" s="61"/>
      <c r="K54" s="61"/>
      <c r="L54" s="61"/>
      <c r="M54" s="61"/>
      <c r="N54" s="61"/>
      <c r="O54" s="61"/>
      <c r="P54" s="61"/>
      <c r="Q54" s="61"/>
      <c r="R54" s="61"/>
      <c r="S54" s="61"/>
      <c r="T54" s="61"/>
      <c r="U54" s="61"/>
      <c r="V54" s="62">
        <v>12</v>
      </c>
    </row>
    <row r="55" spans="1:24" x14ac:dyDescent="0.55000000000000004">
      <c r="A55" s="41"/>
    </row>
    <row r="56" spans="1:24" x14ac:dyDescent="0.55000000000000004">
      <c r="A56" s="41" t="str">
        <f>'Program Definitions'!$A$7</f>
        <v>Contact tracing for DR cases/IPT</v>
      </c>
      <c r="B56" s="41" t="s">
        <v>227</v>
      </c>
      <c r="C56" s="41"/>
      <c r="D56" s="41"/>
      <c r="E56" s="41"/>
      <c r="F56" s="41"/>
      <c r="G56" s="41"/>
      <c r="H56" s="41"/>
      <c r="I56" s="41"/>
      <c r="J56" s="41"/>
      <c r="K56" s="41"/>
      <c r="L56" s="41"/>
      <c r="M56" s="41"/>
      <c r="N56" s="41"/>
      <c r="O56" s="41"/>
      <c r="P56" s="41"/>
      <c r="Q56" s="41"/>
      <c r="R56" s="41"/>
      <c r="S56" s="41"/>
      <c r="T56" s="41"/>
      <c r="U56" s="41"/>
      <c r="V56" s="41"/>
    </row>
    <row r="57" spans="1:24" x14ac:dyDescent="0.55000000000000004">
      <c r="A57" s="41" t="s">
        <v>11</v>
      </c>
      <c r="B57" s="41"/>
      <c r="C57" s="41" t="s">
        <v>8</v>
      </c>
      <c r="D57" s="41" t="s">
        <v>9</v>
      </c>
      <c r="E57" s="41"/>
      <c r="F57" s="41">
        <v>2000</v>
      </c>
      <c r="G57" s="41">
        <v>2001</v>
      </c>
      <c r="H57" s="41">
        <v>2002</v>
      </c>
      <c r="I57" s="41">
        <v>2003</v>
      </c>
      <c r="J57" s="41">
        <v>2004</v>
      </c>
      <c r="K57" s="41">
        <v>2005</v>
      </c>
      <c r="L57" s="41">
        <v>2006</v>
      </c>
      <c r="M57" s="41">
        <v>2007</v>
      </c>
      <c r="N57" s="41">
        <v>2008</v>
      </c>
      <c r="O57" s="41">
        <v>2009</v>
      </c>
      <c r="P57" s="41">
        <v>2010</v>
      </c>
      <c r="Q57" s="41">
        <v>2011</v>
      </c>
      <c r="R57" s="41">
        <v>2012</v>
      </c>
      <c r="S57" s="41">
        <v>2013</v>
      </c>
      <c r="T57" s="41">
        <v>2014</v>
      </c>
      <c r="U57" s="41">
        <v>2015</v>
      </c>
      <c r="V57" s="41">
        <v>2016</v>
      </c>
    </row>
    <row r="58" spans="1:24" x14ac:dyDescent="0.55000000000000004">
      <c r="A58" s="41" t="s">
        <v>12</v>
      </c>
      <c r="B58" s="41" t="str">
        <f>IF(B56="Fixed Cost Program","...","Program Coverage")</f>
        <v>Program Coverage</v>
      </c>
      <c r="C58" s="41" t="str">
        <f>IF(B58&lt;&gt;"...","Number","")</f>
        <v>Number</v>
      </c>
      <c r="D58" s="39" t="str">
        <f>IF(B58&lt;&gt;"...",IF(SUMPRODUCT(--(F58:V58&lt;&gt;""))=0,0,"N.A."),"")</f>
        <v>N.A.</v>
      </c>
      <c r="E58" s="41" t="str">
        <f>IF(B58&lt;&gt;"...","OR","")</f>
        <v>OR</v>
      </c>
      <c r="F58" s="60"/>
      <c r="G58" s="60"/>
      <c r="H58" s="60"/>
      <c r="I58" s="60"/>
      <c r="J58" s="60"/>
      <c r="K58" s="60"/>
      <c r="L58" s="60"/>
      <c r="M58" s="60"/>
      <c r="N58" s="60"/>
      <c r="O58" s="60"/>
      <c r="P58" s="60"/>
      <c r="Q58" s="60"/>
      <c r="R58" s="60"/>
      <c r="S58" s="60"/>
      <c r="T58" s="60"/>
      <c r="U58" s="60"/>
      <c r="V58" s="44">
        <v>163.54</v>
      </c>
    </row>
    <row r="59" spans="1:24" x14ac:dyDescent="0.55000000000000004">
      <c r="A59" s="41" t="s">
        <v>11</v>
      </c>
      <c r="B59" s="41" t="s">
        <v>13</v>
      </c>
      <c r="C59" s="41" t="s">
        <v>15</v>
      </c>
      <c r="D59" s="39" t="str">
        <f>IF(SUMPRODUCT(--(F59:V59&lt;&gt;""))=0,0,"N.A.")</f>
        <v>N.A.</v>
      </c>
      <c r="E59" s="41" t="s">
        <v>16</v>
      </c>
      <c r="F59" s="65"/>
      <c r="G59" s="65"/>
      <c r="H59" s="65"/>
      <c r="I59" s="65"/>
      <c r="J59" s="65"/>
      <c r="K59" s="65"/>
      <c r="L59" s="65"/>
      <c r="M59" s="65"/>
      <c r="N59" s="65"/>
      <c r="O59" s="65"/>
      <c r="P59" s="65"/>
      <c r="Q59" s="65"/>
      <c r="R59" s="65"/>
      <c r="S59" s="65"/>
      <c r="T59" s="65"/>
      <c r="U59" s="65"/>
      <c r="V59" s="65">
        <f>V58*D60</f>
        <v>1350575.4651999997</v>
      </c>
    </row>
    <row r="60" spans="1:24" x14ac:dyDescent="0.55000000000000004">
      <c r="A60" s="41" t="s">
        <v>11</v>
      </c>
      <c r="B60" s="41" t="str">
        <f>IF(B56="Fixed Cost Program","...",CONCATENATE("Unit Cost Estimate",IF(C58="Fraction"," (Per 1%)","")))</f>
        <v>Unit Cost Estimate</v>
      </c>
      <c r="C60" s="41" t="str">
        <f>IF(B60&lt;&gt;"...","USD","")</f>
        <v>USD</v>
      </c>
      <c r="D60" s="66">
        <v>8258.3799999999992</v>
      </c>
      <c r="E60" s="41" t="str">
        <f t="shared" ref="E60:E65" si="5">IF(B60&lt;&gt;"...","OR","")</f>
        <v>OR</v>
      </c>
      <c r="F60" s="65" t="str">
        <f>IF(B60&lt;&gt;"...","...","")</f>
        <v>...</v>
      </c>
      <c r="G60" s="65" t="str">
        <f>IF(B60&lt;&gt;"...","...","")</f>
        <v>...</v>
      </c>
      <c r="H60" s="65" t="str">
        <f>IF(B60&lt;&gt;"...","...","")</f>
        <v>...</v>
      </c>
      <c r="I60" s="65" t="str">
        <f>IF(B60&lt;&gt;"...","...","")</f>
        <v>...</v>
      </c>
      <c r="J60" s="65" t="str">
        <f>IF(B60&lt;&gt;"...","...","")</f>
        <v>...</v>
      </c>
      <c r="K60" s="65" t="str">
        <f>IF(B60&lt;&gt;"...","...","")</f>
        <v>...</v>
      </c>
      <c r="L60" s="65" t="str">
        <f>IF(B60&lt;&gt;"...","...","")</f>
        <v>...</v>
      </c>
      <c r="M60" s="65" t="str">
        <f>IF(B60&lt;&gt;"...","...","")</f>
        <v>...</v>
      </c>
      <c r="N60" s="65" t="str">
        <f>IF(B60&lt;&gt;"...","...","")</f>
        <v>...</v>
      </c>
      <c r="O60" s="65" t="str">
        <f>IF(B60&lt;&gt;"...","...","")</f>
        <v>...</v>
      </c>
      <c r="P60" s="65" t="str">
        <f>IF(B60&lt;&gt;"...","...","")</f>
        <v>...</v>
      </c>
      <c r="Q60" s="65" t="str">
        <f>IF(B60&lt;&gt;"...","...","")</f>
        <v>...</v>
      </c>
      <c r="R60" s="65" t="str">
        <f>IF(B60&lt;&gt;"...","...","")</f>
        <v>...</v>
      </c>
      <c r="S60" s="65" t="str">
        <f>IF(B60&lt;&gt;"...","...","")</f>
        <v>...</v>
      </c>
      <c r="T60" s="65" t="str">
        <f>IF(B60&lt;&gt;"...","...","")</f>
        <v>...</v>
      </c>
      <c r="U60" s="65" t="str">
        <f>IF(B60&lt;&gt;"...","...","")</f>
        <v>...</v>
      </c>
      <c r="V60" s="65" t="str">
        <f>IF(B60&lt;&gt;"...","...","")</f>
        <v>...</v>
      </c>
    </row>
    <row r="61" spans="1:24" x14ac:dyDescent="0.55000000000000004">
      <c r="A61" s="41" t="s">
        <v>17</v>
      </c>
      <c r="B61" s="41" t="str">
        <f>IF(B56="MDR/XDR Treatment Program","Efficacy (After Completed Treatment)",IF(B56="XDR Treat Program","Efficacy (After Completed Treatment)",IF(B56="MDR Treat Program","Efficacy (After Completed Treatment)",IF(B56="DS Treat Program","Efficacy (After Completed Treatment)",IF(B56="Latency Treat Program","Efficacy (After Completed Treatment)",IF(B56="Strain Diag Program","Sensitivity (Detection Probability)",IF(B56="DR Targeted Diagnosis Program","Sensitivity (Detection Probability)",IF(B56="DS Targeted Diagnosis Program","Sensitivity (Detection Probability)",IF(B56="Vaccination Program","Vaccination Effectiveness Probability",IF(B56="Fixed Cost Program","...","..."))))))))))</f>
        <v>Sensitivity (Detection Probability)</v>
      </c>
      <c r="C61" s="41" t="str">
        <f>IF(B61&lt;&gt;"...","Unique","")</f>
        <v>Unique</v>
      </c>
      <c r="D61" s="39" t="str">
        <f>IF(B61&lt;&gt;"...",IF(SUMPRODUCT(--(F61:V61&lt;&gt;""))=0,0,"N.A."),"")</f>
        <v>N.A.</v>
      </c>
      <c r="E61" s="41" t="str">
        <f t="shared" si="5"/>
        <v>OR</v>
      </c>
      <c r="F61" s="40"/>
      <c r="G61" s="40"/>
      <c r="H61" s="40"/>
      <c r="I61" s="40"/>
      <c r="J61" s="40"/>
      <c r="K61" s="40"/>
      <c r="L61" s="40"/>
      <c r="M61" s="40"/>
      <c r="N61" s="40"/>
      <c r="O61" s="40"/>
      <c r="P61" s="40"/>
      <c r="Q61" s="40"/>
      <c r="R61" s="40"/>
      <c r="S61" s="40"/>
      <c r="T61" s="40"/>
      <c r="U61" s="40"/>
      <c r="V61" s="40">
        <f>0.88</f>
        <v>0.88</v>
      </c>
    </row>
    <row r="62" spans="1:24" x14ac:dyDescent="0.55000000000000004">
      <c r="A62" s="41" t="s">
        <v>11</v>
      </c>
      <c r="B62" s="41" t="str">
        <f>IF(B56="MDR/XDR Treatment Program","Adherence Probability (Yearly)",IF(B56="XDR Treat Program","Adherence Probability (Yearly)",IF(B56="MDR Treat Program","Adherence Probability (Yearly)",IF(B56="DS Treat Program","Adherence Probability (Yearly)",IF(B56="Latency Treat Program","Adherence Probability (Yearly)",IF(B56="Strain Diag Program","Latents Identified (Per Active Case)",IF(B56="DR Targeted Diagnosis Program","Latents Identified (Per DR-TB Case)",IF(B56="DS Targeted Diagnosis Program","Latents Identified (Per DS-TB Case)",IF(B56="Vaccination Program","...",IF(B56="Fixed Cost Program","...","..."))))))))))</f>
        <v>Latents Identified (Per DR-TB Case)</v>
      </c>
      <c r="C62" s="41" t="str">
        <f>IF(B62&lt;&gt;"...","Unique","")</f>
        <v>Unique</v>
      </c>
      <c r="D62" s="39" t="str">
        <f>IF(B62&lt;&gt;"...",IF(SUMPRODUCT(--(F62:V62&lt;&gt;""))=0,0,"N.A."),"")</f>
        <v>N.A.</v>
      </c>
      <c r="E62" s="41" t="str">
        <f t="shared" si="5"/>
        <v>OR</v>
      </c>
      <c r="F62" s="63"/>
      <c r="G62" s="63"/>
      <c r="H62" s="63"/>
      <c r="I62" s="63"/>
      <c r="J62" s="63"/>
      <c r="K62" s="63"/>
      <c r="L62" s="63"/>
      <c r="M62" s="63"/>
      <c r="N62" s="63"/>
      <c r="O62" s="63"/>
      <c r="P62" s="63"/>
      <c r="Q62" s="63"/>
      <c r="R62" s="63"/>
      <c r="S62" s="63"/>
      <c r="T62" s="63"/>
      <c r="U62" s="63"/>
      <c r="V62" s="63">
        <v>0</v>
      </c>
    </row>
    <row r="63" spans="1:24" x14ac:dyDescent="0.55000000000000004">
      <c r="A63" s="41" t="s">
        <v>11</v>
      </c>
      <c r="B63" s="41" t="str">
        <f>IF(B56="MDR/XDR Treatment Program","Treatment Duration (Months)",IF(B56="XDR Treat Program","Treatment Duration (Months)",IF(B56="MDR Treat Program","Treatment Duration (Months)",IF(B56="DS Treat Program","Treatment Duration (Months)",IF(B56="Latency Treat Program","Treatment Duration (Months)",IF(B56="Strain Diag Program","Latent Treatment Efficacy (After Completed Treatment)",IF(B56="DR Targeted Diagnosis Program","Latent Treatment Efficacy (After Completed Treatment)",IF(B56="DS Targeted Diagnosis Program","Latent Treatment Efficacy (After Completed Treatment)",IF(B56="Vaccination Program","...",IF(B56="Fixed Cost Program","...","..."))))))))))</f>
        <v>Latent Treatment Efficacy (After Completed Treatment)</v>
      </c>
      <c r="C63" s="41" t="str">
        <f>IF(B63&lt;&gt;"...","Unique","")</f>
        <v>Unique</v>
      </c>
      <c r="D63" s="39" t="str">
        <f>IF(B63&lt;&gt;"...",IF(SUMPRODUCT(--(F63:V63&lt;&gt;""))=0,0,"N.A."),"")</f>
        <v>N.A.</v>
      </c>
      <c r="E63" s="41" t="str">
        <f t="shared" si="5"/>
        <v>OR</v>
      </c>
      <c r="F63" s="40"/>
      <c r="G63" s="40"/>
      <c r="H63" s="40"/>
      <c r="I63" s="40"/>
      <c r="J63" s="40"/>
      <c r="K63" s="40"/>
      <c r="L63" s="40"/>
      <c r="M63" s="40"/>
      <c r="N63" s="40"/>
      <c r="O63" s="40"/>
      <c r="P63" s="40"/>
      <c r="Q63" s="40"/>
      <c r="R63" s="40"/>
      <c r="S63" s="40"/>
      <c r="T63" s="40"/>
      <c r="U63" s="40"/>
      <c r="V63" s="40">
        <f>(0.39+0.47)/2</f>
        <v>0.43</v>
      </c>
    </row>
    <row r="64" spans="1:24" x14ac:dyDescent="0.55000000000000004">
      <c r="A64" s="41" t="s">
        <v>11</v>
      </c>
      <c r="B64" s="41" t="str">
        <f>IF(B56="MDR/XDR Treatment Program","...",IF(B56="XDR Treat Program","...",IF(B56="MDR Treat Program","...",IF(B56="DS Treat Program","...",IF(B56="Latency Treat Program","...",IF(B56="Strain Diag Program","Latent Treatment Adherence Probability (Yearly)",IF(B56="DR Targeted Diagnosis Program","Latent Treatment Adherence Probability (Yearly)",IF(B56="DS Targeted Diagnosis Program","Latent Treatment Adherence Probability (Yearly)",IF(B56="Vaccination Program","...",IF(B56="Fixed Cost Program","...","..."))))))))))</f>
        <v>Latent Treatment Adherence Probability (Yearly)</v>
      </c>
      <c r="C64" s="41" t="str">
        <f>IF(B64&lt;&gt;"...","Unique","")</f>
        <v>Unique</v>
      </c>
      <c r="D64" s="39" t="str">
        <f>IF(B64&lt;&gt;"...",IF(SUMPRODUCT(--(F64:V64&lt;&gt;""))=0,0,"N.A."),"")</f>
        <v>N.A.</v>
      </c>
      <c r="E64" s="41" t="str">
        <f t="shared" si="5"/>
        <v>OR</v>
      </c>
      <c r="F64" s="40"/>
      <c r="G64" s="40"/>
      <c r="H64" s="40"/>
      <c r="I64" s="40"/>
      <c r="J64" s="40"/>
      <c r="K64" s="40"/>
      <c r="L64" s="40"/>
      <c r="M64" s="40"/>
      <c r="N64" s="40"/>
      <c r="O64" s="40"/>
      <c r="P64" s="40"/>
      <c r="Q64" s="40"/>
      <c r="R64" s="40"/>
      <c r="S64" s="40"/>
      <c r="T64" s="40"/>
      <c r="U64" s="40"/>
      <c r="V64" s="40">
        <v>0.5</v>
      </c>
    </row>
    <row r="65" spans="1:25" x14ac:dyDescent="0.55000000000000004">
      <c r="A65" s="41" t="s">
        <v>11</v>
      </c>
      <c r="B65" s="41" t="str">
        <f>IF(B56="MDR/XDR Treatment Program","...",IF(B56="XDR Treat Program","...",IF(B56="MDR Treat Program","...",IF(B56="DS Treat Program","...",IF(B56="Latency Treat Program","...",IF(B56="Strain Diag Program","Latent Treatment Duration (Months)",IF(B56="DR Targeted Diagnosis Program","Latent Treatment Duration (Months)",IF(B56="DS Targeted Diagnosis Program","Latent Treatment Duration (Months)",IF(B56="Vaccination Program","...",IF(B56="Fixed Cost Program","...","..."))))))))))</f>
        <v>Latent Treatment Duration (Months)</v>
      </c>
      <c r="C65" s="41" t="str">
        <f>IF(B65&lt;&gt;"...","Unique","")</f>
        <v>Unique</v>
      </c>
      <c r="D65" s="39" t="str">
        <f>IF(B65&lt;&gt;"...",IF(SUMPRODUCT(--(F65:V65&lt;&gt;""))=0,0,"N.A."),"")</f>
        <v>N.A.</v>
      </c>
      <c r="E65" s="41" t="str">
        <f t="shared" si="5"/>
        <v>OR</v>
      </c>
      <c r="F65" s="62"/>
      <c r="G65" s="62"/>
      <c r="H65" s="62"/>
      <c r="I65" s="62"/>
      <c r="J65" s="62"/>
      <c r="K65" s="62"/>
      <c r="L65" s="62"/>
      <c r="M65" s="62"/>
      <c r="N65" s="62"/>
      <c r="O65" s="62"/>
      <c r="P65" s="62"/>
      <c r="Q65" s="62"/>
      <c r="R65" s="62"/>
      <c r="S65" s="62"/>
      <c r="T65" s="62"/>
      <c r="U65" s="62"/>
      <c r="V65" s="62">
        <v>12</v>
      </c>
    </row>
    <row r="66" spans="1:25" x14ac:dyDescent="0.55000000000000004">
      <c r="A66" s="41"/>
    </row>
    <row r="67" spans="1:25" x14ac:dyDescent="0.55000000000000004">
      <c r="A67" s="41" t="str">
        <f>'Program Definitions'!$A$8</f>
        <v>ACF among PLHIV/IPT</v>
      </c>
      <c r="B67" s="41" t="s">
        <v>222</v>
      </c>
      <c r="C67" s="41"/>
      <c r="D67" s="41"/>
      <c r="E67" s="41"/>
      <c r="F67" s="41"/>
      <c r="G67" s="41"/>
      <c r="H67" s="41"/>
      <c r="I67" s="41"/>
      <c r="J67" s="41"/>
      <c r="K67" s="41"/>
      <c r="L67" s="41"/>
      <c r="M67" s="41"/>
      <c r="N67" s="41"/>
      <c r="O67" s="41"/>
      <c r="P67" s="41"/>
      <c r="Q67" s="41"/>
      <c r="R67" s="41"/>
      <c r="S67" s="41"/>
      <c r="T67" s="41"/>
      <c r="U67" s="41"/>
      <c r="V67" s="41"/>
    </row>
    <row r="68" spans="1:25" x14ac:dyDescent="0.55000000000000004">
      <c r="A68" s="41" t="s">
        <v>11</v>
      </c>
      <c r="B68" s="41"/>
      <c r="C68" s="41" t="s">
        <v>8</v>
      </c>
      <c r="D68" s="41" t="s">
        <v>9</v>
      </c>
      <c r="E68" s="41"/>
      <c r="F68" s="41">
        <v>2000</v>
      </c>
      <c r="G68" s="41">
        <v>2001</v>
      </c>
      <c r="H68" s="41">
        <v>2002</v>
      </c>
      <c r="I68" s="41">
        <v>2003</v>
      </c>
      <c r="J68" s="41">
        <v>2004</v>
      </c>
      <c r="K68" s="41">
        <v>2005</v>
      </c>
      <c r="L68" s="41">
        <v>2006</v>
      </c>
      <c r="M68" s="41">
        <v>2007</v>
      </c>
      <c r="N68" s="41">
        <v>2008</v>
      </c>
      <c r="O68" s="41">
        <v>2009</v>
      </c>
      <c r="P68" s="41">
        <v>2010</v>
      </c>
      <c r="Q68" s="41">
        <v>2011</v>
      </c>
      <c r="R68" s="41">
        <v>2012</v>
      </c>
      <c r="S68" s="41">
        <v>2013</v>
      </c>
      <c r="T68" s="41">
        <v>2014</v>
      </c>
      <c r="U68" s="41">
        <v>2015</v>
      </c>
      <c r="V68" s="41">
        <v>2016</v>
      </c>
    </row>
    <row r="69" spans="1:25" x14ac:dyDescent="0.55000000000000004">
      <c r="A69" s="41" t="s">
        <v>12</v>
      </c>
      <c r="B69" s="41" t="str">
        <f>IF(B67="Fixed Cost Program","...","Program Coverage")</f>
        <v>Program Coverage</v>
      </c>
      <c r="C69" s="41" t="str">
        <f>IF(B69&lt;&gt;"...","Number","")</f>
        <v>Number</v>
      </c>
      <c r="D69" s="39" t="str">
        <f>IF(B69&lt;&gt;"...",IF(SUMPRODUCT(--(F69:V69&lt;&gt;""))=0,0,"N.A."),"")</f>
        <v>N.A.</v>
      </c>
      <c r="E69" s="41" t="str">
        <f>IF(B69&lt;&gt;"...","OR","")</f>
        <v>OR</v>
      </c>
      <c r="F69" s="60"/>
      <c r="G69" s="60"/>
      <c r="H69" s="60"/>
      <c r="I69" s="60"/>
      <c r="J69" s="60"/>
      <c r="K69" s="60"/>
      <c r="L69" s="60"/>
      <c r="M69" s="60"/>
      <c r="N69" s="60"/>
      <c r="O69" s="60"/>
      <c r="P69" s="60"/>
      <c r="Q69" s="60"/>
      <c r="R69" s="60"/>
      <c r="S69" s="60"/>
      <c r="T69" s="60"/>
      <c r="U69" s="60"/>
      <c r="V69" s="44">
        <v>32164.23</v>
      </c>
    </row>
    <row r="70" spans="1:25" x14ac:dyDescent="0.55000000000000004">
      <c r="A70" s="41" t="s">
        <v>11</v>
      </c>
      <c r="B70" s="41" t="s">
        <v>13</v>
      </c>
      <c r="C70" s="41" t="s">
        <v>15</v>
      </c>
      <c r="D70" s="39" t="str">
        <f>IF(SUMPRODUCT(--(F70:V70&lt;&gt;""))=0,0,"N.A.")</f>
        <v>N.A.</v>
      </c>
      <c r="E70" s="41" t="s">
        <v>16</v>
      </c>
      <c r="F70" s="65"/>
      <c r="G70" s="65"/>
      <c r="H70" s="65"/>
      <c r="I70" s="65"/>
      <c r="J70" s="65"/>
      <c r="K70" s="65"/>
      <c r="L70" s="65"/>
      <c r="M70" s="65"/>
      <c r="N70" s="65"/>
      <c r="O70" s="65"/>
      <c r="P70" s="65"/>
      <c r="Q70" s="65"/>
      <c r="R70" s="65"/>
      <c r="S70" s="65"/>
      <c r="T70" s="65"/>
      <c r="U70" s="65"/>
      <c r="V70" s="65">
        <f>V69*D71-V334</f>
        <v>178656962.39070001</v>
      </c>
      <c r="W70" s="73"/>
      <c r="X70" s="74"/>
    </row>
    <row r="71" spans="1:25" x14ac:dyDescent="0.55000000000000004">
      <c r="A71" s="41" t="s">
        <v>11</v>
      </c>
      <c r="B71" s="41" t="str">
        <f>IF(B67="Fixed Cost Program","...",CONCATENATE("Unit Cost Estimate",IF(C69="Fraction"," (Per 1%)","")))</f>
        <v>Unit Cost Estimate</v>
      </c>
      <c r="C71" s="41" t="str">
        <f>IF(B71&lt;&gt;"...","USD","")</f>
        <v>USD</v>
      </c>
      <c r="D71" s="66">
        <v>5801.89</v>
      </c>
      <c r="E71" s="41" t="str">
        <f t="shared" ref="E71:E76" si="6">IF(B71&lt;&gt;"...","OR","")</f>
        <v>OR</v>
      </c>
      <c r="F71" s="65" t="str">
        <f>IF(B71&lt;&gt;"...","...","")</f>
        <v>...</v>
      </c>
      <c r="G71" s="65" t="str">
        <f>IF(B71&lt;&gt;"...","...","")</f>
        <v>...</v>
      </c>
      <c r="H71" s="65" t="str">
        <f>IF(B71&lt;&gt;"...","...","")</f>
        <v>...</v>
      </c>
      <c r="I71" s="65" t="str">
        <f>IF(B71&lt;&gt;"...","...","")</f>
        <v>...</v>
      </c>
      <c r="J71" s="65" t="str">
        <f>IF(B71&lt;&gt;"...","...","")</f>
        <v>...</v>
      </c>
      <c r="K71" s="65" t="str">
        <f>IF(B71&lt;&gt;"...","...","")</f>
        <v>...</v>
      </c>
      <c r="L71" s="65" t="str">
        <f>IF(B71&lt;&gt;"...","...","")</f>
        <v>...</v>
      </c>
      <c r="M71" s="65" t="str">
        <f>IF(B71&lt;&gt;"...","...","")</f>
        <v>...</v>
      </c>
      <c r="N71" s="65" t="str">
        <f>IF(B71&lt;&gt;"...","...","")</f>
        <v>...</v>
      </c>
      <c r="O71" s="65" t="str">
        <f>IF(B71&lt;&gt;"...","...","")</f>
        <v>...</v>
      </c>
      <c r="P71" s="65" t="str">
        <f>IF(B71&lt;&gt;"...","...","")</f>
        <v>...</v>
      </c>
      <c r="Q71" s="65" t="str">
        <f>IF(B71&lt;&gt;"...","...","")</f>
        <v>...</v>
      </c>
      <c r="R71" s="65" t="str">
        <f>IF(B71&lt;&gt;"...","...","")</f>
        <v>...</v>
      </c>
      <c r="S71" s="65" t="str">
        <f>IF(B71&lt;&gt;"...","...","")</f>
        <v>...</v>
      </c>
      <c r="T71" s="65" t="str">
        <f>IF(B71&lt;&gt;"...","...","")</f>
        <v>...</v>
      </c>
      <c r="U71" s="65" t="str">
        <f>IF(B71&lt;&gt;"...","...","")</f>
        <v>...</v>
      </c>
      <c r="V71" s="65" t="str">
        <f>IF(B71&lt;&gt;"...","...","")</f>
        <v>...</v>
      </c>
      <c r="Y71" s="55"/>
    </row>
    <row r="72" spans="1:25" x14ac:dyDescent="0.55000000000000004">
      <c r="A72" s="41" t="s">
        <v>17</v>
      </c>
      <c r="B72" s="41" t="str">
        <f>IF(B67="MDR/XDR Treatment Program","Efficacy (After Completed Treatment)",IF(B67="XDR Treat Program","Efficacy (After Completed Treatment)",IF(B67="MDR Treat Program","Efficacy (After Completed Treatment)",IF(B67="DS Treat Program","Efficacy (After Completed Treatment)",IF(B67="Latency Treat Program","Efficacy (After Completed Treatment)",IF(B67="Strain Diag Program","Sensitivity (Detection Probability)",IF(B67="DR Targeted Diagnosis Program","Sensitivity (Detection Probability)",IF(B67="DS Targeted Diagnosis Program","Sensitivity (Detection Probability)",IF(B67="Vaccination Program","Vaccination Effectiveness Probability",IF(B67="Fixed Cost Program","...","..."))))))))))</f>
        <v>Sensitivity (Detection Probability)</v>
      </c>
      <c r="C72" s="41" t="str">
        <f>IF(B72&lt;&gt;"...","Unique","")</f>
        <v>Unique</v>
      </c>
      <c r="D72" s="39" t="str">
        <f>IF(B72&lt;&gt;"...",IF(SUMPRODUCT(--(F72:V72&lt;&gt;""))=0,0,"N.A."),"")</f>
        <v>N.A.</v>
      </c>
      <c r="E72" s="41" t="str">
        <f t="shared" si="6"/>
        <v>OR</v>
      </c>
      <c r="F72" s="40"/>
      <c r="G72" s="40"/>
      <c r="H72" s="40"/>
      <c r="I72" s="40"/>
      <c r="J72" s="40"/>
      <c r="K72" s="40"/>
      <c r="L72" s="40"/>
      <c r="M72" s="40"/>
      <c r="N72" s="40"/>
      <c r="O72" s="40"/>
      <c r="P72" s="40"/>
      <c r="Q72" s="40"/>
      <c r="R72" s="40"/>
      <c r="S72" s="40"/>
      <c r="T72" s="40"/>
      <c r="U72" s="40"/>
      <c r="V72" s="40">
        <f>0.88</f>
        <v>0.88</v>
      </c>
    </row>
    <row r="73" spans="1:25" x14ac:dyDescent="0.55000000000000004">
      <c r="A73" s="41" t="s">
        <v>11</v>
      </c>
      <c r="B73" s="41" t="str">
        <f>IF(B67="MDR/XDR Treatment Program","Adherence Probability (Yearly)",IF(B67="XDR Treat Program","Adherence Probability (Yearly)",IF(B67="MDR Treat Program","Adherence Probability (Yearly)",IF(B67="DS Treat Program","Adherence Probability (Yearly)",IF(B67="Latency Treat Program","Adherence Probability (Yearly)",IF(B67="Strain Diag Program","Latents Identified (Per Active Case)",IF(B67="DR Targeted Diagnosis Program","Latents Identified (Per DR-TB Case)",IF(B67="DS Targeted Diagnosis Program","Latents Identified (Per DS-TB Case)",IF(B67="Vaccination Program","...",IF(B67="Fixed Cost Program","...","..."))))))))))</f>
        <v>Latents Identified (Per Active Case)</v>
      </c>
      <c r="C73" s="41" t="str">
        <f>IF(B73&lt;&gt;"...","Unique","")</f>
        <v>Unique</v>
      </c>
      <c r="D73" s="39" t="str">
        <f>IF(B73&lt;&gt;"...",IF(SUMPRODUCT(--(F73:V73&lt;&gt;""))=0,0,"N.A."),"")</f>
        <v>N.A.</v>
      </c>
      <c r="E73" s="41" t="str">
        <f t="shared" si="6"/>
        <v>OR</v>
      </c>
      <c r="F73" s="63"/>
      <c r="G73" s="63"/>
      <c r="H73" s="63"/>
      <c r="I73" s="63"/>
      <c r="J73" s="63"/>
      <c r="K73" s="63"/>
      <c r="L73" s="63"/>
      <c r="M73" s="63"/>
      <c r="N73" s="63"/>
      <c r="O73" s="63"/>
      <c r="P73" s="63"/>
      <c r="Q73" s="63"/>
      <c r="R73" s="63"/>
      <c r="S73" s="63"/>
      <c r="T73" s="63"/>
      <c r="U73" s="63"/>
      <c r="V73" s="63">
        <v>0</v>
      </c>
    </row>
    <row r="74" spans="1:25" x14ac:dyDescent="0.55000000000000004">
      <c r="A74" s="41" t="s">
        <v>11</v>
      </c>
      <c r="B74" s="41" t="str">
        <f>IF(B67="MDR/XDR Treatment Program","Treatment Duration (Months)",IF(B67="XDR Treat Program","Treatment Duration (Months)",IF(B67="MDR Treat Program","Treatment Duration (Months)",IF(B67="DS Treat Program","Treatment Duration (Months)",IF(B67="Latency Treat Program","Treatment Duration (Months)",IF(B67="Strain Diag Program","Latent Treatment Efficacy (After Completed Treatment)",IF(B67="DR Targeted Diagnosis Program","Latent Treatment Efficacy (After Completed Treatment)",IF(B67="DS Targeted Diagnosis Program","Latent Treatment Efficacy (After Completed Treatment)",IF(B67="Vaccination Program","...",IF(B67="Fixed Cost Program","...","..."))))))))))</f>
        <v>Latent Treatment Efficacy (After Completed Treatment)</v>
      </c>
      <c r="C74" s="41" t="str">
        <f>IF(B74&lt;&gt;"...","Unique","")</f>
        <v>Unique</v>
      </c>
      <c r="D74" s="39" t="str">
        <f>IF(B74&lt;&gt;"...",IF(SUMPRODUCT(--(F74:V74&lt;&gt;""))=0,0,"N.A."),"")</f>
        <v>N.A.</v>
      </c>
      <c r="E74" s="41" t="str">
        <f t="shared" si="6"/>
        <v>OR</v>
      </c>
      <c r="F74" s="40"/>
      <c r="G74" s="40"/>
      <c r="H74" s="40"/>
      <c r="I74" s="40"/>
      <c r="J74" s="40"/>
      <c r="K74" s="40"/>
      <c r="L74" s="40"/>
      <c r="M74" s="40"/>
      <c r="N74" s="40"/>
      <c r="O74" s="40"/>
      <c r="P74" s="40"/>
      <c r="Q74" s="40"/>
      <c r="R74" s="40"/>
      <c r="S74" s="40"/>
      <c r="T74" s="40"/>
      <c r="U74" s="40"/>
      <c r="V74" s="40">
        <f>(0.37+0.32)/2</f>
        <v>0.34499999999999997</v>
      </c>
    </row>
    <row r="75" spans="1:25" x14ac:dyDescent="0.55000000000000004">
      <c r="A75" s="41" t="s">
        <v>11</v>
      </c>
      <c r="B75" s="41" t="str">
        <f>IF(B67="MDR/XDR Treatment Program","...",IF(B67="XDR Treat Program","...",IF(B67="MDR Treat Program","...",IF(B67="DS Treat Program","...",IF(B67="Latency Treat Program","...",IF(B67="Strain Diag Program","Latent Treatment Adherence Probability (Yearly)",IF(B67="DR Targeted Diagnosis Program","Latent Treatment Adherence Probability (Yearly)",IF(B67="DS Targeted Diagnosis Program","Latent Treatment Adherence Probability (Yearly)",IF(B67="Vaccination Program","...",IF(B67="Fixed Cost Program","...","..."))))))))))</f>
        <v>Latent Treatment Adherence Probability (Yearly)</v>
      </c>
      <c r="C75" s="41" t="str">
        <f>IF(B75&lt;&gt;"...","Unique","")</f>
        <v>Unique</v>
      </c>
      <c r="D75" s="39" t="str">
        <f>IF(B75&lt;&gt;"...",IF(SUMPRODUCT(--(F75:V75&lt;&gt;""))=0,0,"N.A."),"")</f>
        <v>N.A.</v>
      </c>
      <c r="E75" s="41" t="str">
        <f t="shared" si="6"/>
        <v>OR</v>
      </c>
      <c r="F75" s="40"/>
      <c r="G75" s="40"/>
      <c r="H75" s="40"/>
      <c r="I75" s="40"/>
      <c r="J75" s="40"/>
      <c r="K75" s="40"/>
      <c r="L75" s="40"/>
      <c r="M75" s="40"/>
      <c r="N75" s="40"/>
      <c r="O75" s="40"/>
      <c r="P75" s="40"/>
      <c r="Q75" s="40"/>
      <c r="R75" s="40"/>
      <c r="S75" s="40"/>
      <c r="T75" s="40"/>
      <c r="U75" s="40"/>
      <c r="V75" s="40">
        <f>(0.82+0.85)/2</f>
        <v>0.83499999999999996</v>
      </c>
    </row>
    <row r="76" spans="1:25" x14ac:dyDescent="0.55000000000000004">
      <c r="A76" s="41" t="s">
        <v>11</v>
      </c>
      <c r="B76" s="41" t="str">
        <f>IF(B67="MDR/XDR Treatment Program","...",IF(B67="XDR Treat Program","...",IF(B67="MDR Treat Program","...",IF(B67="DS Treat Program","...",IF(B67="Latency Treat Program","...",IF(B67="Strain Diag Program","Latent Treatment Duration (Months)",IF(B67="DR Targeted Diagnosis Program","Latent Treatment Duration (Months)",IF(B67="DS Targeted Diagnosis Program","Latent Treatment Duration (Months)",IF(B67="Vaccination Program","...",IF(B67="Fixed Cost Program","...","..."))))))))))</f>
        <v>Latent Treatment Duration (Months)</v>
      </c>
      <c r="C76" s="41" t="str">
        <f>IF(B76&lt;&gt;"...","Unique","")</f>
        <v>Unique</v>
      </c>
      <c r="D76" s="39" t="str">
        <f>IF(B76&lt;&gt;"...",IF(SUMPRODUCT(--(F76:V76&lt;&gt;""))=0,0,"N.A."),"")</f>
        <v>N.A.</v>
      </c>
      <c r="E76" s="41" t="str">
        <f t="shared" si="6"/>
        <v>OR</v>
      </c>
      <c r="F76" s="62"/>
      <c r="G76" s="62"/>
      <c r="H76" s="62"/>
      <c r="I76" s="62"/>
      <c r="J76" s="62"/>
      <c r="K76" s="62"/>
      <c r="L76" s="62"/>
      <c r="M76" s="62"/>
      <c r="N76" s="62"/>
      <c r="O76" s="62"/>
      <c r="P76" s="62"/>
      <c r="Q76" s="62"/>
      <c r="R76" s="62"/>
      <c r="S76" s="62"/>
      <c r="T76" s="62"/>
      <c r="U76" s="62"/>
      <c r="V76" s="62">
        <v>12</v>
      </c>
    </row>
    <row r="77" spans="1:25" x14ac:dyDescent="0.55000000000000004">
      <c r="A77" s="41"/>
    </row>
    <row r="78" spans="1:25" x14ac:dyDescent="0.55000000000000004">
      <c r="A78" s="41" t="str">
        <f>'Program Definitions'!$A$9</f>
        <v>DS TB Treatment</v>
      </c>
      <c r="B78" s="41" t="s">
        <v>209</v>
      </c>
      <c r="C78" s="41"/>
      <c r="D78" s="41"/>
      <c r="E78" s="41"/>
      <c r="F78" s="41"/>
      <c r="G78" s="41"/>
      <c r="H78" s="41"/>
      <c r="I78" s="41"/>
      <c r="J78" s="41"/>
      <c r="K78" s="41"/>
      <c r="L78" s="41"/>
      <c r="M78" s="41"/>
      <c r="N78" s="41"/>
      <c r="O78" s="41"/>
      <c r="P78" s="41"/>
      <c r="Q78" s="41"/>
      <c r="R78" s="41"/>
      <c r="S78" s="41"/>
      <c r="T78" s="41"/>
      <c r="U78" s="41"/>
      <c r="V78" s="41"/>
    </row>
    <row r="79" spans="1:25" x14ac:dyDescent="0.55000000000000004">
      <c r="A79" s="41" t="s">
        <v>11</v>
      </c>
      <c r="B79" s="41"/>
      <c r="C79" s="41" t="s">
        <v>8</v>
      </c>
      <c r="D79" s="41" t="s">
        <v>9</v>
      </c>
      <c r="E79" s="41"/>
      <c r="F79" s="41">
        <v>2000</v>
      </c>
      <c r="G79" s="41">
        <v>2001</v>
      </c>
      <c r="H79" s="41">
        <v>2002</v>
      </c>
      <c r="I79" s="41">
        <v>2003</v>
      </c>
      <c r="J79" s="41">
        <v>2004</v>
      </c>
      <c r="K79" s="41">
        <v>2005</v>
      </c>
      <c r="L79" s="41">
        <v>2006</v>
      </c>
      <c r="M79" s="41">
        <v>2007</v>
      </c>
      <c r="N79" s="41">
        <v>2008</v>
      </c>
      <c r="O79" s="41">
        <v>2009</v>
      </c>
      <c r="P79" s="41">
        <v>2010</v>
      </c>
      <c r="Q79" s="41">
        <v>2011</v>
      </c>
      <c r="R79" s="41">
        <v>2012</v>
      </c>
      <c r="S79" s="41">
        <v>2013</v>
      </c>
      <c r="T79" s="41">
        <v>2014</v>
      </c>
      <c r="U79" s="41">
        <v>2015</v>
      </c>
      <c r="V79" s="41">
        <v>2016</v>
      </c>
    </row>
    <row r="80" spans="1:25" x14ac:dyDescent="0.55000000000000004">
      <c r="A80" s="41" t="s">
        <v>12</v>
      </c>
      <c r="B80" s="41" t="str">
        <f>IF(B78="Fixed Cost Program","...","Program Coverage")</f>
        <v>Program Coverage</v>
      </c>
      <c r="C80" s="41" t="str">
        <f>IF(B80&lt;&gt;"...","Number","")</f>
        <v>Number</v>
      </c>
      <c r="D80" s="39" t="str">
        <f>IF(B80&lt;&gt;"...",IF(SUMPRODUCT(--(F80:V80&lt;&gt;""))=0,0,"N.A."),"")</f>
        <v>N.A.</v>
      </c>
      <c r="E80" s="41" t="str">
        <f>IF(B80&lt;&gt;"...","OR","")</f>
        <v>OR</v>
      </c>
      <c r="F80" s="60"/>
      <c r="G80" s="60"/>
      <c r="H80" s="60"/>
      <c r="I80" s="60"/>
      <c r="J80" s="60"/>
      <c r="K80" s="60"/>
      <c r="L80" s="60"/>
      <c r="M80" s="60"/>
      <c r="N80" s="60"/>
      <c r="O80" s="60"/>
      <c r="P80" s="60"/>
      <c r="Q80" s="60"/>
      <c r="R80" s="60"/>
      <c r="S80" s="60"/>
      <c r="T80" s="60"/>
      <c r="U80" s="60">
        <f>SUM('[1]Notified Cases'!T2:T5,'[1]Notified Cases'!T8,'[1]Notified Cases'!T12,'[1]Notified Cases'!T44:T47,'[1]Notified Cases'!T50,'[1]Notified Cases'!T54)*'[1]Active TB Testing and Treatment'!T16</f>
        <v>14789.443564602032</v>
      </c>
      <c r="V80" s="44"/>
    </row>
    <row r="81" spans="1:27" x14ac:dyDescent="0.55000000000000004">
      <c r="A81" s="41" t="s">
        <v>11</v>
      </c>
      <c r="B81" s="41" t="s">
        <v>13</v>
      </c>
      <c r="C81" s="41" t="s">
        <v>15</v>
      </c>
      <c r="D81" s="39" t="str">
        <f>IF(SUMPRODUCT(--(F81:V81&lt;&gt;""))=0,0,"N.A.")</f>
        <v>N.A.</v>
      </c>
      <c r="E81" s="41" t="s">
        <v>16</v>
      </c>
      <c r="F81" s="65"/>
      <c r="G81" s="65"/>
      <c r="H81" s="65"/>
      <c r="I81" s="65"/>
      <c r="J81" s="65"/>
      <c r="K81" s="65"/>
      <c r="L81" s="65"/>
      <c r="M81" s="65"/>
      <c r="N81" s="65"/>
      <c r="O81" s="65"/>
      <c r="P81" s="65"/>
      <c r="Q81" s="65"/>
      <c r="R81" s="65"/>
      <c r="S81" s="65"/>
      <c r="T81" s="65"/>
      <c r="U81" s="65">
        <f>41512361</f>
        <v>41512361</v>
      </c>
      <c r="V81" s="65"/>
    </row>
    <row r="82" spans="1:27" x14ac:dyDescent="0.55000000000000004">
      <c r="A82" s="41" t="s">
        <v>11</v>
      </c>
      <c r="B82" s="41" t="str">
        <f>IF(B78="Fixed Cost Program","...",CONCATENATE("Unit Cost Estimate",IF(C80="Fraction"," (Per 1%)","")))</f>
        <v>Unit Cost Estimate</v>
      </c>
      <c r="C82" s="41" t="str">
        <f>IF(B82&lt;&gt;"...","USD","")</f>
        <v>USD</v>
      </c>
      <c r="D82" s="66">
        <f>2807*0.87*2</f>
        <v>4884.18</v>
      </c>
      <c r="E82" s="41" t="str">
        <f t="shared" ref="E82:E87" si="7">IF(B82&lt;&gt;"...","OR","")</f>
        <v>OR</v>
      </c>
      <c r="F82" s="65" t="str">
        <f>IF(B82&lt;&gt;"...","...","")</f>
        <v>...</v>
      </c>
      <c r="G82" s="65" t="str">
        <f>IF(B82&lt;&gt;"...","...","")</f>
        <v>...</v>
      </c>
      <c r="H82" s="65" t="str">
        <f>IF(B82&lt;&gt;"...","...","")</f>
        <v>...</v>
      </c>
      <c r="I82" s="65" t="str">
        <f>IF(B82&lt;&gt;"...","...","")</f>
        <v>...</v>
      </c>
      <c r="J82" s="65" t="str">
        <f>IF(B82&lt;&gt;"...","...","")</f>
        <v>...</v>
      </c>
      <c r="K82" s="65" t="str">
        <f>IF(B82&lt;&gt;"...","...","")</f>
        <v>...</v>
      </c>
      <c r="L82" s="65" t="str">
        <f>IF(B82&lt;&gt;"...","...","")</f>
        <v>...</v>
      </c>
      <c r="M82" s="65" t="str">
        <f>IF(B82&lt;&gt;"...","...","")</f>
        <v>...</v>
      </c>
      <c r="N82" s="65" t="str">
        <f>IF(B82&lt;&gt;"...","...","")</f>
        <v>...</v>
      </c>
      <c r="O82" s="65" t="str">
        <f>IF(B82&lt;&gt;"...","...","")</f>
        <v>...</v>
      </c>
      <c r="P82" s="65" t="str">
        <f>IF(B82&lt;&gt;"...","...","")</f>
        <v>...</v>
      </c>
      <c r="Q82" s="65" t="str">
        <f>IF(B82&lt;&gt;"...","...","")</f>
        <v>...</v>
      </c>
      <c r="R82" s="65" t="str">
        <f>IF(B82&lt;&gt;"...","...","")</f>
        <v>...</v>
      </c>
      <c r="S82" s="65" t="str">
        <f>IF(B82&lt;&gt;"...","...","")</f>
        <v>...</v>
      </c>
      <c r="T82" s="65" t="str">
        <f>IF(B82&lt;&gt;"...","...","")</f>
        <v>...</v>
      </c>
      <c r="U82" s="65" t="str">
        <f>IF(B82&lt;&gt;"...","...","")</f>
        <v>...</v>
      </c>
      <c r="V82" s="65" t="str">
        <f>IF(B82&lt;&gt;"...","...","")</f>
        <v>...</v>
      </c>
      <c r="X82" s="55"/>
      <c r="Y82" s="41"/>
      <c r="Z82" s="41"/>
    </row>
    <row r="83" spans="1:27" x14ac:dyDescent="0.55000000000000004">
      <c r="A83" s="41" t="s">
        <v>17</v>
      </c>
      <c r="B83" s="41" t="str">
        <f>IF(B78="MDR/XDR Treatment Program","Efficacy (After Completed Treatment)",IF(B78="XDR Treat Program","Efficacy (After Completed Treatment)",IF(B78="MDR Treat Program","Efficacy (After Completed Treatment)",IF(B78="DS Treat Program","Efficacy (After Completed Treatment)",IF(B78="Latency Treat Program","Efficacy (After Completed Treatment)",IF(B78="Strain Diag Program","Sensitivity (Detection Probability)",IF(B78="DR Targeted Diagnosis Program","Sensitivity (Detection Probability)",IF(B78="DS Targeted Diagnosis Program","Sensitivity (Detection Probability)",IF(B78="Vaccination Program","Vaccination Effectiveness Probability",IF(B78="Fixed Cost Program","...","..."))))))))))</f>
        <v>Efficacy (After Completed Treatment)</v>
      </c>
      <c r="C83" s="41" t="str">
        <f>IF(B83&lt;&gt;"...","Unique","")</f>
        <v>Unique</v>
      </c>
      <c r="D83" s="39" t="str">
        <f>IF(B83&lt;&gt;"...",IF(SUMPRODUCT(--(F83:V83&lt;&gt;""))=0,0,"N.A."),"")</f>
        <v>N.A.</v>
      </c>
      <c r="E83" s="41" t="str">
        <f t="shared" si="7"/>
        <v>OR</v>
      </c>
      <c r="F83" s="40"/>
      <c r="G83" s="40"/>
      <c r="H83" s="40"/>
      <c r="I83" s="40"/>
      <c r="J83" s="40"/>
      <c r="K83" s="40"/>
      <c r="L83" s="40"/>
      <c r="M83" s="40"/>
      <c r="N83" s="40"/>
      <c r="O83" s="40"/>
      <c r="P83" s="40"/>
      <c r="Q83" s="40"/>
      <c r="R83" s="40"/>
      <c r="S83" s="40"/>
      <c r="T83" s="40"/>
      <c r="U83" s="40">
        <f>89.1%/1.125</f>
        <v>0.79199999999999993</v>
      </c>
      <c r="V83" s="40"/>
      <c r="Y83" s="69"/>
      <c r="Z83" s="69"/>
    </row>
    <row r="84" spans="1:27" x14ac:dyDescent="0.55000000000000004">
      <c r="A84" s="41" t="s">
        <v>11</v>
      </c>
      <c r="B84" s="41" t="str">
        <f>IF(B78="MDR/XDR Treatment Program","Adherence Probability (Yearly)",IF(B78="XDR Treat Program","Adherence Probability (Yearly)",IF(B78="MDR Treat Program","Adherence Probability (Yearly)",IF(B78="DS Treat Program","Adherence Probability (Yearly)",IF(B78="Latency Treat Program","Adherence Probability (Yearly)",IF(B78="Strain Diag Program","Latents Identified (Per Active Case)",IF(B78="DR Targeted Diagnosis Program","Latents Identified (Per DR-TB Case)",IF(B78="DS Targeted Diagnosis Program","Latents Identified (Per DS-TB Case)",IF(B78="Vaccination Program","...",IF(B78="Fixed Cost Program","...","..."))))))))))</f>
        <v>Adherence Probability (Yearly)</v>
      </c>
      <c r="C84" s="41" t="str">
        <f>IF(B84&lt;&gt;"...","Unique","")</f>
        <v>Unique</v>
      </c>
      <c r="D84" s="39" t="str">
        <f>IF(B84&lt;&gt;"...",IF(SUMPRODUCT(--(F84:V84&lt;&gt;""))=0,0,"N.A."),"")</f>
        <v>N.A.</v>
      </c>
      <c r="E84" s="41" t="str">
        <f t="shared" si="7"/>
        <v>OR</v>
      </c>
      <c r="F84" s="40"/>
      <c r="G84" s="40"/>
      <c r="H84" s="40"/>
      <c r="I84" s="40"/>
      <c r="J84" s="40"/>
      <c r="K84" s="40"/>
      <c r="L84" s="40"/>
      <c r="M84" s="40"/>
      <c r="N84" s="40"/>
      <c r="O84" s="40"/>
      <c r="P84" s="40"/>
      <c r="Q84" s="40"/>
      <c r="R84" s="40"/>
      <c r="S84" s="40"/>
      <c r="T84" s="40"/>
      <c r="U84" s="40">
        <v>0.93799999999999994</v>
      </c>
      <c r="V84" s="40"/>
    </row>
    <row r="85" spans="1:27" x14ac:dyDescent="0.55000000000000004">
      <c r="A85" s="41" t="s">
        <v>11</v>
      </c>
      <c r="B85" s="41" t="str">
        <f>IF(B78="MDR/XDR Treatment Program","Treatment Duration (Months)",IF(B78="XDR Treat Program","Treatment Duration (Months)",IF(B78="MDR Treat Program","Treatment Duration (Months)",IF(B78="DS Treat Program","Treatment Duration (Months)",IF(B78="Latency Treat Program","Treatment Duration (Months)",IF(B78="Strain Diag Program","Latent Treatment Efficacy (After Completed Treatment)",IF(B78="DR Targeted Diagnosis Program","Latent Treatment Efficacy (After Completed Treatment)",IF(B78="DS Targeted Diagnosis Program","Latent Treatment Efficacy (After Completed Treatment)",IF(B78="Vaccination Program","...",IF(B78="Fixed Cost Program","...","..."))))))))))</f>
        <v>Treatment Duration (Months)</v>
      </c>
      <c r="C85" s="41" t="str">
        <f>IF(B85&lt;&gt;"...","Unique","")</f>
        <v>Unique</v>
      </c>
      <c r="D85" s="39" t="str">
        <f>IF(B85&lt;&gt;"...",IF(SUMPRODUCT(--(F85:V85&lt;&gt;""))=0,0,"N.A."),"")</f>
        <v>N.A.</v>
      </c>
      <c r="E85" s="41" t="str">
        <f t="shared" si="7"/>
        <v>OR</v>
      </c>
      <c r="F85" s="64"/>
      <c r="G85" s="64"/>
      <c r="H85" s="64"/>
      <c r="I85" s="64"/>
      <c r="J85" s="64"/>
      <c r="K85" s="64"/>
      <c r="L85" s="64"/>
      <c r="M85" s="64"/>
      <c r="N85" s="64"/>
      <c r="O85" s="64"/>
      <c r="P85" s="64"/>
      <c r="Q85" s="64"/>
      <c r="R85" s="64"/>
      <c r="S85" s="64"/>
      <c r="T85" s="64"/>
      <c r="U85" s="64">
        <v>6</v>
      </c>
      <c r="V85" s="64"/>
      <c r="Z85" s="69"/>
    </row>
    <row r="86" spans="1:27" x14ac:dyDescent="0.55000000000000004">
      <c r="A86" s="41" t="s">
        <v>11</v>
      </c>
      <c r="B86" s="41" t="str">
        <f>IF(B78="MDR/XDR Treatment Program","...",IF(B78="XDR Treat Program","...",IF(B78="MDR Treat Program","...",IF(B78="DS Treat Program","...",IF(B78="Latency Treat Program","...",IF(B78="Strain Diag Program","Latent Treatment Adherence Probability (Yearly)",IF(B78="DR Targeted Diagnosis Program","Latent Treatment Adherence Probability (Yearly)",IF(B78="DS Targeted Diagnosis Program","Latent Treatment Adherence Probability (Yearly)",IF(B78="Vaccination Program","...",IF(B78="Fixed Cost Program","...","..."))))))))))</f>
        <v>...</v>
      </c>
      <c r="C86" s="41" t="str">
        <f>IF(B86&lt;&gt;"...","Unique","")</f>
        <v/>
      </c>
      <c r="D86" s="39" t="str">
        <f>IF(B86&lt;&gt;"...",IF(SUMPRODUCT(--(F86:V86&lt;&gt;""))=0,0,"N.A."),"")</f>
        <v/>
      </c>
      <c r="E86" s="41" t="str">
        <f t="shared" si="7"/>
        <v/>
      </c>
      <c r="F86" s="40"/>
      <c r="G86" s="40"/>
      <c r="H86" s="40"/>
      <c r="I86" s="40"/>
      <c r="J86" s="40"/>
      <c r="K86" s="40"/>
      <c r="L86" s="40"/>
      <c r="M86" s="40"/>
      <c r="N86" s="40"/>
      <c r="O86" s="40"/>
      <c r="P86" s="40"/>
      <c r="Q86" s="40"/>
      <c r="R86" s="40"/>
      <c r="S86" s="40"/>
      <c r="T86" s="40"/>
      <c r="U86" s="40"/>
      <c r="V86" s="40"/>
    </row>
    <row r="87" spans="1:27" x14ac:dyDescent="0.55000000000000004">
      <c r="A87" s="41" t="s">
        <v>11</v>
      </c>
      <c r="B87" s="41" t="str">
        <f>IF(B78="MDR/XDR Treatment Program","...",IF(B78="XDR Treat Program","...",IF(B78="MDR Treat Program","...",IF(B78="DS Treat Program","...",IF(B78="Latency Treat Program","...",IF(B78="Strain Diag Program","Latent Treatment Duration (Months)",IF(B78="DR Targeted Diagnosis Program","Latent Treatment Duration (Months)",IF(B78="DS Targeted Diagnosis Program","Latent Treatment Duration (Months)",IF(B78="Vaccination Program","...",IF(B78="Fixed Cost Program","...","..."))))))))))</f>
        <v>...</v>
      </c>
      <c r="C87" s="41" t="str">
        <f>IF(B87&lt;&gt;"...","Unique","")</f>
        <v/>
      </c>
      <c r="D87" s="39" t="str">
        <f>IF(B87&lt;&gt;"...",IF(SUMPRODUCT(--(F87:V87&lt;&gt;""))=0,0,"N.A."),"")</f>
        <v/>
      </c>
      <c r="E87" s="41" t="str">
        <f t="shared" si="7"/>
        <v/>
      </c>
      <c r="F87" s="40"/>
      <c r="G87" s="40"/>
      <c r="H87" s="40"/>
      <c r="I87" s="40"/>
      <c r="J87" s="40"/>
      <c r="K87" s="40"/>
      <c r="L87" s="40"/>
      <c r="M87" s="40"/>
      <c r="N87" s="40"/>
      <c r="O87" s="40"/>
      <c r="P87" s="40"/>
      <c r="Q87" s="40"/>
      <c r="R87" s="40"/>
      <c r="S87" s="40"/>
      <c r="T87" s="40"/>
      <c r="U87" s="40"/>
      <c r="V87" s="40"/>
      <c r="Y87" s="71"/>
      <c r="AA87" s="69"/>
    </row>
    <row r="88" spans="1:27" x14ac:dyDescent="0.55000000000000004">
      <c r="A88" s="41"/>
    </row>
    <row r="89" spans="1:27" x14ac:dyDescent="0.55000000000000004">
      <c r="A89" s="41" t="str">
        <f>'Program Definitions'!$A$10</f>
        <v>Old MDR regimen</v>
      </c>
      <c r="B89" s="41" t="s">
        <v>210</v>
      </c>
      <c r="C89" s="41"/>
      <c r="D89" s="41"/>
      <c r="E89" s="41"/>
      <c r="F89" s="41"/>
      <c r="G89" s="41"/>
      <c r="H89" s="41"/>
      <c r="I89" s="41"/>
      <c r="J89" s="41"/>
      <c r="K89" s="41"/>
      <c r="L89" s="41"/>
      <c r="M89" s="41"/>
      <c r="N89" s="41"/>
      <c r="O89" s="41"/>
      <c r="P89" s="41"/>
      <c r="Q89" s="41"/>
      <c r="R89" s="41"/>
      <c r="S89" s="41"/>
      <c r="T89" s="41"/>
      <c r="U89" s="41"/>
      <c r="V89" s="41"/>
    </row>
    <row r="90" spans="1:27" x14ac:dyDescent="0.55000000000000004">
      <c r="A90" s="41" t="s">
        <v>11</v>
      </c>
      <c r="B90" s="41"/>
      <c r="C90" s="41" t="s">
        <v>8</v>
      </c>
      <c r="D90" s="41" t="s">
        <v>9</v>
      </c>
      <c r="E90" s="41"/>
      <c r="F90" s="41">
        <v>2000</v>
      </c>
      <c r="G90" s="41">
        <v>2001</v>
      </c>
      <c r="H90" s="41">
        <v>2002</v>
      </c>
      <c r="I90" s="41">
        <v>2003</v>
      </c>
      <c r="J90" s="41">
        <v>2004</v>
      </c>
      <c r="K90" s="41">
        <v>2005</v>
      </c>
      <c r="L90" s="41">
        <v>2006</v>
      </c>
      <c r="M90" s="41">
        <v>2007</v>
      </c>
      <c r="N90" s="41">
        <v>2008</v>
      </c>
      <c r="O90" s="41">
        <v>2009</v>
      </c>
      <c r="P90" s="41">
        <v>2010</v>
      </c>
      <c r="Q90" s="41">
        <v>2011</v>
      </c>
      <c r="R90" s="41">
        <v>2012</v>
      </c>
      <c r="S90" s="41">
        <v>2013</v>
      </c>
      <c r="T90" s="41">
        <v>2014</v>
      </c>
      <c r="U90" s="41">
        <v>2015</v>
      </c>
      <c r="V90" s="41">
        <v>2016</v>
      </c>
    </row>
    <row r="91" spans="1:27" x14ac:dyDescent="0.55000000000000004">
      <c r="A91" s="41" t="s">
        <v>12</v>
      </c>
      <c r="B91" s="41" t="str">
        <f>IF(B89="Fixed Cost Program","...","Program Coverage")</f>
        <v>Program Coverage</v>
      </c>
      <c r="C91" s="41" t="str">
        <f>IF(B91&lt;&gt;"...","Number","")</f>
        <v>Number</v>
      </c>
      <c r="D91" s="39" t="str">
        <f>IF(B91&lt;&gt;"...",IF(SUMPRODUCT(--(F91:V91&lt;&gt;""))=0,0,"N.A."),"")</f>
        <v>N.A.</v>
      </c>
      <c r="E91" s="41" t="str">
        <f>IF(B91&lt;&gt;"...","OR","")</f>
        <v>OR</v>
      </c>
      <c r="F91" s="60"/>
      <c r="G91" s="60"/>
      <c r="H91" s="60"/>
      <c r="I91" s="60"/>
      <c r="J91" s="60"/>
      <c r="K91" s="60"/>
      <c r="L91" s="60"/>
      <c r="M91" s="60"/>
      <c r="N91" s="60"/>
      <c r="O91" s="60"/>
      <c r="P91" s="60"/>
      <c r="Q91" s="60"/>
      <c r="R91" s="60"/>
      <c r="S91" s="60"/>
      <c r="T91" s="60"/>
      <c r="U91" s="60">
        <f>SUM('[1]Notified Cases'!T16:T19,'[1]Notified Cases'!T26,'[1]Notified Cases'!T58:T61,'[1]Notified Cases'!T68)*'[1]Active TB Testing and Treatment'!R72/2</f>
        <v>112.58687183566497</v>
      </c>
      <c r="V91" s="44"/>
      <c r="Y91" s="69"/>
    </row>
    <row r="92" spans="1:27" x14ac:dyDescent="0.55000000000000004">
      <c r="A92" s="41" t="s">
        <v>11</v>
      </c>
      <c r="B92" s="41" t="s">
        <v>13</v>
      </c>
      <c r="C92" s="41" t="s">
        <v>15</v>
      </c>
      <c r="D92" s="39" t="str">
        <f>IF(SUMPRODUCT(--(F92:V92&lt;&gt;""))=0,0,"N.A.")</f>
        <v>N.A.</v>
      </c>
      <c r="E92" s="41" t="s">
        <v>16</v>
      </c>
      <c r="F92" s="65"/>
      <c r="G92" s="65"/>
      <c r="H92" s="65"/>
      <c r="I92" s="65"/>
      <c r="J92" s="65"/>
      <c r="K92" s="65"/>
      <c r="L92" s="65"/>
      <c r="M92" s="65"/>
      <c r="N92" s="65"/>
      <c r="O92" s="65"/>
      <c r="P92" s="65"/>
      <c r="Q92" s="65"/>
      <c r="R92" s="65"/>
      <c r="S92" s="65"/>
      <c r="T92" s="65"/>
      <c r="U92" s="65">
        <f>3493313*1.2</f>
        <v>4191975.5999999996</v>
      </c>
      <c r="V92" s="65"/>
    </row>
    <row r="93" spans="1:27" x14ac:dyDescent="0.55000000000000004">
      <c r="A93" s="41" t="s">
        <v>11</v>
      </c>
      <c r="B93" s="41" t="str">
        <f>IF(B89="Fixed Cost Program","...",CONCATENATE("Unit Cost Estimate",IF(C91="Fraction"," (Per 1%)","")))</f>
        <v>Unit Cost Estimate</v>
      </c>
      <c r="C93" s="41" t="str">
        <f>IF(B93&lt;&gt;"...","USD","")</f>
        <v>USD</v>
      </c>
      <c r="D93" s="66">
        <f>31027*0.93</f>
        <v>28855.11</v>
      </c>
      <c r="E93" s="41" t="str">
        <f t="shared" ref="E93:E98" si="8">IF(B93&lt;&gt;"...","OR","")</f>
        <v>OR</v>
      </c>
      <c r="F93" s="65" t="str">
        <f>IF(B93&lt;&gt;"...","...","")</f>
        <v>...</v>
      </c>
      <c r="G93" s="65" t="str">
        <f>IF(B93&lt;&gt;"...","...","")</f>
        <v>...</v>
      </c>
      <c r="H93" s="65" t="str">
        <f>IF(B93&lt;&gt;"...","...","")</f>
        <v>...</v>
      </c>
      <c r="I93" s="65" t="str">
        <f>IF(B93&lt;&gt;"...","...","")</f>
        <v>...</v>
      </c>
      <c r="J93" s="65" t="str">
        <f>IF(B93&lt;&gt;"...","...","")</f>
        <v>...</v>
      </c>
      <c r="K93" s="65" t="str">
        <f>IF(B93&lt;&gt;"...","...","")</f>
        <v>...</v>
      </c>
      <c r="L93" s="65" t="str">
        <f>IF(B93&lt;&gt;"...","...","")</f>
        <v>...</v>
      </c>
      <c r="M93" s="65" t="str">
        <f>IF(B93&lt;&gt;"...","...","")</f>
        <v>...</v>
      </c>
      <c r="N93" s="65" t="str">
        <f>IF(B93&lt;&gt;"...","...","")</f>
        <v>...</v>
      </c>
      <c r="O93" s="65" t="str">
        <f>IF(B93&lt;&gt;"...","...","")</f>
        <v>...</v>
      </c>
      <c r="P93" s="65" t="str">
        <f>IF(B93&lt;&gt;"...","...","")</f>
        <v>...</v>
      </c>
      <c r="Q93" s="65" t="str">
        <f>IF(B93&lt;&gt;"...","...","")</f>
        <v>...</v>
      </c>
      <c r="R93" s="65" t="str">
        <f>IF(B93&lt;&gt;"...","...","")</f>
        <v>...</v>
      </c>
      <c r="S93" s="65" t="str">
        <f>IF(B93&lt;&gt;"...","...","")</f>
        <v>...</v>
      </c>
      <c r="T93" s="65" t="str">
        <f>IF(B93&lt;&gt;"...","...","")</f>
        <v>...</v>
      </c>
      <c r="U93" s="65" t="str">
        <f>IF(B93&lt;&gt;"...","...","")</f>
        <v>...</v>
      </c>
      <c r="V93" s="65" t="str">
        <f>IF(B93&lt;&gt;"...","...","")</f>
        <v>...</v>
      </c>
    </row>
    <row r="94" spans="1:27" x14ac:dyDescent="0.55000000000000004">
      <c r="A94" s="41" t="s">
        <v>17</v>
      </c>
      <c r="B94" s="41" t="str">
        <f>IF(B89="MDR/XDR Treatment Program","Efficacy (After Completed Treatment)",IF(B89="XDR Treat Program","Efficacy (After Completed Treatment)",IF(B89="MDR Treat Program","Efficacy (After Completed Treatment)",IF(B89="DS Treat Program","Efficacy (After Completed Treatment)",IF(B89="Latency Treat Program","Efficacy (After Completed Treatment)",IF(B89="Strain Diag Program","Sensitivity (Detection Probability)",IF(B89="DR Targeted Diagnosis Program","Sensitivity (Detection Probability)",IF(B89="DS Targeted Diagnosis Program","Sensitivity (Detection Probability)",IF(B89="Vaccination Program","Vaccination Effectiveness Probability",IF(B89="Fixed Cost Program","...","..."))))))))))</f>
        <v>Efficacy (After Completed Treatment)</v>
      </c>
      <c r="C94" s="41" t="str">
        <f>IF(B94&lt;&gt;"...","Unique","")</f>
        <v>Unique</v>
      </c>
      <c r="D94" s="39" t="str">
        <f>IF(B94&lt;&gt;"...",IF(SUMPRODUCT(--(F94:V94&lt;&gt;""))=0,0,"N.A."),"")</f>
        <v>N.A.</v>
      </c>
      <c r="E94" s="41" t="str">
        <f t="shared" si="8"/>
        <v>OR</v>
      </c>
      <c r="F94" s="40"/>
      <c r="G94" s="40"/>
      <c r="H94" s="40"/>
      <c r="I94" s="40"/>
      <c r="J94" s="40"/>
      <c r="K94" s="40"/>
      <c r="L94" s="40"/>
      <c r="M94" s="40"/>
      <c r="N94" s="40"/>
      <c r="O94" s="40"/>
      <c r="P94" s="40"/>
      <c r="Q94" s="40"/>
      <c r="R94" s="40"/>
      <c r="S94" s="40"/>
      <c r="T94" s="40"/>
      <c r="U94" s="40">
        <f>43.9835415384457%*1.45</f>
        <v>0.63776135230746256</v>
      </c>
      <c r="V94" s="40"/>
    </row>
    <row r="95" spans="1:27" x14ac:dyDescent="0.55000000000000004">
      <c r="A95" s="41" t="s">
        <v>11</v>
      </c>
      <c r="B95" s="41" t="str">
        <f>IF(B89="MDR/XDR Treatment Program","Adherence Probability (Yearly)",IF(B89="XDR Treat Program","Adherence Probability (Yearly)",IF(B89="MDR Treat Program","Adherence Probability (Yearly)",IF(B89="DS Treat Program","Adherence Probability (Yearly)",IF(B89="Latency Treat Program","Adherence Probability (Yearly)",IF(B89="Strain Diag Program","Latents Identified (Per Active Case)",IF(B89="DR Targeted Diagnosis Program","Latents Identified (Per DR-TB Case)",IF(B89="DS Targeted Diagnosis Program","Latents Identified (Per DS-TB Case)",IF(B89="Vaccination Program","...",IF(B89="Fixed Cost Program","...","..."))))))))))</f>
        <v>Adherence Probability (Yearly)</v>
      </c>
      <c r="C95" s="41" t="str">
        <f>IF(B95&lt;&gt;"...","Unique","")</f>
        <v>Unique</v>
      </c>
      <c r="D95" s="39" t="str">
        <f>IF(B95&lt;&gt;"...",IF(SUMPRODUCT(--(F95:V95&lt;&gt;""))=0,0,"N.A."),"")</f>
        <v>N.A.</v>
      </c>
      <c r="E95" s="41" t="str">
        <f t="shared" si="8"/>
        <v>OR</v>
      </c>
      <c r="F95" s="40"/>
      <c r="G95" s="40"/>
      <c r="H95" s="40"/>
      <c r="I95" s="40"/>
      <c r="J95" s="40"/>
      <c r="K95" s="40"/>
      <c r="L95" s="40"/>
      <c r="M95" s="40"/>
      <c r="N95" s="40"/>
      <c r="O95" s="40"/>
      <c r="P95" s="40"/>
      <c r="Q95" s="40"/>
      <c r="R95" s="40"/>
      <c r="S95" s="40"/>
      <c r="T95" s="40"/>
      <c r="U95" s="40">
        <v>0.44762345285053706</v>
      </c>
      <c r="V95" s="40"/>
    </row>
    <row r="96" spans="1:27" x14ac:dyDescent="0.55000000000000004">
      <c r="A96" s="41" t="s">
        <v>11</v>
      </c>
      <c r="B96" s="41" t="str">
        <f>IF(B89="MDR/XDR Treatment Program","Treatment Duration (Months)",IF(B89="XDR Treat Program","Treatment Duration (Months)",IF(B89="MDR Treat Program","Treatment Duration (Months)",IF(B89="DS Treat Program","Treatment Duration (Months)",IF(B89="Latency Treat Program","Treatment Duration (Months)",IF(B89="Strain Diag Program","Latent Treatment Efficacy (After Completed Treatment)",IF(B89="DR Targeted Diagnosis Program","Latent Treatment Efficacy (After Completed Treatment)",IF(B89="DS Targeted Diagnosis Program","Latent Treatment Efficacy (After Completed Treatment)",IF(B89="Vaccination Program","...",IF(B89="Fixed Cost Program","...","..."))))))))))</f>
        <v>Treatment Duration (Months)</v>
      </c>
      <c r="C96" s="41" t="str">
        <f>IF(B96&lt;&gt;"...","Unique","")</f>
        <v>Unique</v>
      </c>
      <c r="D96" s="39" t="str">
        <f>IF(B96&lt;&gt;"...",IF(SUMPRODUCT(--(F96:V96&lt;&gt;""))=0,0,"N.A."),"")</f>
        <v>N.A.</v>
      </c>
      <c r="E96" s="41" t="str">
        <f t="shared" si="8"/>
        <v>OR</v>
      </c>
      <c r="F96" s="64"/>
      <c r="G96" s="64"/>
      <c r="H96" s="64"/>
      <c r="I96" s="64"/>
      <c r="J96" s="64"/>
      <c r="K96" s="64"/>
      <c r="L96" s="64"/>
      <c r="M96" s="64"/>
      <c r="N96" s="64"/>
      <c r="O96" s="64"/>
      <c r="P96" s="64"/>
      <c r="Q96" s="64"/>
      <c r="R96" s="64"/>
      <c r="S96" s="64"/>
      <c r="T96" s="64"/>
      <c r="U96" s="64">
        <v>24</v>
      </c>
      <c r="V96" s="64"/>
    </row>
    <row r="97" spans="1:22" x14ac:dyDescent="0.55000000000000004">
      <c r="A97" s="41" t="s">
        <v>11</v>
      </c>
      <c r="B97" s="41" t="str">
        <f>IF(B89="MDR/XDR Treatment Program","...",IF(B89="XDR Treat Program","...",IF(B89="MDR Treat Program","...",IF(B89="DS Treat Program","...",IF(B89="Latency Treat Program","...",IF(B89="Strain Diag Program","Latent Treatment Adherence Probability (Yearly)",IF(B89="DR Targeted Diagnosis Program","Latent Treatment Adherence Probability (Yearly)",IF(B89="DS Targeted Diagnosis Program","Latent Treatment Adherence Probability (Yearly)",IF(B89="Vaccination Program","...",IF(B89="Fixed Cost Program","...","..."))))))))))</f>
        <v>...</v>
      </c>
      <c r="C97" s="41" t="str">
        <f>IF(B97&lt;&gt;"...","Unique","")</f>
        <v/>
      </c>
      <c r="D97" s="39" t="str">
        <f>IF(B97&lt;&gt;"...",IF(SUMPRODUCT(--(F97:V97&lt;&gt;""))=0,0,"N.A."),"")</f>
        <v/>
      </c>
      <c r="E97" s="41" t="str">
        <f t="shared" si="8"/>
        <v/>
      </c>
      <c r="F97" s="40"/>
      <c r="G97" s="40"/>
      <c r="H97" s="40"/>
      <c r="I97" s="40"/>
      <c r="J97" s="40"/>
      <c r="K97" s="40"/>
      <c r="L97" s="40"/>
      <c r="M97" s="40"/>
      <c r="N97" s="40"/>
      <c r="O97" s="40"/>
      <c r="P97" s="40"/>
      <c r="Q97" s="40"/>
      <c r="R97" s="40"/>
      <c r="S97" s="40"/>
      <c r="T97" s="40"/>
      <c r="U97" s="40"/>
      <c r="V97" s="40"/>
    </row>
    <row r="98" spans="1:22" x14ac:dyDescent="0.55000000000000004">
      <c r="A98" s="41" t="s">
        <v>11</v>
      </c>
      <c r="B98" s="41" t="str">
        <f>IF(B89="MDR/XDR Treatment Program","...",IF(B89="XDR Treat Program","...",IF(B89="MDR Treat Program","...",IF(B89="DS Treat Program","...",IF(B89="Latency Treat Program","...",IF(B89="Strain Diag Program","Latent Treatment Duration (Months)",IF(B89="DR Targeted Diagnosis Program","Latent Treatment Duration (Months)",IF(B89="DS Targeted Diagnosis Program","Latent Treatment Duration (Months)",IF(B89="Vaccination Program","...",IF(B89="Fixed Cost Program","...","..."))))))))))</f>
        <v>...</v>
      </c>
      <c r="C98" s="41" t="str">
        <f>IF(B98&lt;&gt;"...","Unique","")</f>
        <v/>
      </c>
      <c r="D98" s="39" t="str">
        <f>IF(B98&lt;&gt;"...",IF(SUMPRODUCT(--(F98:V98&lt;&gt;""))=0,0,"N.A."),"")</f>
        <v/>
      </c>
      <c r="E98" s="41" t="str">
        <f t="shared" si="8"/>
        <v/>
      </c>
      <c r="F98" s="40"/>
      <c r="G98" s="40"/>
      <c r="H98" s="40"/>
      <c r="I98" s="40"/>
      <c r="J98" s="40"/>
      <c r="K98" s="40"/>
      <c r="L98" s="40"/>
      <c r="M98" s="40"/>
      <c r="N98" s="40"/>
      <c r="O98" s="40"/>
      <c r="P98" s="40"/>
      <c r="Q98" s="40"/>
      <c r="R98" s="40"/>
      <c r="S98" s="40"/>
      <c r="T98" s="40"/>
      <c r="U98" s="40"/>
      <c r="V98" s="40"/>
    </row>
    <row r="99" spans="1:22" x14ac:dyDescent="0.55000000000000004">
      <c r="A99" s="41"/>
    </row>
    <row r="100" spans="1:22" x14ac:dyDescent="0.55000000000000004">
      <c r="A100" s="41" t="str">
        <f>'Program Definitions'!$A$11</f>
        <v>Old MDR-with BDQ</v>
      </c>
      <c r="B100" s="41" t="s">
        <v>210</v>
      </c>
      <c r="C100" s="41"/>
      <c r="D100" s="41"/>
      <c r="E100" s="41"/>
      <c r="F100" s="41"/>
      <c r="G100" s="41"/>
      <c r="H100" s="41"/>
      <c r="I100" s="41"/>
      <c r="J100" s="41"/>
      <c r="K100" s="41"/>
      <c r="L100" s="41"/>
      <c r="M100" s="41"/>
      <c r="N100" s="41"/>
      <c r="O100" s="41"/>
      <c r="P100" s="41"/>
      <c r="Q100" s="41"/>
      <c r="R100" s="41"/>
      <c r="S100" s="41"/>
      <c r="T100" s="41"/>
      <c r="U100" s="41"/>
      <c r="V100" s="41"/>
    </row>
    <row r="101" spans="1:22" x14ac:dyDescent="0.55000000000000004">
      <c r="A101" s="41" t="s">
        <v>11</v>
      </c>
      <c r="B101" s="41"/>
      <c r="C101" s="41" t="s">
        <v>8</v>
      </c>
      <c r="D101" s="41" t="s">
        <v>9</v>
      </c>
      <c r="E101" s="41"/>
      <c r="F101" s="41">
        <v>2000</v>
      </c>
      <c r="G101" s="41">
        <v>2001</v>
      </c>
      <c r="H101" s="41">
        <v>2002</v>
      </c>
      <c r="I101" s="41">
        <v>2003</v>
      </c>
      <c r="J101" s="41">
        <v>2004</v>
      </c>
      <c r="K101" s="41">
        <v>2005</v>
      </c>
      <c r="L101" s="41">
        <v>2006</v>
      </c>
      <c r="M101" s="41">
        <v>2007</v>
      </c>
      <c r="N101" s="41">
        <v>2008</v>
      </c>
      <c r="O101" s="41">
        <v>2009</v>
      </c>
      <c r="P101" s="41">
        <v>2010</v>
      </c>
      <c r="Q101" s="41">
        <v>2011</v>
      </c>
      <c r="R101" s="41">
        <v>2012</v>
      </c>
      <c r="S101" s="41">
        <v>2013</v>
      </c>
      <c r="T101" s="41">
        <v>2014</v>
      </c>
      <c r="U101" s="41">
        <v>2015</v>
      </c>
      <c r="V101" s="41">
        <v>2016</v>
      </c>
    </row>
    <row r="102" spans="1:22" x14ac:dyDescent="0.55000000000000004">
      <c r="A102" s="41" t="s">
        <v>12</v>
      </c>
      <c r="B102" s="41" t="str">
        <f>IF(B100="Fixed Cost Program","...","Program Coverage")</f>
        <v>Program Coverage</v>
      </c>
      <c r="C102" s="41" t="str">
        <f>IF(B102&lt;&gt;"...","Number","")</f>
        <v>Number</v>
      </c>
      <c r="D102" s="39" t="str">
        <f>IF(B102&lt;&gt;"...",IF(SUMPRODUCT(--(F102:V102&lt;&gt;""))=0,0,"N.A."),"")</f>
        <v>N.A.</v>
      </c>
      <c r="E102" s="41" t="str">
        <f>IF(B102&lt;&gt;"...","OR","")</f>
        <v>OR</v>
      </c>
      <c r="F102" s="60"/>
      <c r="G102" s="60"/>
      <c r="H102" s="60"/>
      <c r="I102" s="60"/>
      <c r="J102" s="60"/>
      <c r="K102" s="60"/>
      <c r="L102" s="60"/>
      <c r="M102" s="60"/>
      <c r="N102" s="60"/>
      <c r="O102" s="60"/>
      <c r="P102" s="60"/>
      <c r="Q102" s="60"/>
      <c r="R102" s="60"/>
      <c r="S102" s="60"/>
      <c r="T102" s="60"/>
      <c r="U102" s="60">
        <f>SUM('[1]Notified Cases'!T16:T19,'[1]Notified Cases'!T26,'[1]Notified Cases'!T58:T61,'[1]Notified Cases'!T68)*'[1]Active TB Testing and Treatment'!R72/2</f>
        <v>112.58687183566497</v>
      </c>
      <c r="V102" s="44"/>
    </row>
    <row r="103" spans="1:22" x14ac:dyDescent="0.55000000000000004">
      <c r="A103" s="41" t="s">
        <v>11</v>
      </c>
      <c r="B103" s="41" t="s">
        <v>13</v>
      </c>
      <c r="C103" s="41" t="s">
        <v>15</v>
      </c>
      <c r="D103" s="39" t="str">
        <f>IF(SUMPRODUCT(--(F103:V103&lt;&gt;""))=0,0,"N.A.")</f>
        <v>N.A.</v>
      </c>
      <c r="E103" s="41" t="s">
        <v>16</v>
      </c>
      <c r="F103" s="65"/>
      <c r="G103" s="65"/>
      <c r="H103" s="65"/>
      <c r="I103" s="65"/>
      <c r="J103" s="65"/>
      <c r="K103" s="65"/>
      <c r="L103" s="65"/>
      <c r="M103" s="65"/>
      <c r="N103" s="65"/>
      <c r="O103" s="65"/>
      <c r="P103" s="65"/>
      <c r="Q103" s="65"/>
      <c r="R103" s="65"/>
      <c r="S103" s="65"/>
      <c r="T103" s="65"/>
      <c r="U103" s="65">
        <f>3952490*1.2</f>
        <v>4742988</v>
      </c>
      <c r="V103" s="65"/>
    </row>
    <row r="104" spans="1:22" x14ac:dyDescent="0.55000000000000004">
      <c r="A104" s="41" t="s">
        <v>11</v>
      </c>
      <c r="B104" s="41" t="str">
        <f>IF(B100="Fixed Cost Program","...",CONCATENATE("Unit Cost Estimate",IF(C102="Fraction"," (Per 1%)","")))</f>
        <v>Unit Cost Estimate</v>
      </c>
      <c r="C104" s="41" t="str">
        <f>IF(B104&lt;&gt;"...","USD","")</f>
        <v>USD</v>
      </c>
      <c r="D104" s="66">
        <f>35105*0.89</f>
        <v>31243.45</v>
      </c>
      <c r="E104" s="41" t="str">
        <f t="shared" ref="E104:E109" si="9">IF(B104&lt;&gt;"...","OR","")</f>
        <v>OR</v>
      </c>
      <c r="F104" s="65" t="str">
        <f>IF(B104&lt;&gt;"...","...","")</f>
        <v>...</v>
      </c>
      <c r="G104" s="65" t="str">
        <f>IF(B104&lt;&gt;"...","...","")</f>
        <v>...</v>
      </c>
      <c r="H104" s="65" t="str">
        <f>IF(B104&lt;&gt;"...","...","")</f>
        <v>...</v>
      </c>
      <c r="I104" s="65" t="str">
        <f>IF(B104&lt;&gt;"...","...","")</f>
        <v>...</v>
      </c>
      <c r="J104" s="65" t="str">
        <f>IF(B104&lt;&gt;"...","...","")</f>
        <v>...</v>
      </c>
      <c r="K104" s="65" t="str">
        <f>IF(B104&lt;&gt;"...","...","")</f>
        <v>...</v>
      </c>
      <c r="L104" s="65" t="str">
        <f>IF(B104&lt;&gt;"...","...","")</f>
        <v>...</v>
      </c>
      <c r="M104" s="65" t="str">
        <f>IF(B104&lt;&gt;"...","...","")</f>
        <v>...</v>
      </c>
      <c r="N104" s="65" t="str">
        <f>IF(B104&lt;&gt;"...","...","")</f>
        <v>...</v>
      </c>
      <c r="O104" s="65" t="str">
        <f>IF(B104&lt;&gt;"...","...","")</f>
        <v>...</v>
      </c>
      <c r="P104" s="65" t="str">
        <f>IF(B104&lt;&gt;"...","...","")</f>
        <v>...</v>
      </c>
      <c r="Q104" s="65" t="str">
        <f>IF(B104&lt;&gt;"...","...","")</f>
        <v>...</v>
      </c>
      <c r="R104" s="65" t="str">
        <f>IF(B104&lt;&gt;"...","...","")</f>
        <v>...</v>
      </c>
      <c r="S104" s="65" t="str">
        <f>IF(B104&lt;&gt;"...","...","")</f>
        <v>...</v>
      </c>
      <c r="T104" s="65" t="str">
        <f>IF(B104&lt;&gt;"...","...","")</f>
        <v>...</v>
      </c>
      <c r="U104" s="65" t="str">
        <f>IF(B104&lt;&gt;"...","...","")</f>
        <v>...</v>
      </c>
      <c r="V104" s="65" t="str">
        <f>IF(B104&lt;&gt;"...","...","")</f>
        <v>...</v>
      </c>
    </row>
    <row r="105" spans="1:22" x14ac:dyDescent="0.55000000000000004">
      <c r="A105" s="41" t="s">
        <v>17</v>
      </c>
      <c r="B105" s="41" t="str">
        <f>IF(B100="MDR/XDR Treatment Program","Efficacy (After Completed Treatment)",IF(B100="XDR Treat Program","Efficacy (After Completed Treatment)",IF(B100="MDR Treat Program","Efficacy (After Completed Treatment)",IF(B100="DS Treat Program","Efficacy (After Completed Treatment)",IF(B100="Latency Treat Program","Efficacy (After Completed Treatment)",IF(B100="Strain Diag Program","Sensitivity (Detection Probability)",IF(B100="DR Targeted Diagnosis Program","Sensitivity (Detection Probability)",IF(B100="DS Targeted Diagnosis Program","Sensitivity (Detection Probability)",IF(B100="Vaccination Program","Vaccination Effectiveness Probability",IF(B100="Fixed Cost Program","...","..."))))))))))</f>
        <v>Efficacy (After Completed Treatment)</v>
      </c>
      <c r="C105" s="41" t="str">
        <f>IF(B105&lt;&gt;"...","Unique","")</f>
        <v>Unique</v>
      </c>
      <c r="D105" s="39" t="str">
        <f>IF(B105&lt;&gt;"...",IF(SUMPRODUCT(--(F105:V105&lt;&gt;""))=0,0,"N.A."),"")</f>
        <v>N.A.</v>
      </c>
      <c r="E105" s="41" t="str">
        <f t="shared" si="9"/>
        <v>OR</v>
      </c>
      <c r="F105" s="40"/>
      <c r="G105" s="40"/>
      <c r="H105" s="40"/>
      <c r="I105" s="40"/>
      <c r="J105" s="40"/>
      <c r="K105" s="40"/>
      <c r="L105" s="40"/>
      <c r="M105" s="40"/>
      <c r="N105" s="40"/>
      <c r="O105" s="40"/>
      <c r="P105" s="40"/>
      <c r="Q105" s="40"/>
      <c r="R105" s="40"/>
      <c r="S105" s="40"/>
      <c r="T105" s="40"/>
      <c r="U105" s="40">
        <v>0.71299999999999997</v>
      </c>
      <c r="V105" s="40"/>
    </row>
    <row r="106" spans="1:22" x14ac:dyDescent="0.55000000000000004">
      <c r="A106" s="41" t="s">
        <v>11</v>
      </c>
      <c r="B106" s="41" t="str">
        <f>IF(B100="MDR/XDR Treatment Program","Adherence Probability (Yearly)",IF(B100="XDR Treat Program","Adherence Probability (Yearly)",IF(B100="MDR Treat Program","Adherence Probability (Yearly)",IF(B100="DS Treat Program","Adherence Probability (Yearly)",IF(B100="Latency Treat Program","Adherence Probability (Yearly)",IF(B100="Strain Diag Program","Latents Identified (Per Active Case)",IF(B100="DR Targeted Diagnosis Program","Latents Identified (Per DR-TB Case)",IF(B100="DS Targeted Diagnosis Program","Latents Identified (Per DS-TB Case)",IF(B100="Vaccination Program","...",IF(B100="Fixed Cost Program","...","..."))))))))))</f>
        <v>Adherence Probability (Yearly)</v>
      </c>
      <c r="C106" s="41" t="str">
        <f>IF(B106&lt;&gt;"...","Unique","")</f>
        <v>Unique</v>
      </c>
      <c r="D106" s="39" t="str">
        <f>IF(B106&lt;&gt;"...",IF(SUMPRODUCT(--(F106:V106&lt;&gt;""))=0,0,"N.A."),"")</f>
        <v>N.A.</v>
      </c>
      <c r="E106" s="41" t="str">
        <f t="shared" si="9"/>
        <v>OR</v>
      </c>
      <c r="F106" s="40"/>
      <c r="G106" s="40"/>
      <c r="H106" s="40"/>
      <c r="I106" s="40"/>
      <c r="J106" s="40"/>
      <c r="K106" s="40"/>
      <c r="L106" s="40"/>
      <c r="M106" s="40"/>
      <c r="N106" s="40"/>
      <c r="O106" s="40"/>
      <c r="P106" s="40"/>
      <c r="Q106" s="40"/>
      <c r="R106" s="40"/>
      <c r="S106" s="40"/>
      <c r="T106" s="40"/>
      <c r="U106" s="40">
        <f>89.1%*0.8</f>
        <v>0.71279999999999999</v>
      </c>
      <c r="V106" s="40"/>
    </row>
    <row r="107" spans="1:22" x14ac:dyDescent="0.55000000000000004">
      <c r="A107" s="41" t="s">
        <v>11</v>
      </c>
      <c r="B107" s="41" t="str">
        <f>IF(B100="MDR/XDR Treatment Program","Treatment Duration (Months)",IF(B100="XDR Treat Program","Treatment Duration (Months)",IF(B100="MDR Treat Program","Treatment Duration (Months)",IF(B100="DS Treat Program","Treatment Duration (Months)",IF(B100="Latency Treat Program","Treatment Duration (Months)",IF(B100="Strain Diag Program","Latent Treatment Efficacy (After Completed Treatment)",IF(B100="DR Targeted Diagnosis Program","Latent Treatment Efficacy (After Completed Treatment)",IF(B100="DS Targeted Diagnosis Program","Latent Treatment Efficacy (After Completed Treatment)",IF(B100="Vaccination Program","...",IF(B100="Fixed Cost Program","...","..."))))))))))</f>
        <v>Treatment Duration (Months)</v>
      </c>
      <c r="C107" s="41" t="str">
        <f>IF(B107&lt;&gt;"...","Unique","")</f>
        <v>Unique</v>
      </c>
      <c r="D107" s="39" t="str">
        <f>IF(B107&lt;&gt;"...",IF(SUMPRODUCT(--(F107:V107&lt;&gt;""))=0,0,"N.A."),"")</f>
        <v>N.A.</v>
      </c>
      <c r="E107" s="41" t="str">
        <f t="shared" si="9"/>
        <v>OR</v>
      </c>
      <c r="F107" s="64"/>
      <c r="G107" s="64"/>
      <c r="H107" s="64"/>
      <c r="I107" s="64"/>
      <c r="J107" s="64"/>
      <c r="K107" s="64"/>
      <c r="L107" s="64"/>
      <c r="M107" s="64"/>
      <c r="N107" s="64"/>
      <c r="O107" s="64"/>
      <c r="P107" s="64"/>
      <c r="Q107" s="64"/>
      <c r="R107" s="64"/>
      <c r="S107" s="64"/>
      <c r="T107" s="64"/>
      <c r="U107" s="64">
        <v>24</v>
      </c>
      <c r="V107" s="64"/>
    </row>
    <row r="108" spans="1:22" x14ac:dyDescent="0.55000000000000004">
      <c r="A108" s="41" t="s">
        <v>11</v>
      </c>
      <c r="B108" s="41" t="str">
        <f>IF(B100="MDR/XDR Treatment Program","...",IF(B100="XDR Treat Program","...",IF(B100="MDR Treat Program","...",IF(B100="DS Treat Program","...",IF(B100="Latency Treat Program","...",IF(B100="Strain Diag Program","Latent Treatment Adherence Probability (Yearly)",IF(B100="DR Targeted Diagnosis Program","Latent Treatment Adherence Probability (Yearly)",IF(B100="DS Targeted Diagnosis Program","Latent Treatment Adherence Probability (Yearly)",IF(B100="Vaccination Program","...",IF(B100="Fixed Cost Program","...","..."))))))))))</f>
        <v>...</v>
      </c>
      <c r="C108" s="41" t="str">
        <f>IF(B108&lt;&gt;"...","Unique","")</f>
        <v/>
      </c>
      <c r="D108" s="39" t="str">
        <f>IF(B108&lt;&gt;"...",IF(SUMPRODUCT(--(F108:V108&lt;&gt;""))=0,0,"N.A."),"")</f>
        <v/>
      </c>
      <c r="E108" s="41" t="str">
        <f t="shared" si="9"/>
        <v/>
      </c>
      <c r="F108" s="40"/>
      <c r="G108" s="40"/>
      <c r="H108" s="40"/>
      <c r="I108" s="40"/>
      <c r="J108" s="40"/>
      <c r="K108" s="40"/>
      <c r="L108" s="40"/>
      <c r="M108" s="40"/>
      <c r="N108" s="40"/>
      <c r="O108" s="40"/>
      <c r="P108" s="40"/>
      <c r="Q108" s="40"/>
      <c r="R108" s="40"/>
      <c r="S108" s="40"/>
      <c r="T108" s="40"/>
      <c r="U108" s="40"/>
      <c r="V108" s="40"/>
    </row>
    <row r="109" spans="1:22" x14ac:dyDescent="0.55000000000000004">
      <c r="A109" s="41" t="s">
        <v>11</v>
      </c>
      <c r="B109" s="41" t="str">
        <f>IF(B100="MDR/XDR Treatment Program","...",IF(B100="XDR Treat Program","...",IF(B100="MDR Treat Program","...",IF(B100="DS Treat Program","...",IF(B100="Latency Treat Program","...",IF(B100="Strain Diag Program","Latent Treatment Duration (Months)",IF(B100="DR Targeted Diagnosis Program","Latent Treatment Duration (Months)",IF(B100="DS Targeted Diagnosis Program","Latent Treatment Duration (Months)",IF(B100="Vaccination Program","...",IF(B100="Fixed Cost Program","...","..."))))))))))</f>
        <v>...</v>
      </c>
      <c r="C109" s="41" t="str">
        <f>IF(B109&lt;&gt;"...","Unique","")</f>
        <v/>
      </c>
      <c r="D109" s="39" t="str">
        <f>IF(B109&lt;&gt;"...",IF(SUMPRODUCT(--(F109:V109&lt;&gt;""))=0,0,"N.A."),"")</f>
        <v/>
      </c>
      <c r="E109" s="41" t="str">
        <f t="shared" si="9"/>
        <v/>
      </c>
      <c r="F109" s="40"/>
      <c r="G109" s="40"/>
      <c r="H109" s="40"/>
      <c r="I109" s="40"/>
      <c r="J109" s="40"/>
      <c r="K109" s="40"/>
      <c r="L109" s="40"/>
      <c r="M109" s="40"/>
      <c r="N109" s="40"/>
      <c r="O109" s="40"/>
      <c r="P109" s="40"/>
      <c r="Q109" s="40"/>
      <c r="R109" s="40"/>
      <c r="S109" s="40"/>
      <c r="T109" s="40"/>
      <c r="U109" s="40"/>
      <c r="V109" s="40"/>
    </row>
    <row r="110" spans="1:22" x14ac:dyDescent="0.55000000000000004">
      <c r="A110" s="41"/>
    </row>
    <row r="111" spans="1:22" x14ac:dyDescent="0.55000000000000004">
      <c r="A111" s="41" t="str">
        <f>'Program Definitions'!$A$12</f>
        <v>MDR-with BDQ shortened - modified extended regimen</v>
      </c>
      <c r="B111" s="41" t="s">
        <v>210</v>
      </c>
      <c r="C111" s="41"/>
      <c r="D111" s="41"/>
      <c r="E111" s="41"/>
      <c r="F111" s="41"/>
      <c r="G111" s="41"/>
      <c r="H111" s="41"/>
      <c r="I111" s="41"/>
      <c r="J111" s="41"/>
      <c r="K111" s="41"/>
      <c r="L111" s="41"/>
      <c r="M111" s="41"/>
      <c r="N111" s="41"/>
      <c r="O111" s="41"/>
      <c r="P111" s="41"/>
      <c r="Q111" s="41"/>
      <c r="R111" s="41"/>
      <c r="S111" s="41"/>
      <c r="T111" s="41"/>
      <c r="U111" s="41"/>
      <c r="V111" s="41"/>
    </row>
    <row r="112" spans="1:22" x14ac:dyDescent="0.55000000000000004">
      <c r="A112" s="41" t="s">
        <v>11</v>
      </c>
      <c r="B112" s="41"/>
      <c r="C112" s="41" t="s">
        <v>8</v>
      </c>
      <c r="D112" s="41" t="s">
        <v>9</v>
      </c>
      <c r="E112" s="41"/>
      <c r="F112" s="41">
        <v>2000</v>
      </c>
      <c r="G112" s="41">
        <v>2001</v>
      </c>
      <c r="H112" s="41">
        <v>2002</v>
      </c>
      <c r="I112" s="41">
        <v>2003</v>
      </c>
      <c r="J112" s="41">
        <v>2004</v>
      </c>
      <c r="K112" s="41">
        <v>2005</v>
      </c>
      <c r="L112" s="41">
        <v>2006</v>
      </c>
      <c r="M112" s="41">
        <v>2007</v>
      </c>
      <c r="N112" s="41">
        <v>2008</v>
      </c>
      <c r="O112" s="41">
        <v>2009</v>
      </c>
      <c r="P112" s="41">
        <v>2010</v>
      </c>
      <c r="Q112" s="41">
        <v>2011</v>
      </c>
      <c r="R112" s="41">
        <v>2012</v>
      </c>
      <c r="S112" s="41">
        <v>2013</v>
      </c>
      <c r="T112" s="41">
        <v>2014</v>
      </c>
      <c r="U112" s="41">
        <v>2015</v>
      </c>
      <c r="V112" s="41">
        <v>2016</v>
      </c>
    </row>
    <row r="113" spans="1:22" x14ac:dyDescent="0.55000000000000004">
      <c r="A113" s="41" t="s">
        <v>12</v>
      </c>
      <c r="B113" s="41" t="str">
        <f>IF(B111="Fixed Cost Program","...","Program Coverage")</f>
        <v>Program Coverage</v>
      </c>
      <c r="C113" s="41" t="str">
        <f>IF(B113&lt;&gt;"...","Number","")</f>
        <v>Number</v>
      </c>
      <c r="D113" s="39" t="str">
        <f>IF(B113&lt;&gt;"...",IF(SUMPRODUCT(--(F113:V113&lt;&gt;""))=0,0,"N.A."),"")</f>
        <v>N.A.</v>
      </c>
      <c r="E113" s="41" t="str">
        <f>IF(B113&lt;&gt;"...","OR","")</f>
        <v>OR</v>
      </c>
      <c r="F113" s="60"/>
      <c r="G113" s="60"/>
      <c r="H113" s="60"/>
      <c r="I113" s="60"/>
      <c r="J113" s="60"/>
      <c r="K113" s="60"/>
      <c r="L113" s="60"/>
      <c r="M113" s="60"/>
      <c r="N113" s="60"/>
      <c r="O113" s="60"/>
      <c r="P113" s="60"/>
      <c r="Q113" s="60"/>
      <c r="R113" s="60"/>
      <c r="S113" s="60"/>
      <c r="T113" s="60"/>
      <c r="U113" s="60">
        <v>0</v>
      </c>
      <c r="V113" s="44"/>
    </row>
    <row r="114" spans="1:22" x14ac:dyDescent="0.55000000000000004">
      <c r="A114" s="41" t="s">
        <v>11</v>
      </c>
      <c r="B114" s="41" t="s">
        <v>13</v>
      </c>
      <c r="C114" s="41" t="s">
        <v>15</v>
      </c>
      <c r="D114" s="39" t="str">
        <f>IF(SUMPRODUCT(--(F114:V114&lt;&gt;""))=0,0,"N.A.")</f>
        <v>N.A.</v>
      </c>
      <c r="E114" s="41" t="s">
        <v>16</v>
      </c>
      <c r="F114" s="65"/>
      <c r="G114" s="65"/>
      <c r="H114" s="65"/>
      <c r="I114" s="65"/>
      <c r="J114" s="65"/>
      <c r="K114" s="65"/>
      <c r="L114" s="65"/>
      <c r="M114" s="65"/>
      <c r="N114" s="65"/>
      <c r="O114" s="65"/>
      <c r="P114" s="65"/>
      <c r="Q114" s="65"/>
      <c r="R114" s="65"/>
      <c r="S114" s="65"/>
      <c r="T114" s="65"/>
      <c r="U114" s="65">
        <v>0</v>
      </c>
      <c r="V114" s="65"/>
    </row>
    <row r="115" spans="1:22" x14ac:dyDescent="0.55000000000000004">
      <c r="A115" s="41" t="s">
        <v>11</v>
      </c>
      <c r="B115" s="41" t="str">
        <f>IF(B111="Fixed Cost Program","...",CONCATENATE("Unit Cost Estimate",IF(C113="Fraction"," (Per 1%)","")))</f>
        <v>Unit Cost Estimate</v>
      </c>
      <c r="C115" s="41" t="str">
        <f>IF(B115&lt;&gt;"...","USD","")</f>
        <v>USD</v>
      </c>
      <c r="D115" s="66">
        <v>37418.348023999999</v>
      </c>
      <c r="E115" s="41" t="str">
        <f t="shared" ref="E115:E120" si="10">IF(B115&lt;&gt;"...","OR","")</f>
        <v>OR</v>
      </c>
      <c r="F115" s="65" t="str">
        <f>IF(B115&lt;&gt;"...","...","")</f>
        <v>...</v>
      </c>
      <c r="G115" s="65" t="str">
        <f>IF(B115&lt;&gt;"...","...","")</f>
        <v>...</v>
      </c>
      <c r="H115" s="65" t="str">
        <f>IF(B115&lt;&gt;"...","...","")</f>
        <v>...</v>
      </c>
      <c r="I115" s="65" t="str">
        <f>IF(B115&lt;&gt;"...","...","")</f>
        <v>...</v>
      </c>
      <c r="J115" s="65" t="str">
        <f>IF(B115&lt;&gt;"...","...","")</f>
        <v>...</v>
      </c>
      <c r="K115" s="65" t="str">
        <f>IF(B115&lt;&gt;"...","...","")</f>
        <v>...</v>
      </c>
      <c r="L115" s="65" t="str">
        <f>IF(B115&lt;&gt;"...","...","")</f>
        <v>...</v>
      </c>
      <c r="M115" s="65" t="str">
        <f>IF(B115&lt;&gt;"...","...","")</f>
        <v>...</v>
      </c>
      <c r="N115" s="65" t="str">
        <f>IF(B115&lt;&gt;"...","...","")</f>
        <v>...</v>
      </c>
      <c r="O115" s="65" t="str">
        <f>IF(B115&lt;&gt;"...","...","")</f>
        <v>...</v>
      </c>
      <c r="P115" s="65" t="str">
        <f>IF(B115&lt;&gt;"...","...","")</f>
        <v>...</v>
      </c>
      <c r="Q115" s="65" t="str">
        <f>IF(B115&lt;&gt;"...","...","")</f>
        <v>...</v>
      </c>
      <c r="R115" s="65" t="str">
        <f>IF(B115&lt;&gt;"...","...","")</f>
        <v>...</v>
      </c>
      <c r="S115" s="65" t="str">
        <f>IF(B115&lt;&gt;"...","...","")</f>
        <v>...</v>
      </c>
      <c r="T115" s="65" t="str">
        <f>IF(B115&lt;&gt;"...","...","")</f>
        <v>...</v>
      </c>
      <c r="U115" s="65" t="str">
        <f>IF(B115&lt;&gt;"...","...","")</f>
        <v>...</v>
      </c>
      <c r="V115" s="65" t="str">
        <f>IF(B115&lt;&gt;"...","...","")</f>
        <v>...</v>
      </c>
    </row>
    <row r="116" spans="1:22" x14ac:dyDescent="0.55000000000000004">
      <c r="A116" s="41" t="s">
        <v>17</v>
      </c>
      <c r="B116" s="41" t="str">
        <f>IF(B111="MDR/XDR Treatment Program","Efficacy (After Completed Treatment)",IF(B111="XDR Treat Program","Efficacy (After Completed Treatment)",IF(B111="MDR Treat Program","Efficacy (After Completed Treatment)",IF(B111="DS Treat Program","Efficacy (After Completed Treatment)",IF(B111="Latency Treat Program","Efficacy (After Completed Treatment)",IF(B111="Strain Diag Program","Sensitivity (Detection Probability)",IF(B111="DR Targeted Diagnosis Program","Sensitivity (Detection Probability)",IF(B111="DS Targeted Diagnosis Program","Sensitivity (Detection Probability)",IF(B111="Vaccination Program","Vaccination Effectiveness Probability",IF(B111="Fixed Cost Program","...","..."))))))))))</f>
        <v>Efficacy (After Completed Treatment)</v>
      </c>
      <c r="C116" s="41" t="str">
        <f>IF(B116&lt;&gt;"...","Unique","")</f>
        <v>Unique</v>
      </c>
      <c r="D116" s="39" t="str">
        <f>IF(B116&lt;&gt;"...",IF(SUMPRODUCT(--(F116:V116&lt;&gt;""))=0,0,"N.A."),"")</f>
        <v>N.A.</v>
      </c>
      <c r="E116" s="41" t="str">
        <f t="shared" si="10"/>
        <v>OR</v>
      </c>
      <c r="F116" s="40"/>
      <c r="G116" s="40"/>
      <c r="H116" s="40"/>
      <c r="I116" s="40"/>
      <c r="J116" s="40"/>
      <c r="K116" s="40"/>
      <c r="L116" s="40"/>
      <c r="M116" s="40"/>
      <c r="N116" s="40"/>
      <c r="O116" s="40"/>
      <c r="P116" s="40"/>
      <c r="Q116" s="40"/>
      <c r="R116" s="40"/>
      <c r="S116" s="40"/>
      <c r="T116" s="40"/>
      <c r="U116" s="40">
        <v>0.71299999999999997</v>
      </c>
      <c r="V116" s="40"/>
    </row>
    <row r="117" spans="1:22" x14ac:dyDescent="0.55000000000000004">
      <c r="A117" s="41" t="s">
        <v>11</v>
      </c>
      <c r="B117" s="41" t="str">
        <f>IF(B111="MDR/XDR Treatment Program","Adherence Probability (Yearly)",IF(B111="XDR Treat Program","Adherence Probability (Yearly)",IF(B111="MDR Treat Program","Adherence Probability (Yearly)",IF(B111="DS Treat Program","Adherence Probability (Yearly)",IF(B111="Latency Treat Program","Adherence Probability (Yearly)",IF(B111="Strain Diag Program","Latents Identified (Per Active Case)",IF(B111="DR Targeted Diagnosis Program","Latents Identified (Per DR-TB Case)",IF(B111="DS Targeted Diagnosis Program","Latents Identified (Per DS-TB Case)",IF(B111="Vaccination Program","...",IF(B111="Fixed Cost Program","...","..."))))))))))</f>
        <v>Adherence Probability (Yearly)</v>
      </c>
      <c r="C117" s="41" t="str">
        <f>IF(B117&lt;&gt;"...","Unique","")</f>
        <v>Unique</v>
      </c>
      <c r="D117" s="39" t="str">
        <f>IF(B117&lt;&gt;"...",IF(SUMPRODUCT(--(F117:V117&lt;&gt;""))=0,0,"N.A."),"")</f>
        <v>N.A.</v>
      </c>
      <c r="E117" s="41" t="str">
        <f t="shared" si="10"/>
        <v>OR</v>
      </c>
      <c r="F117" s="40"/>
      <c r="G117" s="40"/>
      <c r="H117" s="40"/>
      <c r="I117" s="40"/>
      <c r="J117" s="40"/>
      <c r="K117" s="40"/>
      <c r="L117" s="40"/>
      <c r="M117" s="40"/>
      <c r="N117" s="40"/>
      <c r="O117" s="40"/>
      <c r="P117" s="40"/>
      <c r="Q117" s="40"/>
      <c r="R117" s="40"/>
      <c r="S117" s="40"/>
      <c r="T117" s="40"/>
      <c r="U117" s="40">
        <f>89.1%*0.8</f>
        <v>0.71279999999999999</v>
      </c>
      <c r="V117" s="40"/>
    </row>
    <row r="118" spans="1:22" x14ac:dyDescent="0.55000000000000004">
      <c r="A118" s="41" t="s">
        <v>11</v>
      </c>
      <c r="B118" s="41" t="str">
        <f>IF(B111="MDR/XDR Treatment Program","Treatment Duration (Months)",IF(B111="XDR Treat Program","Treatment Duration (Months)",IF(B111="MDR Treat Program","Treatment Duration (Months)",IF(B111="DS Treat Program","Treatment Duration (Months)",IF(B111="Latency Treat Program","Treatment Duration (Months)",IF(B111="Strain Diag Program","Latent Treatment Efficacy (After Completed Treatment)",IF(B111="DR Targeted Diagnosis Program","Latent Treatment Efficacy (After Completed Treatment)",IF(B111="DS Targeted Diagnosis Program","Latent Treatment Efficacy (After Completed Treatment)",IF(B111="Vaccination Program","...",IF(B111="Fixed Cost Program","...","..."))))))))))</f>
        <v>Treatment Duration (Months)</v>
      </c>
      <c r="C118" s="41" t="str">
        <f>IF(B118&lt;&gt;"...","Unique","")</f>
        <v>Unique</v>
      </c>
      <c r="D118" s="39" t="str">
        <f>IF(B118&lt;&gt;"...",IF(SUMPRODUCT(--(F118:V118&lt;&gt;""))=0,0,"N.A."),"")</f>
        <v>N.A.</v>
      </c>
      <c r="E118" s="41" t="str">
        <f t="shared" si="10"/>
        <v>OR</v>
      </c>
      <c r="F118" s="64"/>
      <c r="G118" s="64"/>
      <c r="H118" s="64"/>
      <c r="I118" s="64"/>
      <c r="J118" s="64"/>
      <c r="K118" s="64"/>
      <c r="L118" s="64"/>
      <c r="M118" s="64"/>
      <c r="N118" s="64"/>
      <c r="O118" s="64"/>
      <c r="P118" s="64"/>
      <c r="Q118" s="64"/>
      <c r="R118" s="64"/>
      <c r="S118" s="64"/>
      <c r="T118" s="64"/>
      <c r="U118" s="64">
        <v>20</v>
      </c>
      <c r="V118" s="64"/>
    </row>
    <row r="119" spans="1:22" x14ac:dyDescent="0.55000000000000004">
      <c r="A119" s="41" t="s">
        <v>11</v>
      </c>
      <c r="B119" s="41" t="str">
        <f>IF(B111="MDR/XDR Treatment Program","...",IF(B111="XDR Treat Program","...",IF(B111="MDR Treat Program","...",IF(B111="DS Treat Program","...",IF(B111="Latency Treat Program","...",IF(B111="Strain Diag Program","Latent Treatment Adherence Probability (Yearly)",IF(B111="DR Targeted Diagnosis Program","Latent Treatment Adherence Probability (Yearly)",IF(B111="DS Targeted Diagnosis Program","Latent Treatment Adherence Probability (Yearly)",IF(B111="Vaccination Program","...",IF(B111="Fixed Cost Program","...","..."))))))))))</f>
        <v>...</v>
      </c>
      <c r="C119" s="41" t="str">
        <f>IF(B119&lt;&gt;"...","Unique","")</f>
        <v/>
      </c>
      <c r="D119" s="39" t="str">
        <f>IF(B119&lt;&gt;"...",IF(SUMPRODUCT(--(F119:V119&lt;&gt;""))=0,0,"N.A."),"")</f>
        <v/>
      </c>
      <c r="E119" s="41" t="str">
        <f t="shared" si="10"/>
        <v/>
      </c>
      <c r="F119" s="40"/>
      <c r="G119" s="40"/>
      <c r="H119" s="40"/>
      <c r="I119" s="40"/>
      <c r="J119" s="40"/>
      <c r="K119" s="40"/>
      <c r="L119" s="40"/>
      <c r="M119" s="40"/>
      <c r="N119" s="40"/>
      <c r="O119" s="40"/>
      <c r="P119" s="40"/>
      <c r="Q119" s="40"/>
      <c r="R119" s="40"/>
      <c r="S119" s="40"/>
      <c r="T119" s="40"/>
      <c r="U119" s="40"/>
      <c r="V119" s="40"/>
    </row>
    <row r="120" spans="1:22" x14ac:dyDescent="0.55000000000000004">
      <c r="A120" s="41" t="s">
        <v>11</v>
      </c>
      <c r="B120" s="41" t="str">
        <f>IF(B111="MDR/XDR Treatment Program","...",IF(B111="XDR Treat Program","...",IF(B111="MDR Treat Program","...",IF(B111="DS Treat Program","...",IF(B111="Latency Treat Program","...",IF(B111="Strain Diag Program","Latent Treatment Duration (Months)",IF(B111="DR Targeted Diagnosis Program","Latent Treatment Duration (Months)",IF(B111="DS Targeted Diagnosis Program","Latent Treatment Duration (Months)",IF(B111="Vaccination Program","...",IF(B111="Fixed Cost Program","...","..."))))))))))</f>
        <v>...</v>
      </c>
      <c r="C120" s="41" t="str">
        <f>IF(B120&lt;&gt;"...","Unique","")</f>
        <v/>
      </c>
      <c r="D120" s="39" t="str">
        <f>IF(B120&lt;&gt;"...",IF(SUMPRODUCT(--(F120:V120&lt;&gt;""))=0,0,"N.A."),"")</f>
        <v/>
      </c>
      <c r="E120" s="41" t="str">
        <f t="shared" si="10"/>
        <v/>
      </c>
      <c r="F120" s="40"/>
      <c r="G120" s="40"/>
      <c r="H120" s="40"/>
      <c r="I120" s="40"/>
      <c r="J120" s="40"/>
      <c r="K120" s="40"/>
      <c r="L120" s="40"/>
      <c r="M120" s="40"/>
      <c r="N120" s="40"/>
      <c r="O120" s="40"/>
      <c r="P120" s="40"/>
      <c r="Q120" s="40"/>
      <c r="R120" s="40"/>
      <c r="S120" s="40"/>
      <c r="T120" s="40"/>
      <c r="U120" s="40"/>
      <c r="V120" s="40"/>
    </row>
    <row r="121" spans="1:22" x14ac:dyDescent="0.55000000000000004">
      <c r="A121" s="41"/>
    </row>
    <row r="122" spans="1:22" x14ac:dyDescent="0.55000000000000004">
      <c r="A122" s="41" t="str">
        <f>'Program Definitions'!$A$13</f>
        <v>MDR-short course (KM)- modified short regimen</v>
      </c>
      <c r="B122" s="41" t="s">
        <v>210</v>
      </c>
      <c r="C122" s="41"/>
      <c r="D122" s="41"/>
      <c r="E122" s="41"/>
      <c r="F122" s="41"/>
      <c r="G122" s="41"/>
      <c r="H122" s="41"/>
      <c r="I122" s="41"/>
      <c r="J122" s="41"/>
      <c r="K122" s="41"/>
      <c r="L122" s="41"/>
      <c r="M122" s="41"/>
      <c r="N122" s="41"/>
      <c r="O122" s="41"/>
      <c r="P122" s="41"/>
      <c r="Q122" s="41"/>
      <c r="R122" s="41"/>
      <c r="S122" s="41"/>
      <c r="T122" s="41"/>
      <c r="U122" s="41"/>
      <c r="V122" s="41"/>
    </row>
    <row r="123" spans="1:22" x14ac:dyDescent="0.55000000000000004">
      <c r="A123" s="41" t="s">
        <v>11</v>
      </c>
      <c r="B123" s="41"/>
      <c r="C123" s="41" t="s">
        <v>8</v>
      </c>
      <c r="D123" s="41" t="s">
        <v>9</v>
      </c>
      <c r="E123" s="41"/>
      <c r="F123" s="41">
        <v>2000</v>
      </c>
      <c r="G123" s="41">
        <v>2001</v>
      </c>
      <c r="H123" s="41">
        <v>2002</v>
      </c>
      <c r="I123" s="41">
        <v>2003</v>
      </c>
      <c r="J123" s="41">
        <v>2004</v>
      </c>
      <c r="K123" s="41">
        <v>2005</v>
      </c>
      <c r="L123" s="41">
        <v>2006</v>
      </c>
      <c r="M123" s="41">
        <v>2007</v>
      </c>
      <c r="N123" s="41">
        <v>2008</v>
      </c>
      <c r="O123" s="41">
        <v>2009</v>
      </c>
      <c r="P123" s="41">
        <v>2010</v>
      </c>
      <c r="Q123" s="41">
        <v>2011</v>
      </c>
      <c r="R123" s="41">
        <v>2012</v>
      </c>
      <c r="S123" s="41">
        <v>2013</v>
      </c>
      <c r="T123" s="41">
        <v>2014</v>
      </c>
      <c r="U123" s="41">
        <v>2015</v>
      </c>
      <c r="V123" s="41">
        <v>2016</v>
      </c>
    </row>
    <row r="124" spans="1:22" x14ac:dyDescent="0.55000000000000004">
      <c r="A124" s="41" t="s">
        <v>12</v>
      </c>
      <c r="B124" s="41" t="str">
        <f>IF(B122="Fixed Cost Program","...","Program Coverage")</f>
        <v>Program Coverage</v>
      </c>
      <c r="C124" s="41" t="str">
        <f>IF(B124&lt;&gt;"...","Number","")</f>
        <v>Number</v>
      </c>
      <c r="D124" s="39" t="str">
        <f>IF(B124&lt;&gt;"...",IF(SUMPRODUCT(--(F124:V124&lt;&gt;""))=0,0,"N.A."),"")</f>
        <v>N.A.</v>
      </c>
      <c r="E124" s="41" t="str">
        <f>IF(B124&lt;&gt;"...","OR","")</f>
        <v>OR</v>
      </c>
      <c r="F124" s="60"/>
      <c r="G124" s="60"/>
      <c r="H124" s="60"/>
      <c r="I124" s="60"/>
      <c r="J124" s="60"/>
      <c r="K124" s="60"/>
      <c r="L124" s="60"/>
      <c r="M124" s="60"/>
      <c r="N124" s="60"/>
      <c r="O124" s="60"/>
      <c r="P124" s="60"/>
      <c r="Q124" s="60"/>
      <c r="R124" s="60"/>
      <c r="S124" s="60"/>
      <c r="T124" s="60"/>
      <c r="U124" s="60">
        <v>0</v>
      </c>
      <c r="V124" s="44"/>
    </row>
    <row r="125" spans="1:22" x14ac:dyDescent="0.55000000000000004">
      <c r="A125" s="41" t="s">
        <v>11</v>
      </c>
      <c r="B125" s="41" t="s">
        <v>13</v>
      </c>
      <c r="C125" s="41" t="s">
        <v>15</v>
      </c>
      <c r="D125" s="39" t="str">
        <f>IF(SUMPRODUCT(--(F125:V125&lt;&gt;""))=0,0,"N.A.")</f>
        <v>N.A.</v>
      </c>
      <c r="E125" s="41" t="s">
        <v>16</v>
      </c>
      <c r="F125" s="65"/>
      <c r="G125" s="65"/>
      <c r="H125" s="65"/>
      <c r="I125" s="65"/>
      <c r="J125" s="65"/>
      <c r="K125" s="65"/>
      <c r="L125" s="65"/>
      <c r="M125" s="65"/>
      <c r="N125" s="65"/>
      <c r="O125" s="65"/>
      <c r="P125" s="65"/>
      <c r="Q125" s="65"/>
      <c r="R125" s="65"/>
      <c r="S125" s="65"/>
      <c r="T125" s="65"/>
      <c r="U125" s="65">
        <v>0</v>
      </c>
      <c r="V125" s="65"/>
    </row>
    <row r="126" spans="1:22" x14ac:dyDescent="0.55000000000000004">
      <c r="A126" s="41" t="s">
        <v>11</v>
      </c>
      <c r="B126" s="41" t="str">
        <f>IF(B122="Fixed Cost Program","...",CONCATENATE("Unit Cost Estimate",IF(C124="Fraction"," (Per 1%)","")))</f>
        <v>Unit Cost Estimate</v>
      </c>
      <c r="C126" s="41" t="str">
        <f>IF(B126&lt;&gt;"...","USD","")</f>
        <v>USD</v>
      </c>
      <c r="D126" s="66">
        <v>35898.094486567963</v>
      </c>
      <c r="E126" s="41" t="str">
        <f t="shared" ref="E126:E131" si="11">IF(B126&lt;&gt;"...","OR","")</f>
        <v>OR</v>
      </c>
      <c r="F126" s="65" t="str">
        <f>IF(B126&lt;&gt;"...","...","")</f>
        <v>...</v>
      </c>
      <c r="G126" s="65" t="str">
        <f>IF(B126&lt;&gt;"...","...","")</f>
        <v>...</v>
      </c>
      <c r="H126" s="65" t="str">
        <f>IF(B126&lt;&gt;"...","...","")</f>
        <v>...</v>
      </c>
      <c r="I126" s="65" t="str">
        <f>IF(B126&lt;&gt;"...","...","")</f>
        <v>...</v>
      </c>
      <c r="J126" s="65" t="str">
        <f>IF(B126&lt;&gt;"...","...","")</f>
        <v>...</v>
      </c>
      <c r="K126" s="65" t="str">
        <f>IF(B126&lt;&gt;"...","...","")</f>
        <v>...</v>
      </c>
      <c r="L126" s="65" t="str">
        <f>IF(B126&lt;&gt;"...","...","")</f>
        <v>...</v>
      </c>
      <c r="M126" s="65" t="str">
        <f>IF(B126&lt;&gt;"...","...","")</f>
        <v>...</v>
      </c>
      <c r="N126" s="65" t="str">
        <f>IF(B126&lt;&gt;"...","...","")</f>
        <v>...</v>
      </c>
      <c r="O126" s="65" t="str">
        <f>IF(B126&lt;&gt;"...","...","")</f>
        <v>...</v>
      </c>
      <c r="P126" s="65" t="str">
        <f>IF(B126&lt;&gt;"...","...","")</f>
        <v>...</v>
      </c>
      <c r="Q126" s="65" t="str">
        <f>IF(B126&lt;&gt;"...","...","")</f>
        <v>...</v>
      </c>
      <c r="R126" s="65" t="str">
        <f>IF(B126&lt;&gt;"...","...","")</f>
        <v>...</v>
      </c>
      <c r="S126" s="65" t="str">
        <f>IF(B126&lt;&gt;"...","...","")</f>
        <v>...</v>
      </c>
      <c r="T126" s="65" t="str">
        <f>IF(B126&lt;&gt;"...","...","")</f>
        <v>...</v>
      </c>
      <c r="U126" s="65" t="str">
        <f>IF(B126&lt;&gt;"...","...","")</f>
        <v>...</v>
      </c>
      <c r="V126" s="65" t="str">
        <f>IF(B126&lt;&gt;"...","...","")</f>
        <v>...</v>
      </c>
    </row>
    <row r="127" spans="1:22" x14ac:dyDescent="0.55000000000000004">
      <c r="A127" s="41" t="s">
        <v>17</v>
      </c>
      <c r="B127" s="41" t="str">
        <f>IF(B122="MDR/XDR Treatment Program","Efficacy (After Completed Treatment)",IF(B122="XDR Treat Program","Efficacy (After Completed Treatment)",IF(B122="MDR Treat Program","Efficacy (After Completed Treatment)",IF(B122="DS Treat Program","Efficacy (After Completed Treatment)",IF(B122="Latency Treat Program","Efficacy (After Completed Treatment)",IF(B122="Strain Diag Program","Sensitivity (Detection Probability)",IF(B122="DR Targeted Diagnosis Program","Sensitivity (Detection Probability)",IF(B122="DS Targeted Diagnosis Program","Sensitivity (Detection Probability)",IF(B122="Vaccination Program","Vaccination Effectiveness Probability",IF(B122="Fixed Cost Program","...","..."))))))))))</f>
        <v>Efficacy (After Completed Treatment)</v>
      </c>
      <c r="C127" s="41" t="str">
        <f>IF(B127&lt;&gt;"...","Unique","")</f>
        <v>Unique</v>
      </c>
      <c r="D127" s="39" t="str">
        <f>IF(B127&lt;&gt;"...",IF(SUMPRODUCT(--(F127:V127&lt;&gt;""))=0,0,"N.A."),"")</f>
        <v>N.A.</v>
      </c>
      <c r="E127" s="41" t="str">
        <f t="shared" si="11"/>
        <v>OR</v>
      </c>
      <c r="F127" s="40"/>
      <c r="G127" s="40"/>
      <c r="H127" s="40"/>
      <c r="I127" s="40"/>
      <c r="J127" s="40"/>
      <c r="K127" s="40"/>
      <c r="L127" s="40"/>
      <c r="M127" s="40"/>
      <c r="N127" s="40"/>
      <c r="O127" s="40"/>
      <c r="P127" s="40"/>
      <c r="Q127" s="40"/>
      <c r="R127" s="40"/>
      <c r="S127" s="40"/>
      <c r="T127" s="40"/>
      <c r="U127" s="40">
        <v>0.65405000000000002</v>
      </c>
      <c r="V127" s="40"/>
    </row>
    <row r="128" spans="1:22" x14ac:dyDescent="0.55000000000000004">
      <c r="A128" s="41" t="s">
        <v>11</v>
      </c>
      <c r="B128" s="41" t="str">
        <f>IF(B122="MDR/XDR Treatment Program","Adherence Probability (Yearly)",IF(B122="XDR Treat Program","Adherence Probability (Yearly)",IF(B122="MDR Treat Program","Adherence Probability (Yearly)",IF(B122="DS Treat Program","Adherence Probability (Yearly)",IF(B122="Latency Treat Program","Adherence Probability (Yearly)",IF(B122="Strain Diag Program","Latents Identified (Per Active Case)",IF(B122="DR Targeted Diagnosis Program","Latents Identified (Per DR-TB Case)",IF(B122="DS Targeted Diagnosis Program","Latents Identified (Per DS-TB Case)",IF(B122="Vaccination Program","...",IF(B122="Fixed Cost Program","...","..."))))))))))</f>
        <v>Adherence Probability (Yearly)</v>
      </c>
      <c r="C128" s="41" t="str">
        <f>IF(B128&lt;&gt;"...","Unique","")</f>
        <v>Unique</v>
      </c>
      <c r="D128" s="39" t="str">
        <f>IF(B128&lt;&gt;"...",IF(SUMPRODUCT(--(F128:V128&lt;&gt;""))=0,0,"N.A."),"")</f>
        <v>N.A.</v>
      </c>
      <c r="E128" s="41" t="str">
        <f t="shared" si="11"/>
        <v>OR</v>
      </c>
      <c r="F128" s="40"/>
      <c r="G128" s="40"/>
      <c r="H128" s="40"/>
      <c r="I128" s="40"/>
      <c r="J128" s="40"/>
      <c r="K128" s="40"/>
      <c r="L128" s="40"/>
      <c r="M128" s="40"/>
      <c r="N128" s="40"/>
      <c r="O128" s="40"/>
      <c r="P128" s="40"/>
      <c r="Q128" s="40"/>
      <c r="R128" s="40"/>
      <c r="S128" s="40"/>
      <c r="T128" s="40"/>
      <c r="U128" s="40">
        <v>0.68815999999999999</v>
      </c>
      <c r="V128" s="40"/>
    </row>
    <row r="129" spans="1:22" x14ac:dyDescent="0.55000000000000004">
      <c r="A129" s="41" t="s">
        <v>11</v>
      </c>
      <c r="B129" s="41" t="str">
        <f>IF(B122="MDR/XDR Treatment Program","Treatment Duration (Months)",IF(B122="XDR Treat Program","Treatment Duration (Months)",IF(B122="MDR Treat Program","Treatment Duration (Months)",IF(B122="DS Treat Program","Treatment Duration (Months)",IF(B122="Latency Treat Program","Treatment Duration (Months)",IF(B122="Strain Diag Program","Latent Treatment Efficacy (After Completed Treatment)",IF(B122="DR Targeted Diagnosis Program","Latent Treatment Efficacy (After Completed Treatment)",IF(B122="DS Targeted Diagnosis Program","Latent Treatment Efficacy (After Completed Treatment)",IF(B122="Vaccination Program","...",IF(B122="Fixed Cost Program","...","..."))))))))))</f>
        <v>Treatment Duration (Months)</v>
      </c>
      <c r="C129" s="41" t="str">
        <f>IF(B129&lt;&gt;"...","Unique","")</f>
        <v>Unique</v>
      </c>
      <c r="D129" s="39" t="str">
        <f>IF(B129&lt;&gt;"...",IF(SUMPRODUCT(--(F129:V129&lt;&gt;""))=0,0,"N.A."),"")</f>
        <v>N.A.</v>
      </c>
      <c r="E129" s="41" t="str">
        <f t="shared" si="11"/>
        <v>OR</v>
      </c>
      <c r="F129" s="64"/>
      <c r="G129" s="64"/>
      <c r="H129" s="64"/>
      <c r="I129" s="64"/>
      <c r="J129" s="64"/>
      <c r="K129" s="64"/>
      <c r="L129" s="64"/>
      <c r="M129" s="64"/>
      <c r="N129" s="64"/>
      <c r="O129" s="64"/>
      <c r="P129" s="64"/>
      <c r="Q129" s="64"/>
      <c r="R129" s="64"/>
      <c r="S129" s="64"/>
      <c r="T129" s="64"/>
      <c r="U129" s="64">
        <v>10.5</v>
      </c>
      <c r="V129" s="64"/>
    </row>
    <row r="130" spans="1:22" x14ac:dyDescent="0.55000000000000004">
      <c r="A130" s="41" t="s">
        <v>11</v>
      </c>
      <c r="B130" s="41" t="str">
        <f>IF(B122="MDR/XDR Treatment Program","...",IF(B122="XDR Treat Program","...",IF(B122="MDR Treat Program","...",IF(B122="DS Treat Program","...",IF(B122="Latency Treat Program","...",IF(B122="Strain Diag Program","Latent Treatment Adherence Probability (Yearly)",IF(B122="DR Targeted Diagnosis Program","Latent Treatment Adherence Probability (Yearly)",IF(B122="DS Targeted Diagnosis Program","Latent Treatment Adherence Probability (Yearly)",IF(B122="Vaccination Program","...",IF(B122="Fixed Cost Program","...","..."))))))))))</f>
        <v>...</v>
      </c>
      <c r="C130" s="41" t="str">
        <f>IF(B130&lt;&gt;"...","Unique","")</f>
        <v/>
      </c>
      <c r="D130" s="39" t="str">
        <f>IF(B130&lt;&gt;"...",IF(SUMPRODUCT(--(F130:V130&lt;&gt;""))=0,0,"N.A."),"")</f>
        <v/>
      </c>
      <c r="E130" s="41" t="str">
        <f t="shared" si="11"/>
        <v/>
      </c>
      <c r="F130" s="40"/>
      <c r="G130" s="40"/>
      <c r="H130" s="40"/>
      <c r="I130" s="40"/>
      <c r="J130" s="40"/>
      <c r="K130" s="40"/>
      <c r="L130" s="40"/>
      <c r="M130" s="40"/>
      <c r="N130" s="40"/>
      <c r="O130" s="40"/>
      <c r="P130" s="40"/>
      <c r="Q130" s="40"/>
      <c r="R130" s="40"/>
      <c r="S130" s="40"/>
      <c r="T130" s="40"/>
      <c r="U130" s="40"/>
      <c r="V130" s="40"/>
    </row>
    <row r="131" spans="1:22" x14ac:dyDescent="0.55000000000000004">
      <c r="A131" s="41" t="s">
        <v>11</v>
      </c>
      <c r="B131" s="41" t="str">
        <f>IF(B122="MDR/XDR Treatment Program","...",IF(B122="XDR Treat Program","...",IF(B122="MDR Treat Program","...",IF(B122="DS Treat Program","...",IF(B122="Latency Treat Program","...",IF(B122="Strain Diag Program","Latent Treatment Duration (Months)",IF(B122="DR Targeted Diagnosis Program","Latent Treatment Duration (Months)",IF(B122="DS Targeted Diagnosis Program","Latent Treatment Duration (Months)",IF(B122="Vaccination Program","...",IF(B122="Fixed Cost Program","...","..."))))))))))</f>
        <v>...</v>
      </c>
      <c r="C131" s="41" t="str">
        <f>IF(B131&lt;&gt;"...","Unique","")</f>
        <v/>
      </c>
      <c r="D131" s="39" t="str">
        <f>IF(B131&lt;&gt;"...",IF(SUMPRODUCT(--(F131:V131&lt;&gt;""))=0,0,"N.A."),"")</f>
        <v/>
      </c>
      <c r="E131" s="41" t="str">
        <f t="shared" si="11"/>
        <v/>
      </c>
      <c r="F131" s="40"/>
      <c r="G131" s="40"/>
      <c r="H131" s="40"/>
      <c r="I131" s="40"/>
      <c r="J131" s="40"/>
      <c r="K131" s="40"/>
      <c r="L131" s="40"/>
      <c r="M131" s="40"/>
      <c r="N131" s="40"/>
      <c r="O131" s="40"/>
      <c r="P131" s="40"/>
      <c r="Q131" s="40"/>
      <c r="R131" s="40"/>
      <c r="S131" s="40"/>
      <c r="T131" s="40"/>
      <c r="U131" s="40"/>
      <c r="V131" s="40"/>
    </row>
    <row r="132" spans="1:22" x14ac:dyDescent="0.55000000000000004">
      <c r="A132" s="41"/>
    </row>
    <row r="133" spans="1:22" x14ac:dyDescent="0.55000000000000004">
      <c r="A133" s="41" t="str">
        <f>'Program Definitions'!$A$14</f>
        <v>MDR-short course (BDQ)- short BDQ regimen</v>
      </c>
      <c r="B133" s="41" t="s">
        <v>210</v>
      </c>
      <c r="C133" s="41"/>
      <c r="D133" s="41"/>
      <c r="E133" s="41"/>
      <c r="F133" s="41"/>
      <c r="G133" s="41"/>
      <c r="H133" s="41"/>
      <c r="I133" s="41"/>
      <c r="J133" s="41"/>
      <c r="K133" s="41"/>
      <c r="L133" s="41"/>
      <c r="M133" s="41"/>
      <c r="N133" s="41"/>
      <c r="O133" s="41"/>
      <c r="P133" s="41"/>
      <c r="Q133" s="41"/>
      <c r="R133" s="41"/>
      <c r="S133" s="41"/>
      <c r="T133" s="41"/>
      <c r="U133" s="41"/>
      <c r="V133" s="41"/>
    </row>
    <row r="134" spans="1:22" x14ac:dyDescent="0.55000000000000004">
      <c r="A134" s="41" t="s">
        <v>11</v>
      </c>
      <c r="B134" s="41"/>
      <c r="C134" s="41" t="s">
        <v>8</v>
      </c>
      <c r="D134" s="41" t="s">
        <v>9</v>
      </c>
      <c r="E134" s="41"/>
      <c r="F134" s="41">
        <v>2000</v>
      </c>
      <c r="G134" s="41">
        <v>2001</v>
      </c>
      <c r="H134" s="41">
        <v>2002</v>
      </c>
      <c r="I134" s="41">
        <v>2003</v>
      </c>
      <c r="J134" s="41">
        <v>2004</v>
      </c>
      <c r="K134" s="41">
        <v>2005</v>
      </c>
      <c r="L134" s="41">
        <v>2006</v>
      </c>
      <c r="M134" s="41">
        <v>2007</v>
      </c>
      <c r="N134" s="41">
        <v>2008</v>
      </c>
      <c r="O134" s="41">
        <v>2009</v>
      </c>
      <c r="P134" s="41">
        <v>2010</v>
      </c>
      <c r="Q134" s="41">
        <v>2011</v>
      </c>
      <c r="R134" s="41">
        <v>2012</v>
      </c>
      <c r="S134" s="41">
        <v>2013</v>
      </c>
      <c r="T134" s="41">
        <v>2014</v>
      </c>
      <c r="U134" s="41">
        <v>2015</v>
      </c>
      <c r="V134" s="41">
        <v>2016</v>
      </c>
    </row>
    <row r="135" spans="1:22" x14ac:dyDescent="0.55000000000000004">
      <c r="A135" s="41" t="s">
        <v>12</v>
      </c>
      <c r="B135" s="41" t="str">
        <f>IF(B133="Fixed Cost Program","...","Program Coverage")</f>
        <v>Program Coverage</v>
      </c>
      <c r="C135" s="41" t="str">
        <f>IF(B135&lt;&gt;"...","Number","")</f>
        <v>Number</v>
      </c>
      <c r="D135" s="39" t="str">
        <f>IF(B135&lt;&gt;"...",IF(SUMPRODUCT(--(F135:V135&lt;&gt;""))=0,0,"N.A."),"")</f>
        <v>N.A.</v>
      </c>
      <c r="E135" s="41" t="str">
        <f>IF(B135&lt;&gt;"...","OR","")</f>
        <v>OR</v>
      </c>
      <c r="F135" s="60"/>
      <c r="G135" s="60"/>
      <c r="H135" s="60"/>
      <c r="I135" s="60"/>
      <c r="J135" s="60"/>
      <c r="K135" s="60"/>
      <c r="L135" s="60"/>
      <c r="M135" s="60"/>
      <c r="N135" s="60"/>
      <c r="O135" s="60"/>
      <c r="P135" s="60"/>
      <c r="Q135" s="60"/>
      <c r="R135" s="60"/>
      <c r="S135" s="60"/>
      <c r="T135" s="60"/>
      <c r="U135" s="60">
        <v>0</v>
      </c>
      <c r="V135" s="44"/>
    </row>
    <row r="136" spans="1:22" x14ac:dyDescent="0.55000000000000004">
      <c r="A136" s="41" t="s">
        <v>11</v>
      </c>
      <c r="B136" s="41" t="s">
        <v>13</v>
      </c>
      <c r="C136" s="41" t="s">
        <v>15</v>
      </c>
      <c r="D136" s="39" t="str">
        <f>IF(SUMPRODUCT(--(F136:V136&lt;&gt;""))=0,0,"N.A.")</f>
        <v>N.A.</v>
      </c>
      <c r="E136" s="41" t="s">
        <v>16</v>
      </c>
      <c r="F136" s="65"/>
      <c r="G136" s="65"/>
      <c r="H136" s="65"/>
      <c r="I136" s="65"/>
      <c r="J136" s="65"/>
      <c r="K136" s="65"/>
      <c r="L136" s="65"/>
      <c r="M136" s="65"/>
      <c r="N136" s="65"/>
      <c r="O136" s="65"/>
      <c r="P136" s="65"/>
      <c r="Q136" s="65"/>
      <c r="R136" s="65"/>
      <c r="S136" s="65"/>
      <c r="T136" s="65"/>
      <c r="U136" s="65">
        <v>0</v>
      </c>
      <c r="V136" s="65"/>
    </row>
    <row r="137" spans="1:22" x14ac:dyDescent="0.55000000000000004">
      <c r="A137" s="41" t="s">
        <v>11</v>
      </c>
      <c r="B137" s="41" t="str">
        <f>IF(B133="Fixed Cost Program","...",CONCATENATE("Unit Cost Estimate",IF(C135="Fraction"," (Per 1%)","")))</f>
        <v>Unit Cost Estimate</v>
      </c>
      <c r="C137" s="41" t="str">
        <f>IF(B137&lt;&gt;"...","USD","")</f>
        <v>USD</v>
      </c>
      <c r="D137" s="66">
        <v>42580.285368026933</v>
      </c>
      <c r="E137" s="41" t="str">
        <f t="shared" ref="E137:E142" si="12">IF(B137&lt;&gt;"...","OR","")</f>
        <v>OR</v>
      </c>
      <c r="F137" s="65" t="str">
        <f>IF(B137&lt;&gt;"...","...","")</f>
        <v>...</v>
      </c>
      <c r="G137" s="65" t="str">
        <f>IF(B137&lt;&gt;"...","...","")</f>
        <v>...</v>
      </c>
      <c r="H137" s="65" t="str">
        <f>IF(B137&lt;&gt;"...","...","")</f>
        <v>...</v>
      </c>
      <c r="I137" s="65" t="str">
        <f>IF(B137&lt;&gt;"...","...","")</f>
        <v>...</v>
      </c>
      <c r="J137" s="65" t="str">
        <f>IF(B137&lt;&gt;"...","...","")</f>
        <v>...</v>
      </c>
      <c r="K137" s="65" t="str">
        <f>IF(B137&lt;&gt;"...","...","")</f>
        <v>...</v>
      </c>
      <c r="L137" s="65" t="str">
        <f>IF(B137&lt;&gt;"...","...","")</f>
        <v>...</v>
      </c>
      <c r="M137" s="65" t="str">
        <f>IF(B137&lt;&gt;"...","...","")</f>
        <v>...</v>
      </c>
      <c r="N137" s="65" t="str">
        <f>IF(B137&lt;&gt;"...","...","")</f>
        <v>...</v>
      </c>
      <c r="O137" s="65" t="str">
        <f>IF(B137&lt;&gt;"...","...","")</f>
        <v>...</v>
      </c>
      <c r="P137" s="65" t="str">
        <f>IF(B137&lt;&gt;"...","...","")</f>
        <v>...</v>
      </c>
      <c r="Q137" s="65" t="str">
        <f>IF(B137&lt;&gt;"...","...","")</f>
        <v>...</v>
      </c>
      <c r="R137" s="65" t="str">
        <f>IF(B137&lt;&gt;"...","...","")</f>
        <v>...</v>
      </c>
      <c r="S137" s="65" t="str">
        <f>IF(B137&lt;&gt;"...","...","")</f>
        <v>...</v>
      </c>
      <c r="T137" s="65" t="str">
        <f>IF(B137&lt;&gt;"...","...","")</f>
        <v>...</v>
      </c>
      <c r="U137" s="65" t="str">
        <f>IF(B137&lt;&gt;"...","...","")</f>
        <v>...</v>
      </c>
      <c r="V137" s="65" t="str">
        <f>IF(B137&lt;&gt;"...","...","")</f>
        <v>...</v>
      </c>
    </row>
    <row r="138" spans="1:22" x14ac:dyDescent="0.55000000000000004">
      <c r="A138" s="41" t="s">
        <v>17</v>
      </c>
      <c r="B138" s="41" t="str">
        <f>IF(B133="MDR/XDR Treatment Program","Efficacy (After Completed Treatment)",IF(B133="XDR Treat Program","Efficacy (After Completed Treatment)",IF(B133="MDR Treat Program","Efficacy (After Completed Treatment)",IF(B133="DS Treat Program","Efficacy (After Completed Treatment)",IF(B133="Latency Treat Program","Efficacy (After Completed Treatment)",IF(B133="Strain Diag Program","Sensitivity (Detection Probability)",IF(B133="DR Targeted Diagnosis Program","Sensitivity (Detection Probability)",IF(B133="DS Targeted Diagnosis Program","Sensitivity (Detection Probability)",IF(B133="Vaccination Program","Vaccination Effectiveness Probability",IF(B133="Fixed Cost Program","...","..."))))))))))</f>
        <v>Efficacy (After Completed Treatment)</v>
      </c>
      <c r="C138" s="41" t="str">
        <f>IF(B138&lt;&gt;"...","Unique","")</f>
        <v>Unique</v>
      </c>
      <c r="D138" s="39" t="str">
        <f>IF(B138&lt;&gt;"...",IF(SUMPRODUCT(--(F138:V138&lt;&gt;""))=0,0,"N.A."),"")</f>
        <v>N.A.</v>
      </c>
      <c r="E138" s="41" t="str">
        <f t="shared" si="12"/>
        <v>OR</v>
      </c>
      <c r="F138" s="40"/>
      <c r="G138" s="40"/>
      <c r="H138" s="40"/>
      <c r="I138" s="40"/>
      <c r="J138" s="40"/>
      <c r="K138" s="40"/>
      <c r="L138" s="40"/>
      <c r="M138" s="40"/>
      <c r="N138" s="40"/>
      <c r="O138" s="40"/>
      <c r="P138" s="40"/>
      <c r="Q138" s="40"/>
      <c r="R138" s="40"/>
      <c r="S138" s="40"/>
      <c r="T138" s="40"/>
      <c r="U138" s="40">
        <v>0.71378999999999992</v>
      </c>
      <c r="V138" s="40"/>
    </row>
    <row r="139" spans="1:22" x14ac:dyDescent="0.55000000000000004">
      <c r="A139" s="41" t="s">
        <v>11</v>
      </c>
      <c r="B139" s="41" t="str">
        <f>IF(B133="MDR/XDR Treatment Program","Adherence Probability (Yearly)",IF(B133="XDR Treat Program","Adherence Probability (Yearly)",IF(B133="MDR Treat Program","Adherence Probability (Yearly)",IF(B133="DS Treat Program","Adherence Probability (Yearly)",IF(B133="Latency Treat Program","Adherence Probability (Yearly)",IF(B133="Strain Diag Program","Latents Identified (Per Active Case)",IF(B133="DR Targeted Diagnosis Program","Latents Identified (Per DR-TB Case)",IF(B133="DS Targeted Diagnosis Program","Latents Identified (Per DS-TB Case)",IF(B133="Vaccination Program","...",IF(B133="Fixed Cost Program","...","..."))))))))))</f>
        <v>Adherence Probability (Yearly)</v>
      </c>
      <c r="C139" s="41" t="str">
        <f>IF(B139&lt;&gt;"...","Unique","")</f>
        <v>Unique</v>
      </c>
      <c r="D139" s="39" t="str">
        <f>IF(B139&lt;&gt;"...",IF(SUMPRODUCT(--(F139:V139&lt;&gt;""))=0,0,"N.A."),"")</f>
        <v>N.A.</v>
      </c>
      <c r="E139" s="41" t="str">
        <f t="shared" si="12"/>
        <v>OR</v>
      </c>
      <c r="F139" s="40"/>
      <c r="G139" s="40"/>
      <c r="H139" s="40"/>
      <c r="I139" s="40"/>
      <c r="J139" s="40"/>
      <c r="K139" s="40"/>
      <c r="L139" s="40"/>
      <c r="M139" s="40"/>
      <c r="N139" s="40"/>
      <c r="O139" s="40"/>
      <c r="P139" s="40"/>
      <c r="Q139" s="40"/>
      <c r="R139" s="40"/>
      <c r="S139" s="40"/>
      <c r="T139" s="40"/>
      <c r="U139" s="40">
        <v>0.7128000000000001</v>
      </c>
      <c r="V139" s="40"/>
    </row>
    <row r="140" spans="1:22" x14ac:dyDescent="0.55000000000000004">
      <c r="A140" s="41" t="s">
        <v>11</v>
      </c>
      <c r="B140" s="41" t="str">
        <f>IF(B133="MDR/XDR Treatment Program","Treatment Duration (Months)",IF(B133="XDR Treat Program","Treatment Duration (Months)",IF(B133="MDR Treat Program","Treatment Duration (Months)",IF(B133="DS Treat Program","Treatment Duration (Months)",IF(B133="Latency Treat Program","Treatment Duration (Months)",IF(B133="Strain Diag Program","Latent Treatment Efficacy (After Completed Treatment)",IF(B133="DR Targeted Diagnosis Program","Latent Treatment Efficacy (After Completed Treatment)",IF(B133="DS Targeted Diagnosis Program","Latent Treatment Efficacy (After Completed Treatment)",IF(B133="Vaccination Program","...",IF(B133="Fixed Cost Program","...","..."))))))))))</f>
        <v>Treatment Duration (Months)</v>
      </c>
      <c r="C140" s="41" t="str">
        <f>IF(B140&lt;&gt;"...","Unique","")</f>
        <v>Unique</v>
      </c>
      <c r="D140" s="39" t="str">
        <f>IF(B140&lt;&gt;"...",IF(SUMPRODUCT(--(F140:V140&lt;&gt;""))=0,0,"N.A."),"")</f>
        <v>N.A.</v>
      </c>
      <c r="E140" s="41" t="str">
        <f t="shared" si="12"/>
        <v>OR</v>
      </c>
      <c r="F140" s="64"/>
      <c r="G140" s="64"/>
      <c r="H140" s="64"/>
      <c r="I140" s="64"/>
      <c r="J140" s="64"/>
      <c r="K140" s="64"/>
      <c r="L140" s="64"/>
      <c r="M140" s="64"/>
      <c r="N140" s="64"/>
      <c r="O140" s="64"/>
      <c r="P140" s="64"/>
      <c r="Q140" s="64"/>
      <c r="R140" s="64"/>
      <c r="S140" s="64"/>
      <c r="T140" s="64"/>
      <c r="U140" s="64">
        <v>10.5</v>
      </c>
      <c r="V140" s="64"/>
    </row>
    <row r="141" spans="1:22" x14ac:dyDescent="0.55000000000000004">
      <c r="A141" s="41" t="s">
        <v>11</v>
      </c>
      <c r="B141" s="41" t="str">
        <f>IF(B133="MDR/XDR Treatment Program","...",IF(B133="XDR Treat Program","...",IF(B133="MDR Treat Program","...",IF(B133="DS Treat Program","...",IF(B133="Latency Treat Program","...",IF(B133="Strain Diag Program","Latent Treatment Adherence Probability (Yearly)",IF(B133="DR Targeted Diagnosis Program","Latent Treatment Adherence Probability (Yearly)",IF(B133="DS Targeted Diagnosis Program","Latent Treatment Adherence Probability (Yearly)",IF(B133="Vaccination Program","...",IF(B133="Fixed Cost Program","...","..."))))))))))</f>
        <v>...</v>
      </c>
      <c r="C141" s="41" t="str">
        <f>IF(B141&lt;&gt;"...","Unique","")</f>
        <v/>
      </c>
      <c r="D141" s="39" t="str">
        <f>IF(B141&lt;&gt;"...",IF(SUMPRODUCT(--(F141:V141&lt;&gt;""))=0,0,"N.A."),"")</f>
        <v/>
      </c>
      <c r="E141" s="41" t="str">
        <f t="shared" si="12"/>
        <v/>
      </c>
      <c r="F141" s="40"/>
      <c r="G141" s="40"/>
      <c r="H141" s="40"/>
      <c r="I141" s="40"/>
      <c r="J141" s="40"/>
      <c r="K141" s="40"/>
      <c r="L141" s="40"/>
      <c r="M141" s="40"/>
      <c r="N141" s="40"/>
      <c r="O141" s="40"/>
      <c r="P141" s="40"/>
      <c r="Q141" s="40"/>
      <c r="R141" s="40"/>
      <c r="S141" s="40"/>
      <c r="T141" s="40"/>
      <c r="U141" s="40"/>
      <c r="V141" s="40"/>
    </row>
    <row r="142" spans="1:22" x14ac:dyDescent="0.55000000000000004">
      <c r="A142" s="41" t="s">
        <v>11</v>
      </c>
      <c r="B142" s="41" t="str">
        <f>IF(B133="MDR/XDR Treatment Program","...",IF(B133="XDR Treat Program","...",IF(B133="MDR Treat Program","...",IF(B133="DS Treat Program","...",IF(B133="Latency Treat Program","...",IF(B133="Strain Diag Program","Latent Treatment Duration (Months)",IF(B133="DR Targeted Diagnosis Program","Latent Treatment Duration (Months)",IF(B133="DS Targeted Diagnosis Program","Latent Treatment Duration (Months)",IF(B133="Vaccination Program","...",IF(B133="Fixed Cost Program","...","..."))))))))))</f>
        <v>...</v>
      </c>
      <c r="C142" s="41" t="str">
        <f>IF(B142&lt;&gt;"...","Unique","")</f>
        <v/>
      </c>
      <c r="D142" s="39" t="str">
        <f>IF(B142&lt;&gt;"...",IF(SUMPRODUCT(--(F142:V142&lt;&gt;""))=0,0,"N.A."),"")</f>
        <v/>
      </c>
      <c r="E142" s="41" t="str">
        <f t="shared" si="12"/>
        <v/>
      </c>
      <c r="F142" s="40"/>
      <c r="G142" s="40"/>
      <c r="H142" s="40"/>
      <c r="I142" s="40"/>
      <c r="J142" s="40"/>
      <c r="K142" s="40"/>
      <c r="L142" s="40"/>
      <c r="M142" s="40"/>
      <c r="N142" s="40"/>
      <c r="O142" s="40"/>
      <c r="P142" s="40"/>
      <c r="Q142" s="40"/>
      <c r="R142" s="40"/>
      <c r="S142" s="40"/>
      <c r="T142" s="40"/>
      <c r="U142" s="40"/>
      <c r="V142" s="40"/>
    </row>
    <row r="143" spans="1:22" x14ac:dyDescent="0.55000000000000004">
      <c r="A143" s="41"/>
    </row>
    <row r="144" spans="1:22" x14ac:dyDescent="0.55000000000000004">
      <c r="A144" s="41" t="str">
        <f>'Program Definitions'!$A$15</f>
        <v>XDR-current</v>
      </c>
      <c r="B144" s="41" t="s">
        <v>211</v>
      </c>
      <c r="C144" s="41"/>
      <c r="D144" s="41"/>
      <c r="E144" s="41"/>
      <c r="F144" s="41"/>
      <c r="G144" s="41"/>
      <c r="H144" s="41"/>
      <c r="I144" s="41"/>
      <c r="J144" s="41"/>
      <c r="K144" s="41"/>
      <c r="L144" s="41"/>
      <c r="M144" s="41"/>
      <c r="N144" s="41"/>
      <c r="O144" s="41"/>
      <c r="P144" s="41"/>
      <c r="Q144" s="41"/>
      <c r="R144" s="41"/>
      <c r="S144" s="41"/>
      <c r="T144" s="41"/>
      <c r="U144" s="41"/>
      <c r="V144" s="41"/>
    </row>
    <row r="145" spans="1:22" x14ac:dyDescent="0.55000000000000004">
      <c r="A145" s="41" t="s">
        <v>11</v>
      </c>
      <c r="B145" s="41"/>
      <c r="C145" s="41" t="s">
        <v>8</v>
      </c>
      <c r="D145" s="41" t="s">
        <v>9</v>
      </c>
      <c r="E145" s="41"/>
      <c r="F145" s="41">
        <v>2000</v>
      </c>
      <c r="G145" s="41">
        <v>2001</v>
      </c>
      <c r="H145" s="41">
        <v>2002</v>
      </c>
      <c r="I145" s="41">
        <v>2003</v>
      </c>
      <c r="J145" s="41">
        <v>2004</v>
      </c>
      <c r="K145" s="41">
        <v>2005</v>
      </c>
      <c r="L145" s="41">
        <v>2006</v>
      </c>
      <c r="M145" s="41">
        <v>2007</v>
      </c>
      <c r="N145" s="41">
        <v>2008</v>
      </c>
      <c r="O145" s="41">
        <v>2009</v>
      </c>
      <c r="P145" s="41">
        <v>2010</v>
      </c>
      <c r="Q145" s="41">
        <v>2011</v>
      </c>
      <c r="R145" s="41">
        <v>2012</v>
      </c>
      <c r="S145" s="41">
        <v>2013</v>
      </c>
      <c r="T145" s="41">
        <v>2014</v>
      </c>
      <c r="U145" s="41">
        <v>2015</v>
      </c>
      <c r="V145" s="41">
        <v>2016</v>
      </c>
    </row>
    <row r="146" spans="1:22" x14ac:dyDescent="0.55000000000000004">
      <c r="A146" s="41" t="s">
        <v>12</v>
      </c>
      <c r="B146" s="41" t="str">
        <f>IF(B144="Fixed Cost Program","...","Program Coverage")</f>
        <v>Program Coverage</v>
      </c>
      <c r="C146" s="41" t="str">
        <f>IF(B146&lt;&gt;"...","Number","")</f>
        <v>Number</v>
      </c>
      <c r="D146" s="39" t="str">
        <f>IF(B146&lt;&gt;"...",IF(SUMPRODUCT(--(F146:V146&lt;&gt;""))=0,0,"N.A."),"")</f>
        <v>N.A.</v>
      </c>
      <c r="E146" s="41" t="str">
        <f>IF(B146&lt;&gt;"...","OR","")</f>
        <v>OR</v>
      </c>
      <c r="F146" s="60"/>
      <c r="G146" s="60"/>
      <c r="H146" s="60"/>
      <c r="I146" s="60"/>
      <c r="J146" s="60"/>
      <c r="K146" s="60"/>
      <c r="L146" s="60"/>
      <c r="M146" s="60"/>
      <c r="N146" s="60"/>
      <c r="O146" s="60"/>
      <c r="P146" s="60"/>
      <c r="Q146" s="60"/>
      <c r="R146" s="60"/>
      <c r="S146" s="60"/>
      <c r="T146" s="60"/>
      <c r="U146" s="60">
        <f>SUM('[1]Notified Cases'!T30:T33,'[1]Notified Cases'!T40,'[1]Notified Cases'!T72:T75,'[1]Notified Cases'!T82)</f>
        <v>9.7213533818325519</v>
      </c>
      <c r="V146" s="44"/>
    </row>
    <row r="147" spans="1:22" x14ac:dyDescent="0.55000000000000004">
      <c r="A147" s="41" t="s">
        <v>11</v>
      </c>
      <c r="B147" s="41" t="s">
        <v>13</v>
      </c>
      <c r="C147" s="41" t="s">
        <v>15</v>
      </c>
      <c r="D147" s="39" t="str">
        <f>IF(SUMPRODUCT(--(F147:V147&lt;&gt;""))=0,0,"N.A.")</f>
        <v>N.A.</v>
      </c>
      <c r="E147" s="41" t="s">
        <v>16</v>
      </c>
      <c r="F147" s="65"/>
      <c r="G147" s="65"/>
      <c r="H147" s="65"/>
      <c r="I147" s="65"/>
      <c r="J147" s="65"/>
      <c r="K147" s="65"/>
      <c r="L147" s="65"/>
      <c r="M147" s="65"/>
      <c r="N147" s="65"/>
      <c r="O147" s="65"/>
      <c r="P147" s="65"/>
      <c r="Q147" s="65"/>
      <c r="R147" s="65"/>
      <c r="S147" s="65"/>
      <c r="T147" s="65"/>
      <c r="U147" s="65">
        <f>944544*0.86</f>
        <v>812307.84</v>
      </c>
      <c r="V147" s="65"/>
    </row>
    <row r="148" spans="1:22" x14ac:dyDescent="0.55000000000000004">
      <c r="A148" s="41" t="s">
        <v>11</v>
      </c>
      <c r="B148" s="41" t="str">
        <f>IF(B144="Fixed Cost Program","...",CONCATENATE("Unit Cost Estimate",IF(C146="Fraction"," (Per 1%)","")))</f>
        <v>Unit Cost Estimate</v>
      </c>
      <c r="C148" s="41" t="str">
        <f>IF(B148&lt;&gt;"...","USD","")</f>
        <v>USD</v>
      </c>
      <c r="D148" s="66">
        <f>97175*1.2</f>
        <v>116610</v>
      </c>
      <c r="E148" s="41" t="str">
        <f t="shared" ref="E148:E153" si="13">IF(B148&lt;&gt;"...","OR","")</f>
        <v>OR</v>
      </c>
      <c r="F148" s="65" t="str">
        <f>IF(B148&lt;&gt;"...","...","")</f>
        <v>...</v>
      </c>
      <c r="G148" s="65" t="str">
        <f>IF(B148&lt;&gt;"...","...","")</f>
        <v>...</v>
      </c>
      <c r="H148" s="65" t="str">
        <f>IF(B148&lt;&gt;"...","...","")</f>
        <v>...</v>
      </c>
      <c r="I148" s="65" t="str">
        <f>IF(B148&lt;&gt;"...","...","")</f>
        <v>...</v>
      </c>
      <c r="J148" s="65" t="str">
        <f>IF(B148&lt;&gt;"...","...","")</f>
        <v>...</v>
      </c>
      <c r="K148" s="65" t="str">
        <f>IF(B148&lt;&gt;"...","...","")</f>
        <v>...</v>
      </c>
      <c r="L148" s="65" t="str">
        <f>IF(B148&lt;&gt;"...","...","")</f>
        <v>...</v>
      </c>
      <c r="M148" s="65" t="str">
        <f>IF(B148&lt;&gt;"...","...","")</f>
        <v>...</v>
      </c>
      <c r="N148" s="65" t="str">
        <f>IF(B148&lt;&gt;"...","...","")</f>
        <v>...</v>
      </c>
      <c r="O148" s="65" t="str">
        <f>IF(B148&lt;&gt;"...","...","")</f>
        <v>...</v>
      </c>
      <c r="P148" s="65" t="str">
        <f>IF(B148&lt;&gt;"...","...","")</f>
        <v>...</v>
      </c>
      <c r="Q148" s="65" t="str">
        <f>IF(B148&lt;&gt;"...","...","")</f>
        <v>...</v>
      </c>
      <c r="R148" s="65" t="str">
        <f>IF(B148&lt;&gt;"...","...","")</f>
        <v>...</v>
      </c>
      <c r="S148" s="65" t="str">
        <f>IF(B148&lt;&gt;"...","...","")</f>
        <v>...</v>
      </c>
      <c r="T148" s="65" t="str">
        <f>IF(B148&lt;&gt;"...","...","")</f>
        <v>...</v>
      </c>
      <c r="U148" s="65" t="str">
        <f>IF(B148&lt;&gt;"...","...","")</f>
        <v>...</v>
      </c>
      <c r="V148" s="65" t="str">
        <f>IF(B148&lt;&gt;"...","...","")</f>
        <v>...</v>
      </c>
    </row>
    <row r="149" spans="1:22" x14ac:dyDescent="0.55000000000000004">
      <c r="A149" s="41" t="s">
        <v>17</v>
      </c>
      <c r="B149" s="41" t="str">
        <f>IF(B144="MDR/XDR Treatment Program","Efficacy (After Completed Treatment)",IF(B144="XDR Treat Program","Efficacy (After Completed Treatment)",IF(B144="MDR Treat Program","Efficacy (After Completed Treatment)",IF(B144="DS Treat Program","Efficacy (After Completed Treatment)",IF(B144="Latency Treat Program","Efficacy (After Completed Treatment)",IF(B144="Strain Diag Program","Sensitivity (Detection Probability)",IF(B144="DR Targeted Diagnosis Program","Sensitivity (Detection Probability)",IF(B144="DS Targeted Diagnosis Program","Sensitivity (Detection Probability)",IF(B144="Vaccination Program","Vaccination Effectiveness Probability",IF(B144="Fixed Cost Program","...","..."))))))))))</f>
        <v>Efficacy (After Completed Treatment)</v>
      </c>
      <c r="C149" s="41" t="str">
        <f>IF(B149&lt;&gt;"...","Unique","")</f>
        <v>Unique</v>
      </c>
      <c r="D149" s="39" t="str">
        <f>IF(B149&lt;&gt;"...",IF(SUMPRODUCT(--(F149:V149&lt;&gt;""))=0,0,"N.A."),"")</f>
        <v>N.A.</v>
      </c>
      <c r="E149" s="41" t="str">
        <f t="shared" si="13"/>
        <v>OR</v>
      </c>
      <c r="F149" s="40"/>
      <c r="G149" s="40"/>
      <c r="H149" s="40"/>
      <c r="I149" s="40"/>
      <c r="J149" s="40"/>
      <c r="K149" s="40"/>
      <c r="L149" s="40"/>
      <c r="M149" s="40"/>
      <c r="N149" s="40"/>
      <c r="O149" s="40"/>
      <c r="P149" s="40"/>
      <c r="Q149" s="40"/>
      <c r="R149" s="40"/>
      <c r="S149" s="40"/>
      <c r="T149" s="40"/>
      <c r="U149" s="40">
        <v>0.627</v>
      </c>
      <c r="V149" s="40"/>
    </row>
    <row r="150" spans="1:22" x14ac:dyDescent="0.55000000000000004">
      <c r="A150" s="41" t="s">
        <v>11</v>
      </c>
      <c r="B150" s="41" t="str">
        <f>IF(B144="MDR/XDR Treatment Program","Adherence Probability (Yearly)",IF(B144="XDR Treat Program","Adherence Probability (Yearly)",IF(B144="MDR Treat Program","Adherence Probability (Yearly)",IF(B144="DS Treat Program","Adherence Probability (Yearly)",IF(B144="Latency Treat Program","Adherence Probability (Yearly)",IF(B144="Strain Diag Program","Latents Identified (Per Active Case)",IF(B144="DR Targeted Diagnosis Program","Latents Identified (Per DR-TB Case)",IF(B144="DS Targeted Diagnosis Program","Latents Identified (Per DS-TB Case)",IF(B144="Vaccination Program","...",IF(B144="Fixed Cost Program","...","..."))))))))))</f>
        <v>Adherence Probability (Yearly)</v>
      </c>
      <c r="C150" s="41" t="str">
        <f>IF(B150&lt;&gt;"...","Unique","")</f>
        <v>Unique</v>
      </c>
      <c r="D150" s="39" t="str">
        <f>IF(B150&lt;&gt;"...",IF(SUMPRODUCT(--(F150:V150&lt;&gt;""))=0,0,"N.A."),"")</f>
        <v>N.A.</v>
      </c>
      <c r="E150" s="41" t="str">
        <f t="shared" si="13"/>
        <v>OR</v>
      </c>
      <c r="F150" s="40"/>
      <c r="G150" s="40"/>
      <c r="H150" s="40"/>
      <c r="I150" s="40"/>
      <c r="J150" s="40"/>
      <c r="K150" s="40"/>
      <c r="L150" s="40"/>
      <c r="M150" s="40"/>
      <c r="N150" s="40"/>
      <c r="O150" s="40"/>
      <c r="P150" s="40"/>
      <c r="Q150" s="40"/>
      <c r="R150" s="40"/>
      <c r="S150" s="40"/>
      <c r="T150" s="40"/>
      <c r="U150" s="40">
        <f>1-0.798</f>
        <v>0.20199999999999996</v>
      </c>
      <c r="V150" s="40"/>
    </row>
    <row r="151" spans="1:22" x14ac:dyDescent="0.55000000000000004">
      <c r="A151" s="41" t="s">
        <v>11</v>
      </c>
      <c r="B151" s="41" t="str">
        <f>IF(B144="MDR/XDR Treatment Program","Treatment Duration (Months)",IF(B144="XDR Treat Program","Treatment Duration (Months)",IF(B144="MDR Treat Program","Treatment Duration (Months)",IF(B144="DS Treat Program","Treatment Duration (Months)",IF(B144="Latency Treat Program","Treatment Duration (Months)",IF(B144="Strain Diag Program","Latent Treatment Efficacy (After Completed Treatment)",IF(B144="DR Targeted Diagnosis Program","Latent Treatment Efficacy (After Completed Treatment)",IF(B144="DS Targeted Diagnosis Program","Latent Treatment Efficacy (After Completed Treatment)",IF(B144="Vaccination Program","...",IF(B144="Fixed Cost Program","...","..."))))))))))</f>
        <v>Treatment Duration (Months)</v>
      </c>
      <c r="C151" s="41" t="str">
        <f>IF(B151&lt;&gt;"...","Unique","")</f>
        <v>Unique</v>
      </c>
      <c r="D151" s="39" t="str">
        <f>IF(B151&lt;&gt;"...",IF(SUMPRODUCT(--(F151:V151&lt;&gt;""))=0,0,"N.A."),"")</f>
        <v>N.A.</v>
      </c>
      <c r="E151" s="41" t="str">
        <f t="shared" si="13"/>
        <v>OR</v>
      </c>
      <c r="F151" s="64">
        <v>24</v>
      </c>
      <c r="G151" s="64">
        <v>24</v>
      </c>
      <c r="H151" s="64">
        <v>24</v>
      </c>
      <c r="I151" s="64">
        <v>24</v>
      </c>
      <c r="J151" s="64">
        <v>24</v>
      </c>
      <c r="K151" s="64">
        <v>24</v>
      </c>
      <c r="L151" s="64">
        <v>24</v>
      </c>
      <c r="M151" s="64">
        <v>24</v>
      </c>
      <c r="N151" s="64">
        <v>24</v>
      </c>
      <c r="O151" s="64">
        <v>24</v>
      </c>
      <c r="P151" s="64">
        <v>24</v>
      </c>
      <c r="Q151" s="64">
        <v>24</v>
      </c>
      <c r="R151" s="64">
        <v>24</v>
      </c>
      <c r="S151" s="64">
        <v>24</v>
      </c>
      <c r="T151" s="64">
        <v>24</v>
      </c>
      <c r="U151" s="64">
        <v>24</v>
      </c>
      <c r="V151" s="64">
        <v>24</v>
      </c>
    </row>
    <row r="152" spans="1:22" x14ac:dyDescent="0.55000000000000004">
      <c r="A152" s="41" t="s">
        <v>11</v>
      </c>
      <c r="B152" s="41" t="str">
        <f>IF(B144="MDR/XDR Treatment Program","...",IF(B144="XDR Treat Program","...",IF(B144="MDR Treat Program","...",IF(B144="DS Treat Program","...",IF(B144="Latency Treat Program","...",IF(B144="Strain Diag Program","Latent Treatment Adherence Probability (Yearly)",IF(B144="DR Targeted Diagnosis Program","Latent Treatment Adherence Probability (Yearly)",IF(B144="DS Targeted Diagnosis Program","Latent Treatment Adherence Probability (Yearly)",IF(B144="Vaccination Program","...",IF(B144="Fixed Cost Program","...","..."))))))))))</f>
        <v>...</v>
      </c>
      <c r="C152" s="41" t="str">
        <f>IF(B152&lt;&gt;"...","Unique","")</f>
        <v/>
      </c>
      <c r="D152" s="39" t="str">
        <f>IF(B152&lt;&gt;"...",IF(SUMPRODUCT(--(F152:V152&lt;&gt;""))=0,0,"N.A."),"")</f>
        <v/>
      </c>
      <c r="E152" s="41" t="str">
        <f t="shared" si="13"/>
        <v/>
      </c>
      <c r="F152" s="40"/>
      <c r="G152" s="40"/>
      <c r="H152" s="40"/>
      <c r="I152" s="40"/>
      <c r="J152" s="40"/>
      <c r="K152" s="40"/>
      <c r="L152" s="40"/>
      <c r="M152" s="40"/>
      <c r="N152" s="40"/>
      <c r="O152" s="40"/>
      <c r="P152" s="40"/>
      <c r="Q152" s="40"/>
      <c r="R152" s="40"/>
      <c r="S152" s="40"/>
      <c r="T152" s="40"/>
      <c r="U152" s="40"/>
      <c r="V152" s="40"/>
    </row>
    <row r="153" spans="1:22" x14ac:dyDescent="0.55000000000000004">
      <c r="A153" s="41" t="s">
        <v>11</v>
      </c>
      <c r="B153" s="41" t="str">
        <f>IF(B144="MDR/XDR Treatment Program","...",IF(B144="XDR Treat Program","...",IF(B144="MDR Treat Program","...",IF(B144="DS Treat Program","...",IF(B144="Latency Treat Program","...",IF(B144="Strain Diag Program","Latent Treatment Duration (Months)",IF(B144="DR Targeted Diagnosis Program","Latent Treatment Duration (Months)",IF(B144="DS Targeted Diagnosis Program","Latent Treatment Duration (Months)",IF(B144="Vaccination Program","...",IF(B144="Fixed Cost Program","...","..."))))))))))</f>
        <v>...</v>
      </c>
      <c r="C153" s="41" t="str">
        <f>IF(B153&lt;&gt;"...","Unique","")</f>
        <v/>
      </c>
      <c r="D153" s="39" t="str">
        <f>IF(B153&lt;&gt;"...",IF(SUMPRODUCT(--(F153:V153&lt;&gt;""))=0,0,"N.A."),"")</f>
        <v/>
      </c>
      <c r="E153" s="41" t="str">
        <f t="shared" si="13"/>
        <v/>
      </c>
      <c r="F153" s="40"/>
      <c r="G153" s="40"/>
      <c r="H153" s="40"/>
      <c r="I153" s="40"/>
      <c r="J153" s="40"/>
      <c r="K153" s="40"/>
      <c r="L153" s="40"/>
      <c r="M153" s="40"/>
      <c r="N153" s="40"/>
      <c r="O153" s="40"/>
      <c r="P153" s="40"/>
      <c r="Q153" s="40"/>
      <c r="R153" s="40"/>
      <c r="S153" s="40"/>
      <c r="T153" s="40"/>
      <c r="U153" s="40"/>
      <c r="V153" s="40"/>
    </row>
    <row r="154" spans="1:22" x14ac:dyDescent="0.55000000000000004">
      <c r="A154" s="41"/>
    </row>
    <row r="155" spans="1:22" x14ac:dyDescent="0.55000000000000004">
      <c r="A155" s="41" t="str">
        <f>'Program Definitions'!$A$16</f>
        <v>XDR-new drug regimen shortened (BDQ and LZD)</v>
      </c>
      <c r="B155" s="41" t="s">
        <v>211</v>
      </c>
      <c r="C155" s="41"/>
      <c r="D155" s="41"/>
      <c r="E155" s="41"/>
      <c r="F155" s="41"/>
      <c r="G155" s="41"/>
      <c r="H155" s="41"/>
      <c r="I155" s="41"/>
      <c r="J155" s="41"/>
      <c r="K155" s="41"/>
      <c r="L155" s="41"/>
      <c r="M155" s="41"/>
      <c r="N155" s="41"/>
      <c r="O155" s="41"/>
      <c r="P155" s="41"/>
      <c r="Q155" s="41"/>
      <c r="R155" s="41"/>
      <c r="S155" s="41"/>
      <c r="T155" s="41"/>
      <c r="U155" s="41"/>
      <c r="V155" s="41"/>
    </row>
    <row r="156" spans="1:22" x14ac:dyDescent="0.55000000000000004">
      <c r="A156" s="41" t="s">
        <v>11</v>
      </c>
      <c r="B156" s="41"/>
      <c r="C156" s="41" t="s">
        <v>8</v>
      </c>
      <c r="D156" s="41" t="s">
        <v>9</v>
      </c>
      <c r="E156" s="41"/>
      <c r="F156" s="41">
        <v>2000</v>
      </c>
      <c r="G156" s="41">
        <v>2001</v>
      </c>
      <c r="H156" s="41">
        <v>2002</v>
      </c>
      <c r="I156" s="41">
        <v>2003</v>
      </c>
      <c r="J156" s="41">
        <v>2004</v>
      </c>
      <c r="K156" s="41">
        <v>2005</v>
      </c>
      <c r="L156" s="41">
        <v>2006</v>
      </c>
      <c r="M156" s="41">
        <v>2007</v>
      </c>
      <c r="N156" s="41">
        <v>2008</v>
      </c>
      <c r="O156" s="41">
        <v>2009</v>
      </c>
      <c r="P156" s="41">
        <v>2010</v>
      </c>
      <c r="Q156" s="41">
        <v>2011</v>
      </c>
      <c r="R156" s="41">
        <v>2012</v>
      </c>
      <c r="S156" s="41">
        <v>2013</v>
      </c>
      <c r="T156" s="41">
        <v>2014</v>
      </c>
      <c r="U156" s="41">
        <v>2015</v>
      </c>
      <c r="V156" s="41">
        <v>2016</v>
      </c>
    </row>
    <row r="157" spans="1:22" x14ac:dyDescent="0.55000000000000004">
      <c r="A157" s="41" t="s">
        <v>12</v>
      </c>
      <c r="B157" s="41" t="str">
        <f>IF(B155="Fixed Cost Program","...","Program Coverage")</f>
        <v>Program Coverage</v>
      </c>
      <c r="C157" s="41" t="str">
        <f>IF(B157&lt;&gt;"...","Number","")</f>
        <v>Number</v>
      </c>
      <c r="D157" s="39" t="str">
        <f>IF(B157&lt;&gt;"...",IF(SUMPRODUCT(--(F157:V157&lt;&gt;""))=0,0,"N.A."),"")</f>
        <v>N.A.</v>
      </c>
      <c r="E157" s="41" t="str">
        <f>IF(B157&lt;&gt;"...","OR","")</f>
        <v>OR</v>
      </c>
      <c r="F157" s="60"/>
      <c r="G157" s="60"/>
      <c r="H157" s="60"/>
      <c r="I157" s="60"/>
      <c r="J157" s="60"/>
      <c r="K157" s="60"/>
      <c r="L157" s="60"/>
      <c r="M157" s="60"/>
      <c r="N157" s="60"/>
      <c r="O157" s="60"/>
      <c r="P157" s="60"/>
      <c r="Q157" s="60"/>
      <c r="R157" s="60"/>
      <c r="S157" s="60"/>
      <c r="T157" s="60"/>
      <c r="U157" s="60">
        <v>0</v>
      </c>
      <c r="V157" s="44"/>
    </row>
    <row r="158" spans="1:22" x14ac:dyDescent="0.55000000000000004">
      <c r="A158" s="41" t="s">
        <v>11</v>
      </c>
      <c r="B158" s="41" t="s">
        <v>13</v>
      </c>
      <c r="C158" s="41" t="s">
        <v>15</v>
      </c>
      <c r="D158" s="39" t="str">
        <f>IF(SUMPRODUCT(--(F158:V158&lt;&gt;""))=0,0,"N.A.")</f>
        <v>N.A.</v>
      </c>
      <c r="E158" s="41" t="s">
        <v>16</v>
      </c>
      <c r="F158" s="65"/>
      <c r="G158" s="65"/>
      <c r="H158" s="65"/>
      <c r="I158" s="65"/>
      <c r="J158" s="65"/>
      <c r="K158" s="65"/>
      <c r="L158" s="65"/>
      <c r="M158" s="65"/>
      <c r="N158" s="65"/>
      <c r="O158" s="65"/>
      <c r="P158" s="65"/>
      <c r="Q158" s="65"/>
      <c r="R158" s="65"/>
      <c r="S158" s="65"/>
      <c r="T158" s="65"/>
      <c r="U158" s="65">
        <v>0</v>
      </c>
      <c r="V158" s="65"/>
    </row>
    <row r="159" spans="1:22" x14ac:dyDescent="0.55000000000000004">
      <c r="A159" s="41" t="s">
        <v>11</v>
      </c>
      <c r="B159" s="41" t="str">
        <f>IF(B155="Fixed Cost Program","...",CONCATENATE("Unit Cost Estimate",IF(C157="Fraction"," (Per 1%)","")))</f>
        <v>Unit Cost Estimate</v>
      </c>
      <c r="C159" s="41" t="str">
        <f>IF(B159&lt;&gt;"...","USD","")</f>
        <v>USD</v>
      </c>
      <c r="D159" s="66">
        <v>129289</v>
      </c>
      <c r="E159" s="41" t="str">
        <f t="shared" ref="E159:E164" si="14">IF(B159&lt;&gt;"...","OR","")</f>
        <v>OR</v>
      </c>
      <c r="F159" s="65" t="str">
        <f>IF(B159&lt;&gt;"...","...","")</f>
        <v>...</v>
      </c>
      <c r="G159" s="65" t="str">
        <f>IF(B159&lt;&gt;"...","...","")</f>
        <v>...</v>
      </c>
      <c r="H159" s="65" t="str">
        <f>IF(B159&lt;&gt;"...","...","")</f>
        <v>...</v>
      </c>
      <c r="I159" s="65" t="str">
        <f>IF(B159&lt;&gt;"...","...","")</f>
        <v>...</v>
      </c>
      <c r="J159" s="65" t="str">
        <f>IF(B159&lt;&gt;"...","...","")</f>
        <v>...</v>
      </c>
      <c r="K159" s="65" t="str">
        <f>IF(B159&lt;&gt;"...","...","")</f>
        <v>...</v>
      </c>
      <c r="L159" s="65" t="str">
        <f>IF(B159&lt;&gt;"...","...","")</f>
        <v>...</v>
      </c>
      <c r="M159" s="65" t="str">
        <f>IF(B159&lt;&gt;"...","...","")</f>
        <v>...</v>
      </c>
      <c r="N159" s="65" t="str">
        <f>IF(B159&lt;&gt;"...","...","")</f>
        <v>...</v>
      </c>
      <c r="O159" s="65" t="str">
        <f>IF(B159&lt;&gt;"...","...","")</f>
        <v>...</v>
      </c>
      <c r="P159" s="65" t="str">
        <f>IF(B159&lt;&gt;"...","...","")</f>
        <v>...</v>
      </c>
      <c r="Q159" s="65" t="str">
        <f>IF(B159&lt;&gt;"...","...","")</f>
        <v>...</v>
      </c>
      <c r="R159" s="65" t="str">
        <f>IF(B159&lt;&gt;"...","...","")</f>
        <v>...</v>
      </c>
      <c r="S159" s="65" t="str">
        <f>IF(B159&lt;&gt;"...","...","")</f>
        <v>...</v>
      </c>
      <c r="T159" s="65" t="str">
        <f>IF(B159&lt;&gt;"...","...","")</f>
        <v>...</v>
      </c>
      <c r="U159" s="65" t="str">
        <f>IF(B159&lt;&gt;"...","...","")</f>
        <v>...</v>
      </c>
      <c r="V159" s="65" t="str">
        <f>IF(B159&lt;&gt;"...","...","")</f>
        <v>...</v>
      </c>
    </row>
    <row r="160" spans="1:22" x14ac:dyDescent="0.55000000000000004">
      <c r="A160" s="41" t="s">
        <v>17</v>
      </c>
      <c r="B160" s="41" t="str">
        <f>IF(B155="MDR/XDR Treatment Program","Efficacy (After Completed Treatment)",IF(B155="XDR Treat Program","Efficacy (After Completed Treatment)",IF(B155="MDR Treat Program","Efficacy (After Completed Treatment)",IF(B155="DS Treat Program","Efficacy (After Completed Treatment)",IF(B155="Latency Treat Program","Efficacy (After Completed Treatment)",IF(B155="Strain Diag Program","Sensitivity (Detection Probability)",IF(B155="DR Targeted Diagnosis Program","Sensitivity (Detection Probability)",IF(B155="DS Targeted Diagnosis Program","Sensitivity (Detection Probability)",IF(B155="Vaccination Program","Vaccination Effectiveness Probability",IF(B155="Fixed Cost Program","...","..."))))))))))</f>
        <v>Efficacy (After Completed Treatment)</v>
      </c>
      <c r="C160" s="41" t="str">
        <f>IF(B160&lt;&gt;"...","Unique","")</f>
        <v>Unique</v>
      </c>
      <c r="D160" s="39" t="str">
        <f>IF(B160&lt;&gt;"...",IF(SUMPRODUCT(--(F160:V160&lt;&gt;""))=0,0,"N.A."),"")</f>
        <v>N.A.</v>
      </c>
      <c r="E160" s="41" t="str">
        <f t="shared" si="14"/>
        <v>OR</v>
      </c>
      <c r="F160" s="40"/>
      <c r="G160" s="40"/>
      <c r="H160" s="40"/>
      <c r="I160" s="40"/>
      <c r="J160" s="40"/>
      <c r="K160" s="40"/>
      <c r="L160" s="40"/>
      <c r="M160" s="40"/>
      <c r="N160" s="40"/>
      <c r="O160" s="40"/>
      <c r="P160" s="40"/>
      <c r="Q160" s="40"/>
      <c r="R160" s="40"/>
      <c r="S160" s="40"/>
      <c r="T160" s="40"/>
      <c r="U160" s="40">
        <v>0.66349999999999998</v>
      </c>
      <c r="V160" s="40"/>
    </row>
    <row r="161" spans="1:22" x14ac:dyDescent="0.55000000000000004">
      <c r="A161" s="41" t="s">
        <v>11</v>
      </c>
      <c r="B161" s="41" t="str">
        <f>IF(B155="MDR/XDR Treatment Program","Adherence Probability (Yearly)",IF(B155="XDR Treat Program","Adherence Probability (Yearly)",IF(B155="MDR Treat Program","Adherence Probability (Yearly)",IF(B155="DS Treat Program","Adherence Probability (Yearly)",IF(B155="Latency Treat Program","Adherence Probability (Yearly)",IF(B155="Strain Diag Program","Latents Identified (Per Active Case)",IF(B155="DR Targeted Diagnosis Program","Latents Identified (Per DR-TB Case)",IF(B155="DS Targeted Diagnosis Program","Latents Identified (Per DS-TB Case)",IF(B155="Vaccination Program","...",IF(B155="Fixed Cost Program","...","..."))))))))))</f>
        <v>Adherence Probability (Yearly)</v>
      </c>
      <c r="C161" s="41" t="str">
        <f>IF(B161&lt;&gt;"...","Unique","")</f>
        <v>Unique</v>
      </c>
      <c r="D161" s="39" t="str">
        <f>IF(B161&lt;&gt;"...",IF(SUMPRODUCT(--(F161:V161&lt;&gt;""))=0,0,"N.A."),"")</f>
        <v>N.A.</v>
      </c>
      <c r="E161" s="41" t="str">
        <f t="shared" si="14"/>
        <v>OR</v>
      </c>
      <c r="F161" s="40"/>
      <c r="G161" s="40"/>
      <c r="H161" s="40"/>
      <c r="I161" s="40"/>
      <c r="J161" s="40"/>
      <c r="K161" s="40"/>
      <c r="L161" s="40"/>
      <c r="M161" s="40"/>
      <c r="N161" s="40"/>
      <c r="O161" s="40"/>
      <c r="P161" s="40"/>
      <c r="Q161" s="40"/>
      <c r="R161" s="40"/>
      <c r="S161" s="40"/>
      <c r="T161" s="40"/>
      <c r="U161" s="40">
        <f>1-(0.01+0.099)</f>
        <v>0.89100000000000001</v>
      </c>
      <c r="V161" s="40"/>
    </row>
    <row r="162" spans="1:22" x14ac:dyDescent="0.55000000000000004">
      <c r="A162" s="41" t="s">
        <v>11</v>
      </c>
      <c r="B162" s="41" t="str">
        <f>IF(B155="MDR/XDR Treatment Program","Treatment Duration (Months)",IF(B155="XDR Treat Program","Treatment Duration (Months)",IF(B155="MDR Treat Program","Treatment Duration (Months)",IF(B155="DS Treat Program","Treatment Duration (Months)",IF(B155="Latency Treat Program","Treatment Duration (Months)",IF(B155="Strain Diag Program","Latent Treatment Efficacy (After Completed Treatment)",IF(B155="DR Targeted Diagnosis Program","Latent Treatment Efficacy (After Completed Treatment)",IF(B155="DS Targeted Diagnosis Program","Latent Treatment Efficacy (After Completed Treatment)",IF(B155="Vaccination Program","...",IF(B155="Fixed Cost Program","...","..."))))))))))</f>
        <v>Treatment Duration (Months)</v>
      </c>
      <c r="C162" s="41" t="str">
        <f>IF(B162&lt;&gt;"...","Unique","")</f>
        <v>Unique</v>
      </c>
      <c r="D162" s="39" t="str">
        <f>IF(B162&lt;&gt;"...",IF(SUMPRODUCT(--(F162:V162&lt;&gt;""))=0,0,"N.A."),"")</f>
        <v>N.A.</v>
      </c>
      <c r="E162" s="41" t="str">
        <f t="shared" si="14"/>
        <v>OR</v>
      </c>
      <c r="F162" s="64">
        <v>21</v>
      </c>
      <c r="G162" s="64">
        <v>21</v>
      </c>
      <c r="H162" s="64">
        <v>21</v>
      </c>
      <c r="I162" s="64">
        <v>21</v>
      </c>
      <c r="J162" s="64">
        <v>21</v>
      </c>
      <c r="K162" s="64">
        <v>21</v>
      </c>
      <c r="L162" s="64">
        <v>21</v>
      </c>
      <c r="M162" s="64">
        <v>21</v>
      </c>
      <c r="N162" s="64">
        <v>21</v>
      </c>
      <c r="O162" s="64">
        <v>21</v>
      </c>
      <c r="P162" s="64">
        <v>21</v>
      </c>
      <c r="Q162" s="64">
        <v>21</v>
      </c>
      <c r="R162" s="64">
        <v>21</v>
      </c>
      <c r="S162" s="64">
        <v>21</v>
      </c>
      <c r="T162" s="64">
        <v>21</v>
      </c>
      <c r="U162" s="64">
        <v>21</v>
      </c>
      <c r="V162" s="64">
        <v>21</v>
      </c>
    </row>
    <row r="163" spans="1:22" x14ac:dyDescent="0.55000000000000004">
      <c r="A163" s="41" t="s">
        <v>11</v>
      </c>
      <c r="B163" s="41" t="str">
        <f>IF(B155="MDR/XDR Treatment Program","...",IF(B155="XDR Treat Program","...",IF(B155="MDR Treat Program","...",IF(B155="DS Treat Program","...",IF(B155="Latency Treat Program","...",IF(B155="Strain Diag Program","Latent Treatment Adherence Probability (Yearly)",IF(B155="DR Targeted Diagnosis Program","Latent Treatment Adherence Probability (Yearly)",IF(B155="DS Targeted Diagnosis Program","Latent Treatment Adherence Probability (Yearly)",IF(B155="Vaccination Program","...",IF(B155="Fixed Cost Program","...","..."))))))))))</f>
        <v>...</v>
      </c>
      <c r="C163" s="41" t="str">
        <f>IF(B163&lt;&gt;"...","Unique","")</f>
        <v/>
      </c>
      <c r="D163" s="39" t="str">
        <f>IF(B163&lt;&gt;"...",IF(SUMPRODUCT(--(F163:V163&lt;&gt;""))=0,0,"N.A."),"")</f>
        <v/>
      </c>
      <c r="E163" s="41" t="str">
        <f t="shared" si="14"/>
        <v/>
      </c>
      <c r="F163" s="40"/>
      <c r="G163" s="40"/>
      <c r="H163" s="40"/>
      <c r="I163" s="40"/>
      <c r="J163" s="40"/>
      <c r="K163" s="40"/>
      <c r="L163" s="40"/>
      <c r="M163" s="40"/>
      <c r="N163" s="40"/>
      <c r="O163" s="40"/>
      <c r="P163" s="40"/>
      <c r="Q163" s="40"/>
      <c r="R163" s="40"/>
      <c r="S163" s="40"/>
      <c r="T163" s="40"/>
      <c r="U163" s="40"/>
      <c r="V163" s="40"/>
    </row>
    <row r="164" spans="1:22" x14ac:dyDescent="0.55000000000000004">
      <c r="A164" s="41" t="s">
        <v>11</v>
      </c>
      <c r="B164" s="41" t="str">
        <f>IF(B155="MDR/XDR Treatment Program","...",IF(B155="XDR Treat Program","...",IF(B155="MDR Treat Program","...",IF(B155="DS Treat Program","...",IF(B155="Latency Treat Program","...",IF(B155="Strain Diag Program","Latent Treatment Duration (Months)",IF(B155="DR Targeted Diagnosis Program","Latent Treatment Duration (Months)",IF(B155="DS Targeted Diagnosis Program","Latent Treatment Duration (Months)",IF(B155="Vaccination Program","...",IF(B155="Fixed Cost Program","...","..."))))))))))</f>
        <v>...</v>
      </c>
      <c r="C164" s="41" t="str">
        <f>IF(B164&lt;&gt;"...","Unique","")</f>
        <v/>
      </c>
      <c r="D164" s="39" t="str">
        <f>IF(B164&lt;&gt;"...",IF(SUMPRODUCT(--(F164:V164&lt;&gt;""))=0,0,"N.A."),"")</f>
        <v/>
      </c>
      <c r="E164" s="41" t="str">
        <f t="shared" si="14"/>
        <v/>
      </c>
      <c r="F164" s="40"/>
      <c r="G164" s="40"/>
      <c r="H164" s="40"/>
      <c r="I164" s="40"/>
      <c r="J164" s="40"/>
      <c r="K164" s="40"/>
      <c r="L164" s="40"/>
      <c r="M164" s="40"/>
      <c r="N164" s="40"/>
      <c r="O164" s="40"/>
      <c r="P164" s="40"/>
      <c r="Q164" s="40"/>
      <c r="R164" s="40"/>
      <c r="S164" s="40"/>
      <c r="T164" s="40"/>
      <c r="U164" s="40"/>
      <c r="V164" s="40"/>
    </row>
    <row r="165" spans="1:22" x14ac:dyDescent="0.55000000000000004">
      <c r="A165" s="41"/>
    </row>
    <row r="166" spans="1:22" x14ac:dyDescent="0.55000000000000004">
      <c r="A166" s="41" t="str">
        <f>'Program Definitions'!$A$17</f>
        <v>HIV+: DS TB</v>
      </c>
      <c r="B166" s="41" t="s">
        <v>209</v>
      </c>
      <c r="C166" s="41"/>
      <c r="D166" s="41"/>
      <c r="E166" s="41"/>
      <c r="F166" s="41"/>
      <c r="G166" s="41"/>
      <c r="H166" s="41"/>
      <c r="I166" s="41"/>
      <c r="J166" s="41"/>
      <c r="K166" s="41"/>
      <c r="L166" s="41"/>
      <c r="M166" s="41"/>
      <c r="N166" s="41"/>
      <c r="O166" s="41"/>
      <c r="P166" s="41"/>
      <c r="Q166" s="41"/>
      <c r="R166" s="41"/>
      <c r="S166" s="41"/>
      <c r="T166" s="41"/>
      <c r="U166" s="41"/>
      <c r="V166" s="41"/>
    </row>
    <row r="167" spans="1:22" x14ac:dyDescent="0.55000000000000004">
      <c r="A167" s="41" t="s">
        <v>11</v>
      </c>
      <c r="B167" s="41"/>
      <c r="C167" s="41" t="s">
        <v>8</v>
      </c>
      <c r="D167" s="41" t="s">
        <v>9</v>
      </c>
      <c r="E167" s="41"/>
      <c r="F167" s="41">
        <v>2000</v>
      </c>
      <c r="G167" s="41">
        <v>2001</v>
      </c>
      <c r="H167" s="41">
        <v>2002</v>
      </c>
      <c r="I167" s="41">
        <v>2003</v>
      </c>
      <c r="J167" s="41">
        <v>2004</v>
      </c>
      <c r="K167" s="41">
        <v>2005</v>
      </c>
      <c r="L167" s="41">
        <v>2006</v>
      </c>
      <c r="M167" s="41">
        <v>2007</v>
      </c>
      <c r="N167" s="41">
        <v>2008</v>
      </c>
      <c r="O167" s="41">
        <v>2009</v>
      </c>
      <c r="P167" s="41">
        <v>2010</v>
      </c>
      <c r="Q167" s="41">
        <v>2011</v>
      </c>
      <c r="R167" s="41">
        <v>2012</v>
      </c>
      <c r="S167" s="41">
        <v>2013</v>
      </c>
      <c r="T167" s="41">
        <v>2014</v>
      </c>
      <c r="U167" s="41">
        <v>2015</v>
      </c>
      <c r="V167" s="41">
        <v>2016</v>
      </c>
    </row>
    <row r="168" spans="1:22" x14ac:dyDescent="0.55000000000000004">
      <c r="A168" s="41" t="s">
        <v>12</v>
      </c>
      <c r="B168" s="41" t="str">
        <f>IF(B166="Fixed Cost Program","...","Program Coverage")</f>
        <v>Program Coverage</v>
      </c>
      <c r="C168" s="41" t="str">
        <f>IF(B168&lt;&gt;"...","Number","")</f>
        <v>Number</v>
      </c>
      <c r="D168" s="39" t="str">
        <f>IF(B168&lt;&gt;"...",IF(SUMPRODUCT(--(F168:V168&lt;&gt;""))=0,0,"N.A."),"")</f>
        <v>N.A.</v>
      </c>
      <c r="E168" s="41" t="str">
        <f>IF(B168&lt;&gt;"...","OR","")</f>
        <v>OR</v>
      </c>
      <c r="F168" s="60"/>
      <c r="G168" s="60"/>
      <c r="H168" s="60"/>
      <c r="I168" s="60"/>
      <c r="J168" s="60"/>
      <c r="K168" s="60"/>
      <c r="L168" s="60"/>
      <c r="M168" s="60"/>
      <c r="N168" s="60"/>
      <c r="O168" s="60"/>
      <c r="P168" s="60"/>
      <c r="Q168" s="60"/>
      <c r="R168" s="60"/>
      <c r="S168" s="60"/>
      <c r="T168" s="60"/>
      <c r="U168" s="60">
        <f>SUM('[1]Notified Cases'!T6:T7,'[1]Notified Cases'!T9,'[1]Notified Cases'!T13,'[1]Notified Cases'!T48:T49,'[1]Notified Cases'!T51,'[1]Notified Cases'!T55)*'[1]Active TB Testing and Treatment'!T16</f>
        <v>31601.456435398006</v>
      </c>
      <c r="V168" s="44"/>
    </row>
    <row r="169" spans="1:22" x14ac:dyDescent="0.55000000000000004">
      <c r="A169" s="41" t="s">
        <v>11</v>
      </c>
      <c r="B169" s="41" t="s">
        <v>13</v>
      </c>
      <c r="C169" s="41" t="s">
        <v>15</v>
      </c>
      <c r="D169" s="39" t="str">
        <f>IF(SUMPRODUCT(--(F169:V169&lt;&gt;""))=0,0,"N.A.")</f>
        <v>N.A.</v>
      </c>
      <c r="E169" s="41" t="s">
        <v>16</v>
      </c>
      <c r="F169" s="65"/>
      <c r="G169" s="65"/>
      <c r="H169" s="65"/>
      <c r="I169" s="65"/>
      <c r="J169" s="65"/>
      <c r="K169" s="65"/>
      <c r="L169" s="65"/>
      <c r="M169" s="65"/>
      <c r="N169" s="65"/>
      <c r="O169" s="65"/>
      <c r="P169" s="65"/>
      <c r="Q169" s="65"/>
      <c r="R169" s="65"/>
      <c r="S169" s="65"/>
      <c r="T169" s="65"/>
      <c r="U169" s="65">
        <v>90533507</v>
      </c>
      <c r="V169" s="65"/>
    </row>
    <row r="170" spans="1:22" x14ac:dyDescent="0.55000000000000004">
      <c r="A170" s="41" t="s">
        <v>11</v>
      </c>
      <c r="B170" s="41" t="str">
        <f>IF(B166="Fixed Cost Program","...",CONCATENATE("Unit Cost Estimate",IF(C168="Fraction"," (Per 1%)","")))</f>
        <v>Unit Cost Estimate</v>
      </c>
      <c r="C170" s="41" t="str">
        <f>IF(B170&lt;&gt;"...","USD","")</f>
        <v>USD</v>
      </c>
      <c r="D170" s="66">
        <f>2865*1.25*2</f>
        <v>7162.5</v>
      </c>
      <c r="E170" s="41" t="str">
        <f t="shared" ref="E170:E175" si="15">IF(B170&lt;&gt;"...","OR","")</f>
        <v>OR</v>
      </c>
      <c r="F170" s="65" t="str">
        <f>IF(B170&lt;&gt;"...","...","")</f>
        <v>...</v>
      </c>
      <c r="G170" s="65" t="str">
        <f>IF(B170&lt;&gt;"...","...","")</f>
        <v>...</v>
      </c>
      <c r="H170" s="65" t="str">
        <f>IF(B170&lt;&gt;"...","...","")</f>
        <v>...</v>
      </c>
      <c r="I170" s="65" t="str">
        <f>IF(B170&lt;&gt;"...","...","")</f>
        <v>...</v>
      </c>
      <c r="J170" s="65" t="str">
        <f>IF(B170&lt;&gt;"...","...","")</f>
        <v>...</v>
      </c>
      <c r="K170" s="65" t="str">
        <f>IF(B170&lt;&gt;"...","...","")</f>
        <v>...</v>
      </c>
      <c r="L170" s="65" t="str">
        <f>IF(B170&lt;&gt;"...","...","")</f>
        <v>...</v>
      </c>
      <c r="M170" s="65" t="str">
        <f>IF(B170&lt;&gt;"...","...","")</f>
        <v>...</v>
      </c>
      <c r="N170" s="65" t="str">
        <f>IF(B170&lt;&gt;"...","...","")</f>
        <v>...</v>
      </c>
      <c r="O170" s="65" t="str">
        <f>IF(B170&lt;&gt;"...","...","")</f>
        <v>...</v>
      </c>
      <c r="P170" s="65" t="str">
        <f>IF(B170&lt;&gt;"...","...","")</f>
        <v>...</v>
      </c>
      <c r="Q170" s="65" t="str">
        <f>IF(B170&lt;&gt;"...","...","")</f>
        <v>...</v>
      </c>
      <c r="R170" s="65" t="str">
        <f>IF(B170&lt;&gt;"...","...","")</f>
        <v>...</v>
      </c>
      <c r="S170" s="65" t="str">
        <f>IF(B170&lt;&gt;"...","...","")</f>
        <v>...</v>
      </c>
      <c r="T170" s="65" t="str">
        <f>IF(B170&lt;&gt;"...","...","")</f>
        <v>...</v>
      </c>
      <c r="U170" s="65" t="str">
        <f>IF(B170&lt;&gt;"...","...","")</f>
        <v>...</v>
      </c>
      <c r="V170" s="65" t="str">
        <f>IF(B170&lt;&gt;"...","...","")</f>
        <v>...</v>
      </c>
    </row>
    <row r="171" spans="1:22" x14ac:dyDescent="0.55000000000000004">
      <c r="A171" s="41" t="s">
        <v>17</v>
      </c>
      <c r="B171" s="41" t="str">
        <f>IF(B166="MDR/XDR Treatment Program","Efficacy (After Completed Treatment)",IF(B166="XDR Treat Program","Efficacy (After Completed Treatment)",IF(B166="MDR Treat Program","Efficacy (After Completed Treatment)",IF(B166="DS Treat Program","Efficacy (After Completed Treatment)",IF(B166="Latency Treat Program","Efficacy (After Completed Treatment)",IF(B166="Strain Diag Program","Sensitivity (Detection Probability)",IF(B166="DR Targeted Diagnosis Program","Sensitivity (Detection Probability)",IF(B166="DS Targeted Diagnosis Program","Sensitivity (Detection Probability)",IF(B166="Vaccination Program","Vaccination Effectiveness Probability",IF(B166="Fixed Cost Program","...","..."))))))))))</f>
        <v>Efficacy (After Completed Treatment)</v>
      </c>
      <c r="C171" s="41" t="str">
        <f>IF(B171&lt;&gt;"...","Unique","")</f>
        <v>Unique</v>
      </c>
      <c r="D171" s="39" t="str">
        <f>IF(B171&lt;&gt;"...",IF(SUMPRODUCT(--(F171:V171&lt;&gt;""))=0,0,"N.A."),"")</f>
        <v>N.A.</v>
      </c>
      <c r="E171" s="41" t="str">
        <f t="shared" si="15"/>
        <v>OR</v>
      </c>
      <c r="F171" s="40"/>
      <c r="G171" s="40"/>
      <c r="H171" s="40"/>
      <c r="I171" s="40"/>
      <c r="J171" s="40"/>
      <c r="K171" s="40"/>
      <c r="L171" s="40"/>
      <c r="M171" s="40"/>
      <c r="N171" s="40"/>
      <c r="O171" s="40"/>
      <c r="P171" s="40"/>
      <c r="Q171" s="40"/>
      <c r="R171" s="40"/>
      <c r="S171" s="40"/>
      <c r="T171" s="40"/>
      <c r="U171" s="40">
        <f>85.6%/1.0946</f>
        <v>0.78202082952676777</v>
      </c>
      <c r="V171" s="40"/>
    </row>
    <row r="172" spans="1:22" x14ac:dyDescent="0.55000000000000004">
      <c r="A172" s="41" t="s">
        <v>11</v>
      </c>
      <c r="B172" s="41" t="str">
        <f>IF(B166="MDR/XDR Treatment Program","Adherence Probability (Yearly)",IF(B166="XDR Treat Program","Adherence Probability (Yearly)",IF(B166="MDR Treat Program","Adherence Probability (Yearly)",IF(B166="DS Treat Program","Adherence Probability (Yearly)",IF(B166="Latency Treat Program","Adherence Probability (Yearly)",IF(B166="Strain Diag Program","Latents Identified (Per Active Case)",IF(B166="DR Targeted Diagnosis Program","Latents Identified (Per DR-TB Case)",IF(B166="DS Targeted Diagnosis Program","Latents Identified (Per DS-TB Case)",IF(B166="Vaccination Program","...",IF(B166="Fixed Cost Program","...","..."))))))))))</f>
        <v>Adherence Probability (Yearly)</v>
      </c>
      <c r="C172" s="41" t="str">
        <f>IF(B172&lt;&gt;"...","Unique","")</f>
        <v>Unique</v>
      </c>
      <c r="D172" s="39" t="str">
        <f>IF(B172&lt;&gt;"...",IF(SUMPRODUCT(--(F172:V172&lt;&gt;""))=0,0,"N.A."),"")</f>
        <v>N.A.</v>
      </c>
      <c r="E172" s="41" t="str">
        <f t="shared" si="15"/>
        <v>OR</v>
      </c>
      <c r="F172" s="40"/>
      <c r="G172" s="40"/>
      <c r="H172" s="40"/>
      <c r="I172" s="40"/>
      <c r="J172" s="40"/>
      <c r="K172" s="40"/>
      <c r="L172" s="40"/>
      <c r="M172" s="40"/>
      <c r="N172" s="40"/>
      <c r="O172" s="40"/>
      <c r="P172" s="40"/>
      <c r="Q172" s="40"/>
      <c r="R172" s="40"/>
      <c r="S172" s="40"/>
      <c r="T172" s="40"/>
      <c r="U172" s="40">
        <v>0.92500000000000004</v>
      </c>
      <c r="V172" s="40"/>
    </row>
    <row r="173" spans="1:22" x14ac:dyDescent="0.55000000000000004">
      <c r="A173" s="41" t="s">
        <v>11</v>
      </c>
      <c r="B173" s="41" t="str">
        <f>IF(B166="MDR/XDR Treatment Program","Treatment Duration (Months)",IF(B166="XDR Treat Program","Treatment Duration (Months)",IF(B166="MDR Treat Program","Treatment Duration (Months)",IF(B166="DS Treat Program","Treatment Duration (Months)",IF(B166="Latency Treat Program","Treatment Duration (Months)",IF(B166="Strain Diag Program","Latent Treatment Efficacy (After Completed Treatment)",IF(B166="DR Targeted Diagnosis Program","Latent Treatment Efficacy (After Completed Treatment)",IF(B166="DS Targeted Diagnosis Program","Latent Treatment Efficacy (After Completed Treatment)",IF(B166="Vaccination Program","...",IF(B166="Fixed Cost Program","...","..."))))))))))</f>
        <v>Treatment Duration (Months)</v>
      </c>
      <c r="C173" s="41" t="str">
        <f>IF(B173&lt;&gt;"...","Unique","")</f>
        <v>Unique</v>
      </c>
      <c r="D173" s="39" t="str">
        <f>IF(B173&lt;&gt;"...",IF(SUMPRODUCT(--(F173:V173&lt;&gt;""))=0,0,"N.A."),"")</f>
        <v>N.A.</v>
      </c>
      <c r="E173" s="41" t="str">
        <f t="shared" si="15"/>
        <v>OR</v>
      </c>
      <c r="F173" s="64">
        <v>6</v>
      </c>
      <c r="G173" s="64">
        <v>6</v>
      </c>
      <c r="H173" s="64">
        <v>6</v>
      </c>
      <c r="I173" s="64">
        <v>6</v>
      </c>
      <c r="J173" s="64">
        <v>6</v>
      </c>
      <c r="K173" s="64">
        <v>6</v>
      </c>
      <c r="L173" s="64">
        <v>6</v>
      </c>
      <c r="M173" s="64">
        <v>6</v>
      </c>
      <c r="N173" s="64">
        <v>6</v>
      </c>
      <c r="O173" s="64">
        <v>6</v>
      </c>
      <c r="P173" s="64">
        <v>6</v>
      </c>
      <c r="Q173" s="64">
        <v>6</v>
      </c>
      <c r="R173" s="64">
        <v>6</v>
      </c>
      <c r="S173" s="64">
        <v>6</v>
      </c>
      <c r="T173" s="64">
        <v>6</v>
      </c>
      <c r="U173" s="64">
        <v>6</v>
      </c>
      <c r="V173" s="64">
        <v>6</v>
      </c>
    </row>
    <row r="174" spans="1:22" x14ac:dyDescent="0.55000000000000004">
      <c r="A174" s="41" t="s">
        <v>11</v>
      </c>
      <c r="B174" s="41" t="str">
        <f>IF(B166="MDR/XDR Treatment Program","...",IF(B166="XDR Treat Program","...",IF(B166="MDR Treat Program","...",IF(B166="DS Treat Program","...",IF(B166="Latency Treat Program","...",IF(B166="Strain Diag Program","Latent Treatment Adherence Probability (Yearly)",IF(B166="DR Targeted Diagnosis Program","Latent Treatment Adherence Probability (Yearly)",IF(B166="DS Targeted Diagnosis Program","Latent Treatment Adherence Probability (Yearly)",IF(B166="Vaccination Program","...",IF(B166="Fixed Cost Program","...","..."))))))))))</f>
        <v>...</v>
      </c>
      <c r="C174" s="41" t="str">
        <f>IF(B174&lt;&gt;"...","Unique","")</f>
        <v/>
      </c>
      <c r="D174" s="39" t="str">
        <f>IF(B174&lt;&gt;"...",IF(SUMPRODUCT(--(F174:V174&lt;&gt;""))=0,0,"N.A."),"")</f>
        <v/>
      </c>
      <c r="E174" s="41" t="str">
        <f t="shared" si="15"/>
        <v/>
      </c>
      <c r="F174" s="40"/>
      <c r="G174" s="40"/>
      <c r="H174" s="40"/>
      <c r="I174" s="40"/>
      <c r="J174" s="40"/>
      <c r="K174" s="40"/>
      <c r="L174" s="40"/>
      <c r="M174" s="40"/>
      <c r="N174" s="40"/>
      <c r="O174" s="40"/>
      <c r="P174" s="40"/>
      <c r="Q174" s="40"/>
      <c r="R174" s="40"/>
      <c r="S174" s="40"/>
      <c r="T174" s="40"/>
      <c r="U174" s="40"/>
      <c r="V174" s="40"/>
    </row>
    <row r="175" spans="1:22" x14ac:dyDescent="0.55000000000000004">
      <c r="A175" s="41" t="s">
        <v>11</v>
      </c>
      <c r="B175" s="41" t="str">
        <f>IF(B166="MDR/XDR Treatment Program","...",IF(B166="XDR Treat Program","...",IF(B166="MDR Treat Program","...",IF(B166="DS Treat Program","...",IF(B166="Latency Treat Program","...",IF(B166="Strain Diag Program","Latent Treatment Duration (Months)",IF(B166="DR Targeted Diagnosis Program","Latent Treatment Duration (Months)",IF(B166="DS Targeted Diagnosis Program","Latent Treatment Duration (Months)",IF(B166="Vaccination Program","...",IF(B166="Fixed Cost Program","...","..."))))))))))</f>
        <v>...</v>
      </c>
      <c r="C175" s="41" t="str">
        <f>IF(B175&lt;&gt;"...","Unique","")</f>
        <v/>
      </c>
      <c r="D175" s="39" t="str">
        <f>IF(B175&lt;&gt;"...",IF(SUMPRODUCT(--(F175:V175&lt;&gt;""))=0,0,"N.A."),"")</f>
        <v/>
      </c>
      <c r="E175" s="41" t="str">
        <f t="shared" si="15"/>
        <v/>
      </c>
      <c r="F175" s="40"/>
      <c r="G175" s="40"/>
      <c r="H175" s="40"/>
      <c r="I175" s="40"/>
      <c r="J175" s="40"/>
      <c r="K175" s="40"/>
      <c r="L175" s="40"/>
      <c r="M175" s="40"/>
      <c r="N175" s="40"/>
      <c r="O175" s="40"/>
      <c r="P175" s="40"/>
      <c r="Q175" s="40"/>
      <c r="R175" s="40"/>
      <c r="S175" s="40"/>
      <c r="T175" s="40"/>
      <c r="U175" s="40"/>
      <c r="V175" s="40"/>
    </row>
    <row r="176" spans="1:22" x14ac:dyDescent="0.55000000000000004">
      <c r="A176" s="41"/>
    </row>
    <row r="177" spans="1:22" x14ac:dyDescent="0.55000000000000004">
      <c r="A177" s="41" t="str">
        <f>'Program Definitions'!$A$18</f>
        <v>HIV+: Old MDR TB</v>
      </c>
      <c r="B177" s="41" t="s">
        <v>210</v>
      </c>
      <c r="C177" s="41"/>
      <c r="D177" s="41"/>
      <c r="E177" s="41"/>
      <c r="F177" s="41"/>
      <c r="G177" s="41"/>
      <c r="H177" s="41"/>
      <c r="I177" s="41"/>
      <c r="J177" s="41"/>
      <c r="K177" s="41"/>
      <c r="L177" s="41"/>
      <c r="M177" s="41"/>
      <c r="N177" s="41"/>
      <c r="O177" s="41"/>
      <c r="P177" s="41"/>
      <c r="Q177" s="41"/>
      <c r="R177" s="41"/>
      <c r="S177" s="41"/>
      <c r="T177" s="41"/>
      <c r="U177" s="41"/>
      <c r="V177" s="41"/>
    </row>
    <row r="178" spans="1:22" x14ac:dyDescent="0.55000000000000004">
      <c r="A178" s="41" t="s">
        <v>11</v>
      </c>
      <c r="B178" s="41"/>
      <c r="C178" s="41" t="s">
        <v>8</v>
      </c>
      <c r="D178" s="41" t="s">
        <v>9</v>
      </c>
      <c r="E178" s="41"/>
      <c r="F178" s="41">
        <v>2000</v>
      </c>
      <c r="G178" s="41">
        <v>2001</v>
      </c>
      <c r="H178" s="41">
        <v>2002</v>
      </c>
      <c r="I178" s="41">
        <v>2003</v>
      </c>
      <c r="J178" s="41">
        <v>2004</v>
      </c>
      <c r="K178" s="41">
        <v>2005</v>
      </c>
      <c r="L178" s="41">
        <v>2006</v>
      </c>
      <c r="M178" s="41">
        <v>2007</v>
      </c>
      <c r="N178" s="41">
        <v>2008</v>
      </c>
      <c r="O178" s="41">
        <v>2009</v>
      </c>
      <c r="P178" s="41">
        <v>2010</v>
      </c>
      <c r="Q178" s="41">
        <v>2011</v>
      </c>
      <c r="R178" s="41">
        <v>2012</v>
      </c>
      <c r="S178" s="41">
        <v>2013</v>
      </c>
      <c r="T178" s="41">
        <v>2014</v>
      </c>
      <c r="U178" s="41">
        <v>2015</v>
      </c>
      <c r="V178" s="41">
        <v>2016</v>
      </c>
    </row>
    <row r="179" spans="1:22" x14ac:dyDescent="0.55000000000000004">
      <c r="A179" s="41" t="s">
        <v>12</v>
      </c>
      <c r="B179" s="41" t="str">
        <f>IF(B177="Fixed Cost Program","...","Program Coverage")</f>
        <v>Program Coverage</v>
      </c>
      <c r="C179" s="41" t="str">
        <f>IF(B179&lt;&gt;"...","Number","")</f>
        <v>Number</v>
      </c>
      <c r="D179" s="39" t="str">
        <f>IF(B179&lt;&gt;"...",IF(SUMPRODUCT(--(F179:V179&lt;&gt;""))=0,0,"N.A."),"")</f>
        <v>N.A.</v>
      </c>
      <c r="E179" s="41" t="str">
        <f>IF(B179&lt;&gt;"...","OR","")</f>
        <v>OR</v>
      </c>
      <c r="F179" s="60"/>
      <c r="G179" s="60"/>
      <c r="H179" s="60"/>
      <c r="I179" s="60"/>
      <c r="J179" s="60"/>
      <c r="K179" s="60"/>
      <c r="L179" s="60"/>
      <c r="M179" s="60"/>
      <c r="N179" s="60"/>
      <c r="O179" s="60"/>
      <c r="P179" s="60"/>
      <c r="Q179" s="60"/>
      <c r="R179" s="60"/>
      <c r="S179" s="60"/>
      <c r="T179" s="60"/>
      <c r="U179" s="60">
        <f>SUM('[1]Notified Cases'!T20:T21,'[1]Notified Cases'!T27,'[1]Notified Cases'!T62:T63,'[1]Notified Cases'!T69)*'[1]Active TB Testing and Treatment'!R72/2</f>
        <v>447.22257260877956</v>
      </c>
      <c r="V179" s="44"/>
    </row>
    <row r="180" spans="1:22" x14ac:dyDescent="0.55000000000000004">
      <c r="A180" s="41" t="s">
        <v>11</v>
      </c>
      <c r="B180" s="41" t="s">
        <v>13</v>
      </c>
      <c r="C180" s="41" t="s">
        <v>15</v>
      </c>
      <c r="D180" s="39" t="str">
        <f>IF(SUMPRODUCT(--(F180:V180&lt;&gt;""))=0,0,"N.A.")</f>
        <v>N.A.</v>
      </c>
      <c r="E180" s="41" t="s">
        <v>16</v>
      </c>
      <c r="F180" s="65"/>
      <c r="G180" s="65"/>
      <c r="H180" s="65"/>
      <c r="I180" s="65"/>
      <c r="J180" s="65"/>
      <c r="K180" s="65"/>
      <c r="L180" s="65"/>
      <c r="M180" s="65"/>
      <c r="N180" s="65"/>
      <c r="O180" s="65"/>
      <c r="P180" s="65"/>
      <c r="Q180" s="65"/>
      <c r="R180" s="65"/>
      <c r="S180" s="65"/>
      <c r="T180" s="65"/>
      <c r="U180" s="65">
        <v>13888870</v>
      </c>
      <c r="V180" s="65"/>
    </row>
    <row r="181" spans="1:22" x14ac:dyDescent="0.55000000000000004">
      <c r="A181" s="41" t="s">
        <v>11</v>
      </c>
      <c r="B181" s="41" t="str">
        <f>IF(B177="Fixed Cost Program","...",CONCATENATE("Unit Cost Estimate",IF(C179="Fraction"," (Per 1%)","")))</f>
        <v>Unit Cost Estimate</v>
      </c>
      <c r="C181" s="41" t="str">
        <f>IF(B181&lt;&gt;"...","USD","")</f>
        <v>USD</v>
      </c>
      <c r="D181" s="66">
        <f>31056*1.07</f>
        <v>33229.920000000006</v>
      </c>
      <c r="E181" s="41" t="str">
        <f t="shared" ref="E181:E186" si="16">IF(B181&lt;&gt;"...","OR","")</f>
        <v>OR</v>
      </c>
      <c r="F181" s="65" t="str">
        <f>IF(B181&lt;&gt;"...","...","")</f>
        <v>...</v>
      </c>
      <c r="G181" s="65" t="str">
        <f>IF(B181&lt;&gt;"...","...","")</f>
        <v>...</v>
      </c>
      <c r="H181" s="65" t="str">
        <f>IF(B181&lt;&gt;"...","...","")</f>
        <v>...</v>
      </c>
      <c r="I181" s="65" t="str">
        <f>IF(B181&lt;&gt;"...","...","")</f>
        <v>...</v>
      </c>
      <c r="J181" s="65" t="str">
        <f>IF(B181&lt;&gt;"...","...","")</f>
        <v>...</v>
      </c>
      <c r="K181" s="65" t="str">
        <f>IF(B181&lt;&gt;"...","...","")</f>
        <v>...</v>
      </c>
      <c r="L181" s="65" t="str">
        <f>IF(B181&lt;&gt;"...","...","")</f>
        <v>...</v>
      </c>
      <c r="M181" s="65" t="str">
        <f>IF(B181&lt;&gt;"...","...","")</f>
        <v>...</v>
      </c>
      <c r="N181" s="65" t="str">
        <f>IF(B181&lt;&gt;"...","...","")</f>
        <v>...</v>
      </c>
      <c r="O181" s="65" t="str">
        <f>IF(B181&lt;&gt;"...","...","")</f>
        <v>...</v>
      </c>
      <c r="P181" s="65" t="str">
        <f>IF(B181&lt;&gt;"...","...","")</f>
        <v>...</v>
      </c>
      <c r="Q181" s="65" t="str">
        <f>IF(B181&lt;&gt;"...","...","")</f>
        <v>...</v>
      </c>
      <c r="R181" s="65" t="str">
        <f>IF(B181&lt;&gt;"...","...","")</f>
        <v>...</v>
      </c>
      <c r="S181" s="65" t="str">
        <f>IF(B181&lt;&gt;"...","...","")</f>
        <v>...</v>
      </c>
      <c r="T181" s="65" t="str">
        <f>IF(B181&lt;&gt;"...","...","")</f>
        <v>...</v>
      </c>
      <c r="U181" s="65" t="str">
        <f>IF(B181&lt;&gt;"...","...","")</f>
        <v>...</v>
      </c>
      <c r="V181" s="65" t="str">
        <f>IF(B181&lt;&gt;"...","...","")</f>
        <v>...</v>
      </c>
    </row>
    <row r="182" spans="1:22" x14ac:dyDescent="0.55000000000000004">
      <c r="A182" s="41" t="s">
        <v>17</v>
      </c>
      <c r="B182" s="41" t="str">
        <f>IF(B177="MDR/XDR Treatment Program","Efficacy (After Completed Treatment)",IF(B177="XDR Treat Program","Efficacy (After Completed Treatment)",IF(B177="MDR Treat Program","Efficacy (After Completed Treatment)",IF(B177="DS Treat Program","Efficacy (After Completed Treatment)",IF(B177="Latency Treat Program","Efficacy (After Completed Treatment)",IF(B177="Strain Diag Program","Sensitivity (Detection Probability)",IF(B177="DR Targeted Diagnosis Program","Sensitivity (Detection Probability)",IF(B177="DS Targeted Diagnosis Program","Sensitivity (Detection Probability)",IF(B177="Vaccination Program","Vaccination Effectiveness Probability",IF(B177="Fixed Cost Program","...","..."))))))))))</f>
        <v>Efficacy (After Completed Treatment)</v>
      </c>
      <c r="C182" s="41" t="str">
        <f>IF(B182&lt;&gt;"...","Unique","")</f>
        <v>Unique</v>
      </c>
      <c r="D182" s="39" t="str">
        <f>IF(B182&lt;&gt;"...",IF(SUMPRODUCT(--(F182:V182&lt;&gt;""))=0,0,"N.A."),"")</f>
        <v>N.A.</v>
      </c>
      <c r="E182" s="41" t="str">
        <f t="shared" si="16"/>
        <v>OR</v>
      </c>
      <c r="F182" s="40"/>
      <c r="G182" s="40"/>
      <c r="H182" s="40"/>
      <c r="I182" s="40"/>
      <c r="J182" s="40"/>
      <c r="K182" s="40"/>
      <c r="L182" s="40"/>
      <c r="M182" s="40"/>
      <c r="N182" s="40"/>
      <c r="O182" s="40"/>
      <c r="P182" s="40"/>
      <c r="Q182" s="40"/>
      <c r="R182" s="40"/>
      <c r="S182" s="40"/>
      <c r="T182" s="40"/>
      <c r="U182" s="40">
        <v>0.55655809448345894</v>
      </c>
      <c r="V182" s="40"/>
    </row>
    <row r="183" spans="1:22" x14ac:dyDescent="0.55000000000000004">
      <c r="A183" s="41" t="s">
        <v>11</v>
      </c>
      <c r="B183" s="41" t="str">
        <f>IF(B177="MDR/XDR Treatment Program","Adherence Probability (Yearly)",IF(B177="XDR Treat Program","Adherence Probability (Yearly)",IF(B177="MDR Treat Program","Adherence Probability (Yearly)",IF(B177="DS Treat Program","Adherence Probability (Yearly)",IF(B177="Latency Treat Program","Adherence Probability (Yearly)",IF(B177="Strain Diag Program","Latents Identified (Per Active Case)",IF(B177="DR Targeted Diagnosis Program","Latents Identified (Per DR-TB Case)",IF(B177="DS Targeted Diagnosis Program","Latents Identified (Per DS-TB Case)",IF(B177="Vaccination Program","...",IF(B177="Fixed Cost Program","...","..."))))))))))</f>
        <v>Adherence Probability (Yearly)</v>
      </c>
      <c r="C183" s="41" t="str">
        <f>IF(B183&lt;&gt;"...","Unique","")</f>
        <v>Unique</v>
      </c>
      <c r="D183" s="39" t="str">
        <f>IF(B183&lt;&gt;"...",IF(SUMPRODUCT(--(F183:V183&lt;&gt;""))=0,0,"N.A."),"")</f>
        <v>N.A.</v>
      </c>
      <c r="E183" s="41" t="str">
        <f t="shared" si="16"/>
        <v>OR</v>
      </c>
      <c r="F183" s="40"/>
      <c r="G183" s="40"/>
      <c r="H183" s="40"/>
      <c r="I183" s="40"/>
      <c r="J183" s="40"/>
      <c r="K183" s="40"/>
      <c r="L183" s="40"/>
      <c r="M183" s="40"/>
      <c r="N183" s="40"/>
      <c r="O183" s="40"/>
      <c r="P183" s="40"/>
      <c r="Q183" s="40"/>
      <c r="R183" s="40"/>
      <c r="S183" s="40"/>
      <c r="T183" s="40"/>
      <c r="U183" s="40">
        <v>0.552752334963862</v>
      </c>
      <c r="V183" s="40"/>
    </row>
    <row r="184" spans="1:22" x14ac:dyDescent="0.55000000000000004">
      <c r="A184" s="41" t="s">
        <v>11</v>
      </c>
      <c r="B184" s="41" t="str">
        <f>IF(B177="MDR/XDR Treatment Program","Treatment Duration (Months)",IF(B177="XDR Treat Program","Treatment Duration (Months)",IF(B177="MDR Treat Program","Treatment Duration (Months)",IF(B177="DS Treat Program","Treatment Duration (Months)",IF(B177="Latency Treat Program","Treatment Duration (Months)",IF(B177="Strain Diag Program","Latent Treatment Efficacy (After Completed Treatment)",IF(B177="DR Targeted Diagnosis Program","Latent Treatment Efficacy (After Completed Treatment)",IF(B177="DS Targeted Diagnosis Program","Latent Treatment Efficacy (After Completed Treatment)",IF(B177="Vaccination Program","...",IF(B177="Fixed Cost Program","...","..."))))))))))</f>
        <v>Treatment Duration (Months)</v>
      </c>
      <c r="C184" s="41" t="str">
        <f>IF(B184&lt;&gt;"...","Unique","")</f>
        <v>Unique</v>
      </c>
      <c r="D184" s="39" t="str">
        <f>IF(B184&lt;&gt;"...",IF(SUMPRODUCT(--(F184:V184&lt;&gt;""))=0,0,"N.A."),"")</f>
        <v>N.A.</v>
      </c>
      <c r="E184" s="41" t="str">
        <f t="shared" si="16"/>
        <v>OR</v>
      </c>
      <c r="F184" s="64">
        <v>24</v>
      </c>
      <c r="G184" s="64">
        <v>24</v>
      </c>
      <c r="H184" s="64">
        <v>24</v>
      </c>
      <c r="I184" s="64">
        <v>24</v>
      </c>
      <c r="J184" s="64">
        <v>24</v>
      </c>
      <c r="K184" s="64">
        <v>24</v>
      </c>
      <c r="L184" s="64">
        <v>24</v>
      </c>
      <c r="M184" s="64">
        <v>24</v>
      </c>
      <c r="N184" s="64">
        <v>24</v>
      </c>
      <c r="O184" s="64">
        <v>24</v>
      </c>
      <c r="P184" s="64">
        <v>24</v>
      </c>
      <c r="Q184" s="64">
        <v>24</v>
      </c>
      <c r="R184" s="64">
        <v>24</v>
      </c>
      <c r="S184" s="64">
        <v>24</v>
      </c>
      <c r="T184" s="64">
        <v>24</v>
      </c>
      <c r="U184" s="64">
        <v>24</v>
      </c>
      <c r="V184" s="64">
        <v>24</v>
      </c>
    </row>
    <row r="185" spans="1:22" x14ac:dyDescent="0.55000000000000004">
      <c r="A185" s="41" t="s">
        <v>11</v>
      </c>
      <c r="B185" s="41" t="str">
        <f>IF(B177="MDR/XDR Treatment Program","...",IF(B177="XDR Treat Program","...",IF(B177="MDR Treat Program","...",IF(B177="DS Treat Program","...",IF(B177="Latency Treat Program","...",IF(B177="Strain Diag Program","Latent Treatment Adherence Probability (Yearly)",IF(B177="DR Targeted Diagnosis Program","Latent Treatment Adherence Probability (Yearly)",IF(B177="DS Targeted Diagnosis Program","Latent Treatment Adherence Probability (Yearly)",IF(B177="Vaccination Program","...",IF(B177="Fixed Cost Program","...","..."))))))))))</f>
        <v>...</v>
      </c>
      <c r="C185" s="41" t="str">
        <f>IF(B185&lt;&gt;"...","Unique","")</f>
        <v/>
      </c>
      <c r="D185" s="39" t="str">
        <f>IF(B185&lt;&gt;"...",IF(SUMPRODUCT(--(F185:V185&lt;&gt;""))=0,0,"N.A."),"")</f>
        <v/>
      </c>
      <c r="E185" s="41" t="str">
        <f t="shared" si="16"/>
        <v/>
      </c>
      <c r="F185" s="40"/>
      <c r="G185" s="40"/>
      <c r="H185" s="40"/>
      <c r="I185" s="40"/>
      <c r="J185" s="40"/>
      <c r="K185" s="40"/>
      <c r="L185" s="40"/>
      <c r="M185" s="40"/>
      <c r="N185" s="40"/>
      <c r="O185" s="40"/>
      <c r="P185" s="40"/>
      <c r="Q185" s="40"/>
      <c r="R185" s="40"/>
      <c r="S185" s="40"/>
      <c r="T185" s="40"/>
      <c r="U185" s="40"/>
      <c r="V185" s="40"/>
    </row>
    <row r="186" spans="1:22" x14ac:dyDescent="0.55000000000000004">
      <c r="A186" s="41" t="s">
        <v>11</v>
      </c>
      <c r="B186" s="41" t="str">
        <f>IF(B177="MDR/XDR Treatment Program","...",IF(B177="XDR Treat Program","...",IF(B177="MDR Treat Program","...",IF(B177="DS Treat Program","...",IF(B177="Latency Treat Program","...",IF(B177="Strain Diag Program","Latent Treatment Duration (Months)",IF(B177="DR Targeted Diagnosis Program","Latent Treatment Duration (Months)",IF(B177="DS Targeted Diagnosis Program","Latent Treatment Duration (Months)",IF(B177="Vaccination Program","...",IF(B177="Fixed Cost Program","...","..."))))))))))</f>
        <v>...</v>
      </c>
      <c r="C186" s="41" t="str">
        <f>IF(B186&lt;&gt;"...","Unique","")</f>
        <v/>
      </c>
      <c r="D186" s="39" t="str">
        <f>IF(B186&lt;&gt;"...",IF(SUMPRODUCT(--(F186:V186&lt;&gt;""))=0,0,"N.A."),"")</f>
        <v/>
      </c>
      <c r="E186" s="41" t="str">
        <f t="shared" si="16"/>
        <v/>
      </c>
      <c r="F186" s="40"/>
      <c r="G186" s="40"/>
      <c r="H186" s="40"/>
      <c r="I186" s="40"/>
      <c r="J186" s="40"/>
      <c r="K186" s="40"/>
      <c r="L186" s="40"/>
      <c r="M186" s="40"/>
      <c r="N186" s="40"/>
      <c r="O186" s="40"/>
      <c r="P186" s="40"/>
      <c r="Q186" s="40"/>
      <c r="R186" s="40"/>
      <c r="S186" s="40"/>
      <c r="T186" s="40"/>
      <c r="U186" s="40"/>
      <c r="V186" s="40"/>
    </row>
    <row r="187" spans="1:22" x14ac:dyDescent="0.55000000000000004">
      <c r="A187" s="41"/>
    </row>
    <row r="188" spans="1:22" x14ac:dyDescent="0.55000000000000004">
      <c r="A188" s="41" t="str">
        <f>'Program Definitions'!$A$19</f>
        <v>HIV+: Old MDR TB/BDQ</v>
      </c>
      <c r="B188" s="41" t="s">
        <v>210</v>
      </c>
      <c r="C188" s="41"/>
      <c r="D188" s="41"/>
      <c r="E188" s="41"/>
      <c r="F188" s="41"/>
      <c r="G188" s="41"/>
      <c r="H188" s="41"/>
      <c r="I188" s="41"/>
      <c r="J188" s="41"/>
      <c r="K188" s="41"/>
      <c r="L188" s="41"/>
      <c r="M188" s="41"/>
      <c r="N188" s="41"/>
      <c r="O188" s="41"/>
      <c r="P188" s="41"/>
      <c r="Q188" s="41"/>
      <c r="R188" s="41"/>
      <c r="S188" s="41"/>
      <c r="T188" s="41"/>
      <c r="U188" s="41"/>
      <c r="V188" s="41"/>
    </row>
    <row r="189" spans="1:22" x14ac:dyDescent="0.55000000000000004">
      <c r="A189" s="41" t="s">
        <v>11</v>
      </c>
      <c r="B189" s="41"/>
      <c r="C189" s="41" t="s">
        <v>8</v>
      </c>
      <c r="D189" s="41" t="s">
        <v>9</v>
      </c>
      <c r="E189" s="41"/>
      <c r="F189" s="41">
        <v>2000</v>
      </c>
      <c r="G189" s="41">
        <v>2001</v>
      </c>
      <c r="H189" s="41">
        <v>2002</v>
      </c>
      <c r="I189" s="41">
        <v>2003</v>
      </c>
      <c r="J189" s="41">
        <v>2004</v>
      </c>
      <c r="K189" s="41">
        <v>2005</v>
      </c>
      <c r="L189" s="41">
        <v>2006</v>
      </c>
      <c r="M189" s="41">
        <v>2007</v>
      </c>
      <c r="N189" s="41">
        <v>2008</v>
      </c>
      <c r="O189" s="41">
        <v>2009</v>
      </c>
      <c r="P189" s="41">
        <v>2010</v>
      </c>
      <c r="Q189" s="41">
        <v>2011</v>
      </c>
      <c r="R189" s="41">
        <v>2012</v>
      </c>
      <c r="S189" s="41">
        <v>2013</v>
      </c>
      <c r="T189" s="41">
        <v>2014</v>
      </c>
      <c r="U189" s="41">
        <v>2015</v>
      </c>
      <c r="V189" s="41">
        <v>2016</v>
      </c>
    </row>
    <row r="190" spans="1:22" x14ac:dyDescent="0.55000000000000004">
      <c r="A190" s="41" t="s">
        <v>12</v>
      </c>
      <c r="B190" s="41" t="str">
        <f>IF(B188="Fixed Cost Program","...","Program Coverage")</f>
        <v>Program Coverage</v>
      </c>
      <c r="C190" s="41" t="str">
        <f>IF(B190&lt;&gt;"...","Number","")</f>
        <v>Number</v>
      </c>
      <c r="D190" s="39" t="str">
        <f>IF(B190&lt;&gt;"...",IF(SUMPRODUCT(--(F190:V190&lt;&gt;""))=0,0,"N.A."),"")</f>
        <v>N.A.</v>
      </c>
      <c r="E190" s="41" t="str">
        <f>IF(B190&lt;&gt;"...","OR","")</f>
        <v>OR</v>
      </c>
      <c r="F190" s="60"/>
      <c r="G190" s="60"/>
      <c r="H190" s="60"/>
      <c r="I190" s="60"/>
      <c r="J190" s="60"/>
      <c r="K190" s="60"/>
      <c r="L190" s="60"/>
      <c r="M190" s="60"/>
      <c r="N190" s="60"/>
      <c r="O190" s="60"/>
      <c r="P190" s="60"/>
      <c r="Q190" s="60"/>
      <c r="R190" s="60"/>
      <c r="S190" s="60"/>
      <c r="T190" s="60"/>
      <c r="U190" s="60">
        <f>SUM('[1]Notified Cases'!T20:T21,'[1]Notified Cases'!T27,'[1]Notified Cases'!T62:T63,'[1]Notified Cases'!T69)*'[1]Active TB Testing and Treatment'!R72/2</f>
        <v>447.22257260877956</v>
      </c>
      <c r="V190" s="44"/>
    </row>
    <row r="191" spans="1:22" x14ac:dyDescent="0.55000000000000004">
      <c r="A191" s="41" t="s">
        <v>11</v>
      </c>
      <c r="B191" s="41" t="s">
        <v>13</v>
      </c>
      <c r="C191" s="41" t="s">
        <v>15</v>
      </c>
      <c r="D191" s="39" t="str">
        <f>IF(SUMPRODUCT(--(F191:V191&lt;&gt;""))=0,0,"N.A.")</f>
        <v>N.A.</v>
      </c>
      <c r="E191" s="41" t="s">
        <v>16</v>
      </c>
      <c r="F191" s="65"/>
      <c r="G191" s="65"/>
      <c r="H191" s="65"/>
      <c r="I191" s="65"/>
      <c r="J191" s="65"/>
      <c r="K191" s="65"/>
      <c r="L191" s="65"/>
      <c r="M191" s="65"/>
      <c r="N191" s="65"/>
      <c r="O191" s="65"/>
      <c r="P191" s="65"/>
      <c r="Q191" s="65"/>
      <c r="R191" s="65"/>
      <c r="S191" s="65"/>
      <c r="T191" s="65"/>
      <c r="U191" s="65">
        <v>15712783</v>
      </c>
      <c r="V191" s="65"/>
    </row>
    <row r="192" spans="1:22" x14ac:dyDescent="0.55000000000000004">
      <c r="A192" s="41" t="s">
        <v>11</v>
      </c>
      <c r="B192" s="41" t="str">
        <f>IF(B188="Fixed Cost Program","...",CONCATENATE("Unit Cost Estimate",IF(C190="Fraction"," (Per 1%)","")))</f>
        <v>Unit Cost Estimate</v>
      </c>
      <c r="C192" s="41" t="str">
        <f>IF(B192&lt;&gt;"...","USD","")</f>
        <v>USD</v>
      </c>
      <c r="D192" s="66">
        <f>35134*1.07</f>
        <v>37593.380000000005</v>
      </c>
      <c r="E192" s="41" t="str">
        <f t="shared" ref="E192:E197" si="17">IF(B192&lt;&gt;"...","OR","")</f>
        <v>OR</v>
      </c>
      <c r="F192" s="65" t="str">
        <f>IF(B192&lt;&gt;"...","...","")</f>
        <v>...</v>
      </c>
      <c r="G192" s="65" t="str">
        <f>IF(B192&lt;&gt;"...","...","")</f>
        <v>...</v>
      </c>
      <c r="H192" s="65" t="str">
        <f>IF(B192&lt;&gt;"...","...","")</f>
        <v>...</v>
      </c>
      <c r="I192" s="65" t="str">
        <f>IF(B192&lt;&gt;"...","...","")</f>
        <v>...</v>
      </c>
      <c r="J192" s="65" t="str">
        <f>IF(B192&lt;&gt;"...","...","")</f>
        <v>...</v>
      </c>
      <c r="K192" s="65" t="str">
        <f>IF(B192&lt;&gt;"...","...","")</f>
        <v>...</v>
      </c>
      <c r="L192" s="65" t="str">
        <f>IF(B192&lt;&gt;"...","...","")</f>
        <v>...</v>
      </c>
      <c r="M192" s="65" t="str">
        <f>IF(B192&lt;&gt;"...","...","")</f>
        <v>...</v>
      </c>
      <c r="N192" s="65" t="str">
        <f>IF(B192&lt;&gt;"...","...","")</f>
        <v>...</v>
      </c>
      <c r="O192" s="65" t="str">
        <f>IF(B192&lt;&gt;"...","...","")</f>
        <v>...</v>
      </c>
      <c r="P192" s="65" t="str">
        <f>IF(B192&lt;&gt;"...","...","")</f>
        <v>...</v>
      </c>
      <c r="Q192" s="65" t="str">
        <f>IF(B192&lt;&gt;"...","...","")</f>
        <v>...</v>
      </c>
      <c r="R192" s="65" t="str">
        <f>IF(B192&lt;&gt;"...","...","")</f>
        <v>...</v>
      </c>
      <c r="S192" s="65" t="str">
        <f>IF(B192&lt;&gt;"...","...","")</f>
        <v>...</v>
      </c>
      <c r="T192" s="65" t="str">
        <f>IF(B192&lt;&gt;"...","...","")</f>
        <v>...</v>
      </c>
      <c r="U192" s="65" t="str">
        <f>IF(B192&lt;&gt;"...","...","")</f>
        <v>...</v>
      </c>
      <c r="V192" s="65" t="str">
        <f>IF(B192&lt;&gt;"...","...","")</f>
        <v>...</v>
      </c>
    </row>
    <row r="193" spans="1:22" x14ac:dyDescent="0.55000000000000004">
      <c r="A193" s="41" t="s">
        <v>17</v>
      </c>
      <c r="B193" s="41" t="str">
        <f>IF(B188="MDR/XDR Treatment Program","Efficacy (After Completed Treatment)",IF(B188="XDR Treat Program","Efficacy (After Completed Treatment)",IF(B188="MDR Treat Program","Efficacy (After Completed Treatment)",IF(B188="DS Treat Program","Efficacy (After Completed Treatment)",IF(B188="Latency Treat Program","Efficacy (After Completed Treatment)",IF(B188="Strain Diag Program","Sensitivity (Detection Probability)",IF(B188="DR Targeted Diagnosis Program","Sensitivity (Detection Probability)",IF(B188="DS Targeted Diagnosis Program","Sensitivity (Detection Probability)",IF(B188="Vaccination Program","Vaccination Effectiveness Probability",IF(B188="Fixed Cost Program","...","..."))))))))))</f>
        <v>Efficacy (After Completed Treatment)</v>
      </c>
      <c r="C193" s="41" t="str">
        <f>IF(B193&lt;&gt;"...","Unique","")</f>
        <v>Unique</v>
      </c>
      <c r="D193" s="39" t="str">
        <f>IF(B193&lt;&gt;"...",IF(SUMPRODUCT(--(F193:V193&lt;&gt;""))=0,0,"N.A."),"")</f>
        <v>N.A.</v>
      </c>
      <c r="E193" s="41" t="str">
        <f t="shared" si="17"/>
        <v>OR</v>
      </c>
      <c r="F193" s="40"/>
      <c r="G193" s="40"/>
      <c r="H193" s="40"/>
      <c r="I193" s="40"/>
      <c r="J193" s="40"/>
      <c r="K193" s="40"/>
      <c r="L193" s="40"/>
      <c r="M193" s="40"/>
      <c r="N193" s="40"/>
      <c r="O193" s="40"/>
      <c r="P193" s="40"/>
      <c r="Q193" s="40"/>
      <c r="R193" s="40"/>
      <c r="S193" s="40"/>
      <c r="T193" s="40"/>
      <c r="U193" s="40">
        <v>0.71299999999999997</v>
      </c>
      <c r="V193" s="40"/>
    </row>
    <row r="194" spans="1:22" x14ac:dyDescent="0.55000000000000004">
      <c r="A194" s="41" t="s">
        <v>11</v>
      </c>
      <c r="B194" s="41" t="str">
        <f>IF(B188="MDR/XDR Treatment Program","Adherence Probability (Yearly)",IF(B188="XDR Treat Program","Adherence Probability (Yearly)",IF(B188="MDR Treat Program","Adherence Probability (Yearly)",IF(B188="DS Treat Program","Adherence Probability (Yearly)",IF(B188="Latency Treat Program","Adherence Probability (Yearly)",IF(B188="Strain Diag Program","Latents Identified (Per Active Case)",IF(B188="DR Targeted Diagnosis Program","Latents Identified (Per DR-TB Case)",IF(B188="DS Targeted Diagnosis Program","Latents Identified (Per DS-TB Case)",IF(B188="Vaccination Program","...",IF(B188="Fixed Cost Program","...","..."))))))))))</f>
        <v>Adherence Probability (Yearly)</v>
      </c>
      <c r="C194" s="41" t="str">
        <f>IF(B194&lt;&gt;"...","Unique","")</f>
        <v>Unique</v>
      </c>
      <c r="D194" s="39" t="str">
        <f>IF(B194&lt;&gt;"...",IF(SUMPRODUCT(--(F194:V194&lt;&gt;""))=0,0,"N.A."),"")</f>
        <v>N.A.</v>
      </c>
      <c r="E194" s="41" t="str">
        <f t="shared" si="17"/>
        <v>OR</v>
      </c>
      <c r="F194" s="40"/>
      <c r="G194" s="40"/>
      <c r="H194" s="40"/>
      <c r="I194" s="40"/>
      <c r="J194" s="40"/>
      <c r="K194" s="40"/>
      <c r="L194" s="40"/>
      <c r="M194" s="40"/>
      <c r="N194" s="40"/>
      <c r="O194" s="40"/>
      <c r="P194" s="40"/>
      <c r="Q194" s="40"/>
      <c r="R194" s="40"/>
      <c r="S194" s="40"/>
      <c r="T194" s="40"/>
      <c r="U194" s="40">
        <f>89.1%*0.8</f>
        <v>0.71279999999999999</v>
      </c>
      <c r="V194" s="40"/>
    </row>
    <row r="195" spans="1:22" x14ac:dyDescent="0.55000000000000004">
      <c r="A195" s="41" t="s">
        <v>11</v>
      </c>
      <c r="B195" s="41" t="str">
        <f>IF(B188="MDR/XDR Treatment Program","Treatment Duration (Months)",IF(B188="XDR Treat Program","Treatment Duration (Months)",IF(B188="MDR Treat Program","Treatment Duration (Months)",IF(B188="DS Treat Program","Treatment Duration (Months)",IF(B188="Latency Treat Program","Treatment Duration (Months)",IF(B188="Strain Diag Program","Latent Treatment Efficacy (After Completed Treatment)",IF(B188="DR Targeted Diagnosis Program","Latent Treatment Efficacy (After Completed Treatment)",IF(B188="DS Targeted Diagnosis Program","Latent Treatment Efficacy (After Completed Treatment)",IF(B188="Vaccination Program","...",IF(B188="Fixed Cost Program","...","..."))))))))))</f>
        <v>Treatment Duration (Months)</v>
      </c>
      <c r="C195" s="41" t="str">
        <f>IF(B195&lt;&gt;"...","Unique","")</f>
        <v>Unique</v>
      </c>
      <c r="D195" s="39" t="str">
        <f>IF(B195&lt;&gt;"...",IF(SUMPRODUCT(--(F195:V195&lt;&gt;""))=0,0,"N.A."),"")</f>
        <v>N.A.</v>
      </c>
      <c r="E195" s="41" t="str">
        <f t="shared" si="17"/>
        <v>OR</v>
      </c>
      <c r="F195" s="64">
        <v>24</v>
      </c>
      <c r="G195" s="64">
        <v>24</v>
      </c>
      <c r="H195" s="64">
        <v>24</v>
      </c>
      <c r="I195" s="64">
        <v>24</v>
      </c>
      <c r="J195" s="64">
        <v>24</v>
      </c>
      <c r="K195" s="64">
        <v>24</v>
      </c>
      <c r="L195" s="64">
        <v>24</v>
      </c>
      <c r="M195" s="64">
        <v>24</v>
      </c>
      <c r="N195" s="64">
        <v>24</v>
      </c>
      <c r="O195" s="64">
        <v>24</v>
      </c>
      <c r="P195" s="64">
        <v>24</v>
      </c>
      <c r="Q195" s="64">
        <v>24</v>
      </c>
      <c r="R195" s="64">
        <v>24</v>
      </c>
      <c r="S195" s="64">
        <v>24</v>
      </c>
      <c r="T195" s="64">
        <v>24</v>
      </c>
      <c r="U195" s="64">
        <v>24</v>
      </c>
      <c r="V195" s="64">
        <v>24</v>
      </c>
    </row>
    <row r="196" spans="1:22" x14ac:dyDescent="0.55000000000000004">
      <c r="A196" s="41" t="s">
        <v>11</v>
      </c>
      <c r="B196" s="41" t="str">
        <f>IF(B188="MDR/XDR Treatment Program","...",IF(B188="XDR Treat Program","...",IF(B188="MDR Treat Program","...",IF(B188="DS Treat Program","...",IF(B188="Latency Treat Program","...",IF(B188="Strain Diag Program","Latent Treatment Adherence Probability (Yearly)",IF(B188="DR Targeted Diagnosis Program","Latent Treatment Adherence Probability (Yearly)",IF(B188="DS Targeted Diagnosis Program","Latent Treatment Adherence Probability (Yearly)",IF(B188="Vaccination Program","...",IF(B188="Fixed Cost Program","...","..."))))))))))</f>
        <v>...</v>
      </c>
      <c r="C196" s="41" t="str">
        <f>IF(B196&lt;&gt;"...","Unique","")</f>
        <v/>
      </c>
      <c r="D196" s="39" t="str">
        <f>IF(B196&lt;&gt;"...",IF(SUMPRODUCT(--(F196:V196&lt;&gt;""))=0,0,"N.A."),"")</f>
        <v/>
      </c>
      <c r="E196" s="41" t="str">
        <f t="shared" si="17"/>
        <v/>
      </c>
      <c r="F196" s="40"/>
      <c r="G196" s="40"/>
      <c r="H196" s="40"/>
      <c r="I196" s="40"/>
      <c r="J196" s="40"/>
      <c r="K196" s="40"/>
      <c r="L196" s="40"/>
      <c r="M196" s="40"/>
      <c r="N196" s="40"/>
      <c r="O196" s="40"/>
      <c r="P196" s="40"/>
      <c r="Q196" s="40"/>
      <c r="R196" s="40"/>
      <c r="S196" s="40"/>
      <c r="T196" s="40"/>
      <c r="U196" s="40"/>
      <c r="V196" s="40"/>
    </row>
    <row r="197" spans="1:22" x14ac:dyDescent="0.55000000000000004">
      <c r="A197" s="41" t="s">
        <v>11</v>
      </c>
      <c r="B197" s="41" t="str">
        <f>IF(B188="MDR/XDR Treatment Program","...",IF(B188="XDR Treat Program","...",IF(B188="MDR Treat Program","...",IF(B188="DS Treat Program","...",IF(B188="Latency Treat Program","...",IF(B188="Strain Diag Program","Latent Treatment Duration (Months)",IF(B188="DR Targeted Diagnosis Program","Latent Treatment Duration (Months)",IF(B188="DS Targeted Diagnosis Program","Latent Treatment Duration (Months)",IF(B188="Vaccination Program","...",IF(B188="Fixed Cost Program","...","..."))))))))))</f>
        <v>...</v>
      </c>
      <c r="C197" s="41" t="str">
        <f>IF(B197&lt;&gt;"...","Unique","")</f>
        <v/>
      </c>
      <c r="D197" s="39" t="str">
        <f>IF(B197&lt;&gt;"...",IF(SUMPRODUCT(--(F197:V197&lt;&gt;""))=0,0,"N.A."),"")</f>
        <v/>
      </c>
      <c r="E197" s="41" t="str">
        <f t="shared" si="17"/>
        <v/>
      </c>
      <c r="F197" s="40"/>
      <c r="G197" s="40"/>
      <c r="H197" s="40"/>
      <c r="I197" s="40"/>
      <c r="J197" s="40"/>
      <c r="K197" s="40"/>
      <c r="L197" s="40"/>
      <c r="M197" s="40"/>
      <c r="N197" s="40"/>
      <c r="O197" s="40"/>
      <c r="P197" s="40"/>
      <c r="Q197" s="40"/>
      <c r="R197" s="40"/>
      <c r="S197" s="40"/>
      <c r="T197" s="40"/>
      <c r="U197" s="40"/>
      <c r="V197" s="40"/>
    </row>
    <row r="198" spans="1:22" x14ac:dyDescent="0.55000000000000004">
      <c r="A198" s="41"/>
    </row>
    <row r="199" spans="1:22" x14ac:dyDescent="0.55000000000000004">
      <c r="A199" s="41" t="str">
        <f>'Program Definitions'!$A$20</f>
        <v>HIV+: New MDR TB</v>
      </c>
      <c r="B199" s="41" t="s">
        <v>210</v>
      </c>
      <c r="C199" s="41"/>
      <c r="D199" s="41"/>
      <c r="E199" s="41"/>
      <c r="F199" s="41"/>
      <c r="G199" s="41"/>
      <c r="H199" s="41"/>
      <c r="I199" s="41"/>
      <c r="J199" s="41"/>
      <c r="K199" s="41"/>
      <c r="L199" s="41"/>
      <c r="M199" s="41"/>
      <c r="N199" s="41"/>
      <c r="O199" s="41"/>
      <c r="P199" s="41"/>
      <c r="Q199" s="41"/>
      <c r="R199" s="41"/>
      <c r="S199" s="41"/>
      <c r="T199" s="41"/>
      <c r="U199" s="41"/>
      <c r="V199" s="41"/>
    </row>
    <row r="200" spans="1:22" x14ac:dyDescent="0.55000000000000004">
      <c r="A200" s="41" t="s">
        <v>11</v>
      </c>
      <c r="B200" s="41"/>
      <c r="C200" s="41" t="s">
        <v>8</v>
      </c>
      <c r="D200" s="41" t="s">
        <v>9</v>
      </c>
      <c r="E200" s="41"/>
      <c r="F200" s="41">
        <v>2000</v>
      </c>
      <c r="G200" s="41">
        <v>2001</v>
      </c>
      <c r="H200" s="41">
        <v>2002</v>
      </c>
      <c r="I200" s="41">
        <v>2003</v>
      </c>
      <c r="J200" s="41">
        <v>2004</v>
      </c>
      <c r="K200" s="41">
        <v>2005</v>
      </c>
      <c r="L200" s="41">
        <v>2006</v>
      </c>
      <c r="M200" s="41">
        <v>2007</v>
      </c>
      <c r="N200" s="41">
        <v>2008</v>
      </c>
      <c r="O200" s="41">
        <v>2009</v>
      </c>
      <c r="P200" s="41">
        <v>2010</v>
      </c>
      <c r="Q200" s="41">
        <v>2011</v>
      </c>
      <c r="R200" s="41">
        <v>2012</v>
      </c>
      <c r="S200" s="41">
        <v>2013</v>
      </c>
      <c r="T200" s="41">
        <v>2014</v>
      </c>
      <c r="U200" s="41">
        <v>2015</v>
      </c>
      <c r="V200" s="41">
        <v>2016</v>
      </c>
    </row>
    <row r="201" spans="1:22" x14ac:dyDescent="0.55000000000000004">
      <c r="A201" s="41" t="s">
        <v>12</v>
      </c>
      <c r="B201" s="41" t="str">
        <f>IF(B199="Fixed Cost Program","...","Program Coverage")</f>
        <v>Program Coverage</v>
      </c>
      <c r="C201" s="41" t="str">
        <f>IF(B201&lt;&gt;"...","Number","")</f>
        <v>Number</v>
      </c>
      <c r="D201" s="39" t="str">
        <f>IF(B201&lt;&gt;"...",IF(SUMPRODUCT(--(F201:V201&lt;&gt;""))=0,0,"N.A."),"")</f>
        <v>N.A.</v>
      </c>
      <c r="E201" s="41" t="str">
        <f>IF(B201&lt;&gt;"...","OR","")</f>
        <v>OR</v>
      </c>
      <c r="F201" s="60"/>
      <c r="G201" s="60"/>
      <c r="H201" s="60"/>
      <c r="I201" s="60"/>
      <c r="J201" s="60"/>
      <c r="K201" s="60"/>
      <c r="L201" s="60"/>
      <c r="M201" s="60"/>
      <c r="N201" s="60"/>
      <c r="O201" s="60"/>
      <c r="P201" s="60"/>
      <c r="Q201" s="60"/>
      <c r="R201" s="60"/>
      <c r="S201" s="60"/>
      <c r="T201" s="60"/>
      <c r="U201" s="60">
        <v>0</v>
      </c>
      <c r="V201" s="44"/>
    </row>
    <row r="202" spans="1:22" x14ac:dyDescent="0.55000000000000004">
      <c r="A202" s="41" t="s">
        <v>11</v>
      </c>
      <c r="B202" s="41" t="s">
        <v>13</v>
      </c>
      <c r="C202" s="41" t="s">
        <v>15</v>
      </c>
      <c r="D202" s="39" t="str">
        <f>IF(SUMPRODUCT(--(F202:V202&lt;&gt;""))=0,0,"N.A.")</f>
        <v>N.A.</v>
      </c>
      <c r="E202" s="41" t="s">
        <v>16</v>
      </c>
      <c r="F202" s="65"/>
      <c r="G202" s="65"/>
      <c r="H202" s="65"/>
      <c r="I202" s="65"/>
      <c r="J202" s="65"/>
      <c r="K202" s="65"/>
      <c r="L202" s="65"/>
      <c r="M202" s="65"/>
      <c r="N202" s="65"/>
      <c r="O202" s="65"/>
      <c r="P202" s="65"/>
      <c r="Q202" s="65"/>
      <c r="R202" s="65"/>
      <c r="S202" s="65"/>
      <c r="T202" s="65"/>
      <c r="U202" s="65">
        <v>0</v>
      </c>
      <c r="V202" s="65"/>
    </row>
    <row r="203" spans="1:22" x14ac:dyDescent="0.55000000000000004">
      <c r="A203" s="41" t="s">
        <v>11</v>
      </c>
      <c r="B203" s="41" t="str">
        <f>IF(B199="Fixed Cost Program","...",CONCATENATE("Unit Cost Estimate",IF(C201="Fraction"," (Per 1%)","")))</f>
        <v>Unit Cost Estimate</v>
      </c>
      <c r="C203" s="41" t="str">
        <f>IF(B203&lt;&gt;"...","USD","")</f>
        <v>USD</v>
      </c>
      <c r="D203" s="66">
        <v>40130</v>
      </c>
      <c r="E203" s="41" t="str">
        <f t="shared" ref="E203:E208" si="18">IF(B203&lt;&gt;"...","OR","")</f>
        <v>OR</v>
      </c>
      <c r="F203" s="65" t="str">
        <f>IF(B203&lt;&gt;"...","...","")</f>
        <v>...</v>
      </c>
      <c r="G203" s="65" t="str">
        <f>IF(B203&lt;&gt;"...","...","")</f>
        <v>...</v>
      </c>
      <c r="H203" s="65" t="str">
        <f>IF(B203&lt;&gt;"...","...","")</f>
        <v>...</v>
      </c>
      <c r="I203" s="65" t="str">
        <f>IF(B203&lt;&gt;"...","...","")</f>
        <v>...</v>
      </c>
      <c r="J203" s="65" t="str">
        <f>IF(B203&lt;&gt;"...","...","")</f>
        <v>...</v>
      </c>
      <c r="K203" s="65" t="str">
        <f>IF(B203&lt;&gt;"...","...","")</f>
        <v>...</v>
      </c>
      <c r="L203" s="65" t="str">
        <f>IF(B203&lt;&gt;"...","...","")</f>
        <v>...</v>
      </c>
      <c r="M203" s="65" t="str">
        <f>IF(B203&lt;&gt;"...","...","")</f>
        <v>...</v>
      </c>
      <c r="N203" s="65" t="str">
        <f>IF(B203&lt;&gt;"...","...","")</f>
        <v>...</v>
      </c>
      <c r="O203" s="65" t="str">
        <f>IF(B203&lt;&gt;"...","...","")</f>
        <v>...</v>
      </c>
      <c r="P203" s="65" t="str">
        <f>IF(B203&lt;&gt;"...","...","")</f>
        <v>...</v>
      </c>
      <c r="Q203" s="65" t="str">
        <f>IF(B203&lt;&gt;"...","...","")</f>
        <v>...</v>
      </c>
      <c r="R203" s="65" t="str">
        <f>IF(B203&lt;&gt;"...","...","")</f>
        <v>...</v>
      </c>
      <c r="S203" s="65" t="str">
        <f>IF(B203&lt;&gt;"...","...","")</f>
        <v>...</v>
      </c>
      <c r="T203" s="65" t="str">
        <f>IF(B203&lt;&gt;"...","...","")</f>
        <v>...</v>
      </c>
      <c r="U203" s="65" t="str">
        <f>IF(B203&lt;&gt;"...","...","")</f>
        <v>...</v>
      </c>
      <c r="V203" s="65" t="str">
        <f>IF(B203&lt;&gt;"...","...","")</f>
        <v>...</v>
      </c>
    </row>
    <row r="204" spans="1:22" x14ac:dyDescent="0.55000000000000004">
      <c r="A204" s="41" t="s">
        <v>17</v>
      </c>
      <c r="B204" s="41" t="str">
        <f>IF(B199="MDR/XDR Treatment Program","Efficacy (After Completed Treatment)",IF(B199="XDR Treat Program","Efficacy (After Completed Treatment)",IF(B199="MDR Treat Program","Efficacy (After Completed Treatment)",IF(B199="DS Treat Program","Efficacy (After Completed Treatment)",IF(B199="Latency Treat Program","Efficacy (After Completed Treatment)",IF(B199="Strain Diag Program","Sensitivity (Detection Probability)",IF(B199="DR Targeted Diagnosis Program","Sensitivity (Detection Probability)",IF(B199="DS Targeted Diagnosis Program","Sensitivity (Detection Probability)",IF(B199="Vaccination Program","Vaccination Effectiveness Probability",IF(B199="Fixed Cost Program","...","..."))))))))))</f>
        <v>Efficacy (After Completed Treatment)</v>
      </c>
      <c r="C204" s="41" t="str">
        <f>IF(B204&lt;&gt;"...","Unique","")</f>
        <v>Unique</v>
      </c>
      <c r="D204" s="39" t="str">
        <f>IF(B204&lt;&gt;"...",IF(SUMPRODUCT(--(F204:V204&lt;&gt;""))=0,0,"N.A."),"")</f>
        <v>N.A.</v>
      </c>
      <c r="E204" s="41" t="str">
        <f t="shared" si="18"/>
        <v>OR</v>
      </c>
      <c r="F204" s="40"/>
      <c r="G204" s="40"/>
      <c r="H204" s="40"/>
      <c r="I204" s="40"/>
      <c r="J204" s="40"/>
      <c r="K204" s="40"/>
      <c r="L204" s="40"/>
      <c r="M204" s="40"/>
      <c r="N204" s="40"/>
      <c r="O204" s="40"/>
      <c r="P204" s="40"/>
      <c r="Q204" s="40"/>
      <c r="R204" s="40"/>
      <c r="S204" s="40"/>
      <c r="T204" s="40"/>
      <c r="U204" s="40">
        <v>0.67366666666666664</v>
      </c>
      <c r="V204" s="40"/>
    </row>
    <row r="205" spans="1:22" x14ac:dyDescent="0.55000000000000004">
      <c r="A205" s="41" t="s">
        <v>11</v>
      </c>
      <c r="B205" s="41" t="str">
        <f>IF(B199="MDR/XDR Treatment Program","Adherence Probability (Yearly)",IF(B199="XDR Treat Program","Adherence Probability (Yearly)",IF(B199="MDR Treat Program","Adherence Probability (Yearly)",IF(B199="DS Treat Program","Adherence Probability (Yearly)",IF(B199="Latency Treat Program","Adherence Probability (Yearly)",IF(B199="Strain Diag Program","Latents Identified (Per Active Case)",IF(B199="DR Targeted Diagnosis Program","Latents Identified (Per DR-TB Case)",IF(B199="DS Targeted Diagnosis Program","Latents Identified (Per DS-TB Case)",IF(B199="Vaccination Program","...",IF(B199="Fixed Cost Program","...","..."))))))))))</f>
        <v>Adherence Probability (Yearly)</v>
      </c>
      <c r="C205" s="41" t="str">
        <f>IF(B205&lt;&gt;"...","Unique","")</f>
        <v>Unique</v>
      </c>
      <c r="D205" s="39" t="str">
        <f>IF(B205&lt;&gt;"...",IF(SUMPRODUCT(--(F205:V205&lt;&gt;""))=0,0,"N.A."),"")</f>
        <v>N.A.</v>
      </c>
      <c r="E205" s="41" t="str">
        <f t="shared" si="18"/>
        <v>OR</v>
      </c>
      <c r="F205" s="40"/>
      <c r="G205" s="40"/>
      <c r="H205" s="40"/>
      <c r="I205" s="40"/>
      <c r="J205" s="40"/>
      <c r="K205" s="40"/>
      <c r="L205" s="40"/>
      <c r="M205" s="40"/>
      <c r="N205" s="40"/>
      <c r="O205" s="40"/>
      <c r="P205" s="40"/>
      <c r="Q205" s="40"/>
      <c r="R205" s="40"/>
      <c r="S205" s="40"/>
      <c r="T205" s="40"/>
      <c r="U205" s="40">
        <v>0.85466666700000005</v>
      </c>
      <c r="V205" s="40"/>
    </row>
    <row r="206" spans="1:22" x14ac:dyDescent="0.55000000000000004">
      <c r="A206" s="41" t="s">
        <v>11</v>
      </c>
      <c r="B206" s="41" t="str">
        <f>IF(B199="MDR/XDR Treatment Program","Treatment Duration (Months)",IF(B199="XDR Treat Program","Treatment Duration (Months)",IF(B199="MDR Treat Program","Treatment Duration (Months)",IF(B199="DS Treat Program","Treatment Duration (Months)",IF(B199="Latency Treat Program","Treatment Duration (Months)",IF(B199="Strain Diag Program","Latent Treatment Efficacy (After Completed Treatment)",IF(B199="DR Targeted Diagnosis Program","Latent Treatment Efficacy (After Completed Treatment)",IF(B199="DS Targeted Diagnosis Program","Latent Treatment Efficacy (After Completed Treatment)",IF(B199="Vaccination Program","...",IF(B199="Fixed Cost Program","...","..."))))))))))</f>
        <v>Treatment Duration (Months)</v>
      </c>
      <c r="C206" s="41" t="str">
        <f>IF(B206&lt;&gt;"...","Unique","")</f>
        <v>Unique</v>
      </c>
      <c r="D206" s="39" t="str">
        <f>IF(B206&lt;&gt;"...",IF(SUMPRODUCT(--(F206:V206&lt;&gt;""))=0,0,"N.A."),"")</f>
        <v>N.A.</v>
      </c>
      <c r="E206" s="41" t="str">
        <f t="shared" si="18"/>
        <v>OR</v>
      </c>
      <c r="F206" s="64">
        <v>14</v>
      </c>
      <c r="G206" s="64">
        <v>14</v>
      </c>
      <c r="H206" s="64">
        <v>14</v>
      </c>
      <c r="I206" s="64">
        <v>14</v>
      </c>
      <c r="J206" s="64">
        <v>14</v>
      </c>
      <c r="K206" s="64">
        <v>14</v>
      </c>
      <c r="L206" s="64">
        <v>14</v>
      </c>
      <c r="M206" s="64">
        <v>14</v>
      </c>
      <c r="N206" s="64">
        <v>14</v>
      </c>
      <c r="O206" s="64">
        <v>14</v>
      </c>
      <c r="P206" s="64">
        <v>14</v>
      </c>
      <c r="Q206" s="64">
        <v>14</v>
      </c>
      <c r="R206" s="64">
        <v>14</v>
      </c>
      <c r="S206" s="64">
        <v>14</v>
      </c>
      <c r="T206" s="64">
        <v>14</v>
      </c>
      <c r="U206" s="64">
        <v>14</v>
      </c>
      <c r="V206" s="64">
        <v>14</v>
      </c>
    </row>
    <row r="207" spans="1:22" x14ac:dyDescent="0.55000000000000004">
      <c r="A207" s="41" t="s">
        <v>11</v>
      </c>
      <c r="B207" s="41" t="str">
        <f>IF(B199="MDR/XDR Treatment Program","...",IF(B199="XDR Treat Program","...",IF(B199="MDR Treat Program","...",IF(B199="DS Treat Program","...",IF(B199="Latency Treat Program","...",IF(B199="Strain Diag Program","Latent Treatment Adherence Probability (Yearly)",IF(B199="DR Targeted Diagnosis Program","Latent Treatment Adherence Probability (Yearly)",IF(B199="DS Targeted Diagnosis Program","Latent Treatment Adherence Probability (Yearly)",IF(B199="Vaccination Program","...",IF(B199="Fixed Cost Program","...","..."))))))))))</f>
        <v>...</v>
      </c>
      <c r="C207" s="41" t="str">
        <f>IF(B207&lt;&gt;"...","Unique","")</f>
        <v/>
      </c>
      <c r="D207" s="39" t="str">
        <f>IF(B207&lt;&gt;"...",IF(SUMPRODUCT(--(F207:V207&lt;&gt;""))=0,0,"N.A."),"")</f>
        <v/>
      </c>
      <c r="E207" s="41" t="str">
        <f t="shared" si="18"/>
        <v/>
      </c>
      <c r="F207" s="40"/>
      <c r="G207" s="40"/>
      <c r="H207" s="40"/>
      <c r="I207" s="40"/>
      <c r="J207" s="40"/>
      <c r="K207" s="40"/>
      <c r="L207" s="40"/>
      <c r="M207" s="40"/>
      <c r="N207" s="40"/>
      <c r="O207" s="40"/>
      <c r="P207" s="40"/>
      <c r="Q207" s="40"/>
      <c r="R207" s="40"/>
      <c r="S207" s="40"/>
      <c r="T207" s="40"/>
      <c r="U207" s="40"/>
      <c r="V207" s="40"/>
    </row>
    <row r="208" spans="1:22" x14ac:dyDescent="0.55000000000000004">
      <c r="A208" s="41" t="s">
        <v>11</v>
      </c>
      <c r="B208" s="41" t="str">
        <f>IF(B199="MDR/XDR Treatment Program","...",IF(B199="XDR Treat Program","...",IF(B199="MDR Treat Program","...",IF(B199="DS Treat Program","...",IF(B199="Latency Treat Program","...",IF(B199="Strain Diag Program","Latent Treatment Duration (Months)",IF(B199="DR Targeted Diagnosis Program","Latent Treatment Duration (Months)",IF(B199="DS Targeted Diagnosis Program","Latent Treatment Duration (Months)",IF(B199="Vaccination Program","...",IF(B199="Fixed Cost Program","...","..."))))))))))</f>
        <v>...</v>
      </c>
      <c r="C208" s="41" t="str">
        <f>IF(B208&lt;&gt;"...","Unique","")</f>
        <v/>
      </c>
      <c r="D208" s="39" t="str">
        <f>IF(B208&lt;&gt;"...",IF(SUMPRODUCT(--(F208:V208&lt;&gt;""))=0,0,"N.A."),"")</f>
        <v/>
      </c>
      <c r="E208" s="41" t="str">
        <f t="shared" si="18"/>
        <v/>
      </c>
      <c r="F208" s="40"/>
      <c r="G208" s="40"/>
      <c r="H208" s="40"/>
      <c r="I208" s="40"/>
      <c r="J208" s="40"/>
      <c r="K208" s="40"/>
      <c r="L208" s="40"/>
      <c r="M208" s="40"/>
      <c r="N208" s="40"/>
      <c r="O208" s="40"/>
      <c r="P208" s="40"/>
      <c r="Q208" s="40"/>
      <c r="R208" s="40"/>
      <c r="S208" s="40"/>
      <c r="T208" s="40"/>
      <c r="U208" s="40"/>
      <c r="V208" s="40"/>
    </row>
    <row r="209" spans="1:22" x14ac:dyDescent="0.55000000000000004">
      <c r="A209" s="41"/>
    </row>
    <row r="210" spans="1:22" x14ac:dyDescent="0.55000000000000004">
      <c r="A210" s="41" t="str">
        <f>'Program Definitions'!$A$21</f>
        <v>HIV+: Old XDR TB</v>
      </c>
      <c r="B210" s="41" t="s">
        <v>211</v>
      </c>
      <c r="C210" s="41"/>
      <c r="D210" s="41"/>
      <c r="E210" s="41"/>
      <c r="F210" s="41"/>
      <c r="G210" s="41"/>
      <c r="H210" s="41"/>
      <c r="I210" s="41"/>
      <c r="J210" s="41"/>
      <c r="K210" s="41"/>
      <c r="L210" s="41"/>
      <c r="M210" s="41"/>
      <c r="N210" s="41"/>
      <c r="O210" s="41"/>
      <c r="P210" s="41"/>
      <c r="Q210" s="41"/>
      <c r="R210" s="41"/>
      <c r="S210" s="41"/>
      <c r="T210" s="41"/>
      <c r="U210" s="41"/>
      <c r="V210" s="41"/>
    </row>
    <row r="211" spans="1:22" x14ac:dyDescent="0.55000000000000004">
      <c r="A211" s="41" t="s">
        <v>11</v>
      </c>
      <c r="B211" s="41"/>
      <c r="C211" s="41" t="s">
        <v>8</v>
      </c>
      <c r="D211" s="41" t="s">
        <v>9</v>
      </c>
      <c r="E211" s="41"/>
      <c r="F211" s="41">
        <v>2000</v>
      </c>
      <c r="G211" s="41">
        <v>2001</v>
      </c>
      <c r="H211" s="41">
        <v>2002</v>
      </c>
      <c r="I211" s="41">
        <v>2003</v>
      </c>
      <c r="J211" s="41">
        <v>2004</v>
      </c>
      <c r="K211" s="41">
        <v>2005</v>
      </c>
      <c r="L211" s="41">
        <v>2006</v>
      </c>
      <c r="M211" s="41">
        <v>2007</v>
      </c>
      <c r="N211" s="41">
        <v>2008</v>
      </c>
      <c r="O211" s="41">
        <v>2009</v>
      </c>
      <c r="P211" s="41">
        <v>2010</v>
      </c>
      <c r="Q211" s="41">
        <v>2011</v>
      </c>
      <c r="R211" s="41">
        <v>2012</v>
      </c>
      <c r="S211" s="41">
        <v>2013</v>
      </c>
      <c r="T211" s="41">
        <v>2014</v>
      </c>
      <c r="U211" s="41">
        <v>2015</v>
      </c>
      <c r="V211" s="41">
        <v>2016</v>
      </c>
    </row>
    <row r="212" spans="1:22" x14ac:dyDescent="0.55000000000000004">
      <c r="A212" s="41" t="s">
        <v>12</v>
      </c>
      <c r="B212" s="41" t="str">
        <f>IF(B210="Fixed Cost Program","...","Program Coverage")</f>
        <v>Program Coverage</v>
      </c>
      <c r="C212" s="41" t="str">
        <f>IF(B212&lt;&gt;"...","Number","")</f>
        <v>Number</v>
      </c>
      <c r="D212" s="39" t="str">
        <f>IF(B212&lt;&gt;"...",IF(SUMPRODUCT(--(F212:V212&lt;&gt;""))=0,0,"N.A."),"")</f>
        <v>N.A.</v>
      </c>
      <c r="E212" s="41" t="str">
        <f>IF(B212&lt;&gt;"...","OR","")</f>
        <v>OR</v>
      </c>
      <c r="F212" s="60"/>
      <c r="G212" s="60"/>
      <c r="H212" s="60"/>
      <c r="I212" s="60"/>
      <c r="J212" s="60"/>
      <c r="K212" s="60"/>
      <c r="L212" s="60"/>
      <c r="M212" s="60"/>
      <c r="N212" s="60"/>
      <c r="O212" s="60"/>
      <c r="P212" s="60"/>
      <c r="Q212" s="60"/>
      <c r="R212" s="60"/>
      <c r="S212" s="60"/>
      <c r="T212" s="60"/>
      <c r="U212" s="60">
        <f>SUM('[1]Notified Cases'!T34,'[1]Notified Cases'!T41,'[1]Notified Cases'!T76,'[1]Notified Cases'!T83)</f>
        <v>58.723091062611886</v>
      </c>
      <c r="V212" s="44"/>
    </row>
    <row r="213" spans="1:22" x14ac:dyDescent="0.55000000000000004">
      <c r="A213" s="41" t="s">
        <v>11</v>
      </c>
      <c r="B213" s="41" t="s">
        <v>13</v>
      </c>
      <c r="C213" s="41" t="s">
        <v>15</v>
      </c>
      <c r="D213" s="39" t="str">
        <f>IF(SUMPRODUCT(--(F213:V213&lt;&gt;""))=0,0,"N.A.")</f>
        <v>N.A.</v>
      </c>
      <c r="E213" s="41" t="s">
        <v>16</v>
      </c>
      <c r="F213" s="65"/>
      <c r="G213" s="65"/>
      <c r="H213" s="65"/>
      <c r="I213" s="65"/>
      <c r="J213" s="65"/>
      <c r="K213" s="65"/>
      <c r="L213" s="65"/>
      <c r="M213" s="65"/>
      <c r="N213" s="65"/>
      <c r="O213" s="65"/>
      <c r="P213" s="65"/>
      <c r="Q213" s="65"/>
      <c r="R213" s="65"/>
      <c r="S213" s="65"/>
      <c r="T213" s="65"/>
      <c r="U213" s="65">
        <f>5707834/2.39</f>
        <v>2388215.0627615061</v>
      </c>
      <c r="V213" s="65"/>
    </row>
    <row r="214" spans="1:22" x14ac:dyDescent="0.55000000000000004">
      <c r="A214" s="41" t="s">
        <v>11</v>
      </c>
      <c r="B214" s="41" t="str">
        <f>IF(B210="Fixed Cost Program","...",CONCATENATE("Unit Cost Estimate",IF(C212="Fraction"," (Per 1%)","")))</f>
        <v>Unit Cost Estimate</v>
      </c>
      <c r="C214" s="41" t="str">
        <f>IF(B214&lt;&gt;"...","USD","")</f>
        <v>USD</v>
      </c>
      <c r="D214" s="66">
        <v>116644.8</v>
      </c>
      <c r="E214" s="41" t="str">
        <f t="shared" ref="E214:E219" si="19">IF(B214&lt;&gt;"...","OR","")</f>
        <v>OR</v>
      </c>
      <c r="F214" s="65" t="str">
        <f>IF(B214&lt;&gt;"...","...","")</f>
        <v>...</v>
      </c>
      <c r="G214" s="65" t="str">
        <f>IF(B214&lt;&gt;"...","...","")</f>
        <v>...</v>
      </c>
      <c r="H214" s="65" t="str">
        <f>IF(B214&lt;&gt;"...","...","")</f>
        <v>...</v>
      </c>
      <c r="I214" s="65" t="str">
        <f>IF(B214&lt;&gt;"...","...","")</f>
        <v>...</v>
      </c>
      <c r="J214" s="65" t="str">
        <f>IF(B214&lt;&gt;"...","...","")</f>
        <v>...</v>
      </c>
      <c r="K214" s="65" t="str">
        <f>IF(B214&lt;&gt;"...","...","")</f>
        <v>...</v>
      </c>
      <c r="L214" s="65" t="str">
        <f>IF(B214&lt;&gt;"...","...","")</f>
        <v>...</v>
      </c>
      <c r="M214" s="65" t="str">
        <f>IF(B214&lt;&gt;"...","...","")</f>
        <v>...</v>
      </c>
      <c r="N214" s="65" t="str">
        <f>IF(B214&lt;&gt;"...","...","")</f>
        <v>...</v>
      </c>
      <c r="O214" s="65" t="str">
        <f>IF(B214&lt;&gt;"...","...","")</f>
        <v>...</v>
      </c>
      <c r="P214" s="65" t="str">
        <f>IF(B214&lt;&gt;"...","...","")</f>
        <v>...</v>
      </c>
      <c r="Q214" s="65" t="str">
        <f>IF(B214&lt;&gt;"...","...","")</f>
        <v>...</v>
      </c>
      <c r="R214" s="65" t="str">
        <f>IF(B214&lt;&gt;"...","...","")</f>
        <v>...</v>
      </c>
      <c r="S214" s="65" t="str">
        <f>IF(B214&lt;&gt;"...","...","")</f>
        <v>...</v>
      </c>
      <c r="T214" s="65" t="str">
        <f>IF(B214&lt;&gt;"...","...","")</f>
        <v>...</v>
      </c>
      <c r="U214" s="65" t="str">
        <f>IF(B214&lt;&gt;"...","...","")</f>
        <v>...</v>
      </c>
      <c r="V214" s="65" t="str">
        <f>IF(B214&lt;&gt;"...","...","")</f>
        <v>...</v>
      </c>
    </row>
    <row r="215" spans="1:22" x14ac:dyDescent="0.55000000000000004">
      <c r="A215" s="41" t="s">
        <v>17</v>
      </c>
      <c r="B215" s="41" t="str">
        <f>IF(B210="MDR/XDR Treatment Program","Efficacy (After Completed Treatment)",IF(B210="XDR Treat Program","Efficacy (After Completed Treatment)",IF(B210="MDR Treat Program","Efficacy (After Completed Treatment)",IF(B210="DS Treat Program","Efficacy (After Completed Treatment)",IF(B210="Latency Treat Program","Efficacy (After Completed Treatment)",IF(B210="Strain Diag Program","Sensitivity (Detection Probability)",IF(B210="DR Targeted Diagnosis Program","Sensitivity (Detection Probability)",IF(B210="DS Targeted Diagnosis Program","Sensitivity (Detection Probability)",IF(B210="Vaccination Program","Vaccination Effectiveness Probability",IF(B210="Fixed Cost Program","...","..."))))))))))</f>
        <v>Efficacy (After Completed Treatment)</v>
      </c>
      <c r="C215" s="41" t="str">
        <f>IF(B215&lt;&gt;"...","Unique","")</f>
        <v>Unique</v>
      </c>
      <c r="D215" s="39" t="str">
        <f>IF(B215&lt;&gt;"...",IF(SUMPRODUCT(--(F215:V215&lt;&gt;""))=0,0,"N.A."),"")</f>
        <v>N.A.</v>
      </c>
      <c r="E215" s="41" t="str">
        <f t="shared" si="19"/>
        <v>OR</v>
      </c>
      <c r="F215" s="40"/>
      <c r="G215" s="40"/>
      <c r="H215" s="40"/>
      <c r="I215" s="40"/>
      <c r="J215" s="40"/>
      <c r="K215" s="40"/>
      <c r="L215" s="40"/>
      <c r="M215" s="40"/>
      <c r="N215" s="40"/>
      <c r="O215" s="40"/>
      <c r="P215" s="40"/>
      <c r="Q215" s="40"/>
      <c r="R215" s="40"/>
      <c r="S215" s="40"/>
      <c r="T215" s="40"/>
      <c r="U215" s="40">
        <v>0.41399999999999998</v>
      </c>
      <c r="V215" s="40"/>
    </row>
    <row r="216" spans="1:22" x14ac:dyDescent="0.55000000000000004">
      <c r="A216" s="41" t="s">
        <v>11</v>
      </c>
      <c r="B216" s="41" t="str">
        <f>IF(B210="MDR/XDR Treatment Program","Adherence Probability (Yearly)",IF(B210="XDR Treat Program","Adherence Probability (Yearly)",IF(B210="MDR Treat Program","Adherence Probability (Yearly)",IF(B210="DS Treat Program","Adherence Probability (Yearly)",IF(B210="Latency Treat Program","Adherence Probability (Yearly)",IF(B210="Strain Diag Program","Latents Identified (Per Active Case)",IF(B210="DR Targeted Diagnosis Program","Latents Identified (Per DR-TB Case)",IF(B210="DS Targeted Diagnosis Program","Latents Identified (Per DS-TB Case)",IF(B210="Vaccination Program","...",IF(B210="Fixed Cost Program","...","..."))))))))))</f>
        <v>Adherence Probability (Yearly)</v>
      </c>
      <c r="C216" s="41" t="str">
        <f>IF(B216&lt;&gt;"...","Unique","")</f>
        <v>Unique</v>
      </c>
      <c r="D216" s="39" t="str">
        <f>IF(B216&lt;&gt;"...",IF(SUMPRODUCT(--(F216:V216&lt;&gt;""))=0,0,"N.A."),"")</f>
        <v>N.A.</v>
      </c>
      <c r="E216" s="41" t="str">
        <f t="shared" si="19"/>
        <v>OR</v>
      </c>
      <c r="F216" s="40"/>
      <c r="G216" s="40"/>
      <c r="H216" s="40"/>
      <c r="I216" s="40"/>
      <c r="J216" s="40"/>
      <c r="K216" s="40"/>
      <c r="L216" s="40"/>
      <c r="M216" s="40"/>
      <c r="N216" s="40"/>
      <c r="O216" s="40"/>
      <c r="P216" s="40"/>
      <c r="Q216" s="40"/>
      <c r="R216" s="40"/>
      <c r="S216" s="40"/>
      <c r="T216" s="40"/>
      <c r="U216" s="40">
        <f>1-0.831</f>
        <v>0.16900000000000004</v>
      </c>
      <c r="V216" s="40"/>
    </row>
    <row r="217" spans="1:22" x14ac:dyDescent="0.55000000000000004">
      <c r="A217" s="41" t="s">
        <v>11</v>
      </c>
      <c r="B217" s="41" t="str">
        <f>IF(B210="MDR/XDR Treatment Program","Treatment Duration (Months)",IF(B210="XDR Treat Program","Treatment Duration (Months)",IF(B210="MDR Treat Program","Treatment Duration (Months)",IF(B210="DS Treat Program","Treatment Duration (Months)",IF(B210="Latency Treat Program","Treatment Duration (Months)",IF(B210="Strain Diag Program","Latent Treatment Efficacy (After Completed Treatment)",IF(B210="DR Targeted Diagnosis Program","Latent Treatment Efficacy (After Completed Treatment)",IF(B210="DS Targeted Diagnosis Program","Latent Treatment Efficacy (After Completed Treatment)",IF(B210="Vaccination Program","...",IF(B210="Fixed Cost Program","...","..."))))))))))</f>
        <v>Treatment Duration (Months)</v>
      </c>
      <c r="C217" s="41" t="str">
        <f>IF(B217&lt;&gt;"...","Unique","")</f>
        <v>Unique</v>
      </c>
      <c r="D217" s="39" t="str">
        <f>IF(B217&lt;&gt;"...",IF(SUMPRODUCT(--(F217:V217&lt;&gt;""))=0,0,"N.A."),"")</f>
        <v>N.A.</v>
      </c>
      <c r="E217" s="41" t="str">
        <f t="shared" si="19"/>
        <v>OR</v>
      </c>
      <c r="F217" s="64">
        <v>24</v>
      </c>
      <c r="G217" s="64">
        <v>24</v>
      </c>
      <c r="H217" s="64">
        <v>24</v>
      </c>
      <c r="I217" s="64">
        <v>24</v>
      </c>
      <c r="J217" s="64">
        <v>24</v>
      </c>
      <c r="K217" s="64">
        <v>24</v>
      </c>
      <c r="L217" s="64">
        <v>24</v>
      </c>
      <c r="M217" s="64">
        <v>24</v>
      </c>
      <c r="N217" s="64">
        <v>24</v>
      </c>
      <c r="O217" s="64">
        <v>24</v>
      </c>
      <c r="P217" s="64">
        <v>24</v>
      </c>
      <c r="Q217" s="64">
        <v>24</v>
      </c>
      <c r="R217" s="64">
        <v>24</v>
      </c>
      <c r="S217" s="64">
        <v>24</v>
      </c>
      <c r="T217" s="64">
        <v>24</v>
      </c>
      <c r="U217" s="64">
        <v>24</v>
      </c>
      <c r="V217" s="64">
        <v>24</v>
      </c>
    </row>
    <row r="218" spans="1:22" x14ac:dyDescent="0.55000000000000004">
      <c r="A218" s="41" t="s">
        <v>11</v>
      </c>
      <c r="B218" s="41" t="str">
        <f>IF(B210="MDR/XDR Treatment Program","...",IF(B210="XDR Treat Program","...",IF(B210="MDR Treat Program","...",IF(B210="DS Treat Program","...",IF(B210="Latency Treat Program","...",IF(B210="Strain Diag Program","Latent Treatment Adherence Probability (Yearly)",IF(B210="DR Targeted Diagnosis Program","Latent Treatment Adherence Probability (Yearly)",IF(B210="DS Targeted Diagnosis Program","Latent Treatment Adherence Probability (Yearly)",IF(B210="Vaccination Program","...",IF(B210="Fixed Cost Program","...","..."))))))))))</f>
        <v>...</v>
      </c>
      <c r="C218" s="41" t="str">
        <f>IF(B218&lt;&gt;"...","Unique","")</f>
        <v/>
      </c>
      <c r="D218" s="39" t="str">
        <f>IF(B218&lt;&gt;"...",IF(SUMPRODUCT(--(F218:V218&lt;&gt;""))=0,0,"N.A."),"")</f>
        <v/>
      </c>
      <c r="E218" s="41" t="str">
        <f t="shared" si="19"/>
        <v/>
      </c>
      <c r="F218" s="40"/>
      <c r="G218" s="40"/>
      <c r="H218" s="40"/>
      <c r="I218" s="40"/>
      <c r="J218" s="40"/>
      <c r="K218" s="40"/>
      <c r="L218" s="40"/>
      <c r="M218" s="40"/>
      <c r="N218" s="40"/>
      <c r="O218" s="40"/>
      <c r="P218" s="40"/>
      <c r="Q218" s="40"/>
      <c r="R218" s="40"/>
      <c r="S218" s="40"/>
      <c r="T218" s="40"/>
      <c r="U218" s="40"/>
      <c r="V218" s="40"/>
    </row>
    <row r="219" spans="1:22" x14ac:dyDescent="0.55000000000000004">
      <c r="A219" s="41" t="s">
        <v>11</v>
      </c>
      <c r="B219" s="41" t="str">
        <f>IF(B210="MDR/XDR Treatment Program","...",IF(B210="XDR Treat Program","...",IF(B210="MDR Treat Program","...",IF(B210="DS Treat Program","...",IF(B210="Latency Treat Program","...",IF(B210="Strain Diag Program","Latent Treatment Duration (Months)",IF(B210="DR Targeted Diagnosis Program","Latent Treatment Duration (Months)",IF(B210="DS Targeted Diagnosis Program","Latent Treatment Duration (Months)",IF(B210="Vaccination Program","...",IF(B210="Fixed Cost Program","...","..."))))))))))</f>
        <v>...</v>
      </c>
      <c r="C219" s="41" t="str">
        <f>IF(B219&lt;&gt;"...","Unique","")</f>
        <v/>
      </c>
      <c r="D219" s="39" t="str">
        <f>IF(B219&lt;&gt;"...",IF(SUMPRODUCT(--(F219:V219&lt;&gt;""))=0,0,"N.A."),"")</f>
        <v/>
      </c>
      <c r="E219" s="41" t="str">
        <f t="shared" si="19"/>
        <v/>
      </c>
      <c r="F219" s="40"/>
      <c r="G219" s="40"/>
      <c r="H219" s="40"/>
      <c r="I219" s="40"/>
      <c r="J219" s="40"/>
      <c r="K219" s="40"/>
      <c r="L219" s="40"/>
      <c r="M219" s="40"/>
      <c r="N219" s="40"/>
      <c r="O219" s="40"/>
      <c r="P219" s="40"/>
      <c r="Q219" s="40"/>
      <c r="R219" s="40"/>
      <c r="S219" s="40"/>
      <c r="T219" s="40"/>
      <c r="U219" s="40"/>
      <c r="V219" s="40"/>
    </row>
    <row r="220" spans="1:22" x14ac:dyDescent="0.55000000000000004">
      <c r="A220" s="41"/>
    </row>
    <row r="221" spans="1:22" x14ac:dyDescent="0.55000000000000004">
      <c r="A221" s="41" t="str">
        <f>'Program Definitions'!$A$22</f>
        <v>HIV+: New XDR TB</v>
      </c>
      <c r="B221" s="41" t="s">
        <v>211</v>
      </c>
      <c r="C221" s="41"/>
      <c r="D221" s="41"/>
      <c r="E221" s="41"/>
      <c r="F221" s="41"/>
      <c r="G221" s="41"/>
      <c r="H221" s="41"/>
      <c r="I221" s="41"/>
      <c r="J221" s="41"/>
      <c r="K221" s="41"/>
      <c r="L221" s="41"/>
      <c r="M221" s="41"/>
      <c r="N221" s="41"/>
      <c r="O221" s="41"/>
      <c r="P221" s="41"/>
      <c r="Q221" s="41"/>
      <c r="R221" s="41"/>
      <c r="S221" s="41"/>
      <c r="T221" s="41"/>
      <c r="U221" s="41"/>
      <c r="V221" s="41"/>
    </row>
    <row r="222" spans="1:22" x14ac:dyDescent="0.55000000000000004">
      <c r="A222" s="41" t="s">
        <v>11</v>
      </c>
      <c r="B222" s="41"/>
      <c r="C222" s="41" t="s">
        <v>8</v>
      </c>
      <c r="D222" s="41" t="s">
        <v>9</v>
      </c>
      <c r="E222" s="41"/>
      <c r="F222" s="41">
        <v>2000</v>
      </c>
      <c r="G222" s="41">
        <v>2001</v>
      </c>
      <c r="H222" s="41">
        <v>2002</v>
      </c>
      <c r="I222" s="41">
        <v>2003</v>
      </c>
      <c r="J222" s="41">
        <v>2004</v>
      </c>
      <c r="K222" s="41">
        <v>2005</v>
      </c>
      <c r="L222" s="41">
        <v>2006</v>
      </c>
      <c r="M222" s="41">
        <v>2007</v>
      </c>
      <c r="N222" s="41">
        <v>2008</v>
      </c>
      <c r="O222" s="41">
        <v>2009</v>
      </c>
      <c r="P222" s="41">
        <v>2010</v>
      </c>
      <c r="Q222" s="41">
        <v>2011</v>
      </c>
      <c r="R222" s="41">
        <v>2012</v>
      </c>
      <c r="S222" s="41">
        <v>2013</v>
      </c>
      <c r="T222" s="41">
        <v>2014</v>
      </c>
      <c r="U222" s="41">
        <v>2015</v>
      </c>
      <c r="V222" s="41">
        <v>2016</v>
      </c>
    </row>
    <row r="223" spans="1:22" x14ac:dyDescent="0.55000000000000004">
      <c r="A223" s="41" t="s">
        <v>12</v>
      </c>
      <c r="B223" s="41" t="str">
        <f>IF(B221="Fixed Cost Program","...","Program Coverage")</f>
        <v>Program Coverage</v>
      </c>
      <c r="C223" s="41" t="str">
        <f>IF(B223&lt;&gt;"...","Number","")</f>
        <v>Number</v>
      </c>
      <c r="D223" s="39" t="str">
        <f>IF(B223&lt;&gt;"...",IF(SUMPRODUCT(--(F223:V223&lt;&gt;""))=0,0,"N.A."),"")</f>
        <v>N.A.</v>
      </c>
      <c r="E223" s="41" t="str">
        <f>IF(B223&lt;&gt;"...","OR","")</f>
        <v>OR</v>
      </c>
      <c r="F223" s="60"/>
      <c r="G223" s="60"/>
      <c r="H223" s="60"/>
      <c r="I223" s="60"/>
      <c r="J223" s="60"/>
      <c r="K223" s="60"/>
      <c r="L223" s="60"/>
      <c r="M223" s="60"/>
      <c r="N223" s="60"/>
      <c r="O223" s="60"/>
      <c r="P223" s="60"/>
      <c r="Q223" s="60"/>
      <c r="R223" s="60"/>
      <c r="S223" s="60"/>
      <c r="T223" s="60"/>
      <c r="U223" s="60">
        <v>0</v>
      </c>
      <c r="V223" s="44"/>
    </row>
    <row r="224" spans="1:22" x14ac:dyDescent="0.55000000000000004">
      <c r="A224" s="41" t="s">
        <v>11</v>
      </c>
      <c r="B224" s="41" t="s">
        <v>13</v>
      </c>
      <c r="C224" s="41" t="s">
        <v>15</v>
      </c>
      <c r="D224" s="39" t="str">
        <f>IF(SUMPRODUCT(--(F224:V224&lt;&gt;""))=0,0,"N.A.")</f>
        <v>N.A.</v>
      </c>
      <c r="E224" s="41" t="s">
        <v>16</v>
      </c>
      <c r="F224" s="65"/>
      <c r="G224" s="65"/>
      <c r="H224" s="65"/>
      <c r="I224" s="65"/>
      <c r="J224" s="65"/>
      <c r="K224" s="65"/>
      <c r="L224" s="65"/>
      <c r="M224" s="65"/>
      <c r="N224" s="65"/>
      <c r="O224" s="65"/>
      <c r="P224" s="65"/>
      <c r="Q224" s="65"/>
      <c r="R224" s="65"/>
      <c r="S224" s="65"/>
      <c r="T224" s="65"/>
      <c r="U224" s="65">
        <v>0</v>
      </c>
      <c r="V224" s="65"/>
    </row>
    <row r="225" spans="1:22" x14ac:dyDescent="0.55000000000000004">
      <c r="A225" s="41" t="s">
        <v>11</v>
      </c>
      <c r="B225" s="41" t="str">
        <f>IF(B221="Fixed Cost Program","...",CONCATENATE("Unit Cost Estimate",IF(C223="Fraction"," (Per 1%)","")))</f>
        <v>Unit Cost Estimate</v>
      </c>
      <c r="C225" s="41" t="str">
        <f>IF(B225&lt;&gt;"...","USD","")</f>
        <v>USD</v>
      </c>
      <c r="D225" s="66">
        <v>129322</v>
      </c>
      <c r="E225" s="41" t="str">
        <f t="shared" ref="E225:E230" si="20">IF(B225&lt;&gt;"...","OR","")</f>
        <v>OR</v>
      </c>
      <c r="F225" s="65" t="str">
        <f>IF(B225&lt;&gt;"...","...","")</f>
        <v>...</v>
      </c>
      <c r="G225" s="65" t="str">
        <f>IF(B225&lt;&gt;"...","...","")</f>
        <v>...</v>
      </c>
      <c r="H225" s="65" t="str">
        <f>IF(B225&lt;&gt;"...","...","")</f>
        <v>...</v>
      </c>
      <c r="I225" s="65" t="str">
        <f>IF(B225&lt;&gt;"...","...","")</f>
        <v>...</v>
      </c>
      <c r="J225" s="65" t="str">
        <f>IF(B225&lt;&gt;"...","...","")</f>
        <v>...</v>
      </c>
      <c r="K225" s="65" t="str">
        <f>IF(B225&lt;&gt;"...","...","")</f>
        <v>...</v>
      </c>
      <c r="L225" s="65" t="str">
        <f>IF(B225&lt;&gt;"...","...","")</f>
        <v>...</v>
      </c>
      <c r="M225" s="65" t="str">
        <f>IF(B225&lt;&gt;"...","...","")</f>
        <v>...</v>
      </c>
      <c r="N225" s="65" t="str">
        <f>IF(B225&lt;&gt;"...","...","")</f>
        <v>...</v>
      </c>
      <c r="O225" s="65" t="str">
        <f>IF(B225&lt;&gt;"...","...","")</f>
        <v>...</v>
      </c>
      <c r="P225" s="65" t="str">
        <f>IF(B225&lt;&gt;"...","...","")</f>
        <v>...</v>
      </c>
      <c r="Q225" s="65" t="str">
        <f>IF(B225&lt;&gt;"...","...","")</f>
        <v>...</v>
      </c>
      <c r="R225" s="65" t="str">
        <f>IF(B225&lt;&gt;"...","...","")</f>
        <v>...</v>
      </c>
      <c r="S225" s="65" t="str">
        <f>IF(B225&lt;&gt;"...","...","")</f>
        <v>...</v>
      </c>
      <c r="T225" s="65" t="str">
        <f>IF(B225&lt;&gt;"...","...","")</f>
        <v>...</v>
      </c>
      <c r="U225" s="65" t="str">
        <f>IF(B225&lt;&gt;"...","...","")</f>
        <v>...</v>
      </c>
      <c r="V225" s="65" t="str">
        <f>IF(B225&lt;&gt;"...","...","")</f>
        <v>...</v>
      </c>
    </row>
    <row r="226" spans="1:22" x14ac:dyDescent="0.55000000000000004">
      <c r="A226" s="41" t="s">
        <v>17</v>
      </c>
      <c r="B226" s="41" t="str">
        <f>IF(B221="MDR/XDR Treatment Program","Efficacy (After Completed Treatment)",IF(B221="XDR Treat Program","Efficacy (After Completed Treatment)",IF(B221="MDR Treat Program","Efficacy (After Completed Treatment)",IF(B221="DS Treat Program","Efficacy (After Completed Treatment)",IF(B221="Latency Treat Program","Efficacy (After Completed Treatment)",IF(B221="Strain Diag Program","Sensitivity (Detection Probability)",IF(B221="DR Targeted Diagnosis Program","Sensitivity (Detection Probability)",IF(B221="DS Targeted Diagnosis Program","Sensitivity (Detection Probability)",IF(B221="Vaccination Program","Vaccination Effectiveness Probability",IF(B221="Fixed Cost Program","...","..."))))))))))</f>
        <v>Efficacy (After Completed Treatment)</v>
      </c>
      <c r="C226" s="41" t="str">
        <f>IF(B226&lt;&gt;"...","Unique","")</f>
        <v>Unique</v>
      </c>
      <c r="D226" s="39" t="str">
        <f>IF(B226&lt;&gt;"...",IF(SUMPRODUCT(--(F226:V226&lt;&gt;""))=0,0,"N.A."),"")</f>
        <v>N.A.</v>
      </c>
      <c r="E226" s="41" t="str">
        <f t="shared" si="20"/>
        <v>OR</v>
      </c>
      <c r="F226" s="40"/>
      <c r="G226" s="40"/>
      <c r="H226" s="40"/>
      <c r="I226" s="40"/>
      <c r="J226" s="40"/>
      <c r="K226" s="40"/>
      <c r="L226" s="40"/>
      <c r="M226" s="40"/>
      <c r="N226" s="40"/>
      <c r="O226" s="40"/>
      <c r="P226" s="40"/>
      <c r="Q226" s="40"/>
      <c r="R226" s="40"/>
      <c r="S226" s="40"/>
      <c r="T226" s="40"/>
      <c r="U226" s="40">
        <v>0.66349999999999998</v>
      </c>
      <c r="V226" s="40"/>
    </row>
    <row r="227" spans="1:22" x14ac:dyDescent="0.55000000000000004">
      <c r="A227" s="41" t="s">
        <v>11</v>
      </c>
      <c r="B227" s="41" t="str">
        <f>IF(B221="MDR/XDR Treatment Program","Adherence Probability (Yearly)",IF(B221="XDR Treat Program","Adherence Probability (Yearly)",IF(B221="MDR Treat Program","Adherence Probability (Yearly)",IF(B221="DS Treat Program","Adherence Probability (Yearly)",IF(B221="Latency Treat Program","Adherence Probability (Yearly)",IF(B221="Strain Diag Program","Latents Identified (Per Active Case)",IF(B221="DR Targeted Diagnosis Program","Latents Identified (Per DR-TB Case)",IF(B221="DS Targeted Diagnosis Program","Latents Identified (Per DS-TB Case)",IF(B221="Vaccination Program","...",IF(B221="Fixed Cost Program","...","..."))))))))))</f>
        <v>Adherence Probability (Yearly)</v>
      </c>
      <c r="C227" s="41" t="str">
        <f>IF(B227&lt;&gt;"...","Unique","")</f>
        <v>Unique</v>
      </c>
      <c r="D227" s="39" t="str">
        <f>IF(B227&lt;&gt;"...",IF(SUMPRODUCT(--(F227:V227&lt;&gt;""))=0,0,"N.A."),"")</f>
        <v>N.A.</v>
      </c>
      <c r="E227" s="41" t="str">
        <f t="shared" si="20"/>
        <v>OR</v>
      </c>
      <c r="F227" s="40"/>
      <c r="G227" s="40"/>
      <c r="H227" s="40"/>
      <c r="I227" s="40"/>
      <c r="J227" s="40"/>
      <c r="K227" s="40"/>
      <c r="L227" s="40"/>
      <c r="M227" s="40"/>
      <c r="N227" s="40"/>
      <c r="O227" s="40"/>
      <c r="P227" s="40"/>
      <c r="Q227" s="40"/>
      <c r="R227" s="40"/>
      <c r="S227" s="40"/>
      <c r="T227" s="40"/>
      <c r="U227" s="40">
        <f>1-(0.01+0.099)</f>
        <v>0.89100000000000001</v>
      </c>
      <c r="V227" s="40"/>
    </row>
    <row r="228" spans="1:22" x14ac:dyDescent="0.55000000000000004">
      <c r="A228" s="41" t="s">
        <v>11</v>
      </c>
      <c r="B228" s="41" t="str">
        <f>IF(B221="MDR/XDR Treatment Program","Treatment Duration (Months)",IF(B221="XDR Treat Program","Treatment Duration (Months)",IF(B221="MDR Treat Program","Treatment Duration (Months)",IF(B221="DS Treat Program","Treatment Duration (Months)",IF(B221="Latency Treat Program","Treatment Duration (Months)",IF(B221="Strain Diag Program","Latent Treatment Efficacy (After Completed Treatment)",IF(B221="DR Targeted Diagnosis Program","Latent Treatment Efficacy (After Completed Treatment)",IF(B221="DS Targeted Diagnosis Program","Latent Treatment Efficacy (After Completed Treatment)",IF(B221="Vaccination Program","...",IF(B221="Fixed Cost Program","...","..."))))))))))</f>
        <v>Treatment Duration (Months)</v>
      </c>
      <c r="C228" s="41" t="str">
        <f>IF(B228&lt;&gt;"...","Unique","")</f>
        <v>Unique</v>
      </c>
      <c r="D228" s="39" t="str">
        <f>IF(B228&lt;&gt;"...",IF(SUMPRODUCT(--(F228:V228&lt;&gt;""))=0,0,"N.A."),"")</f>
        <v>N.A.</v>
      </c>
      <c r="E228" s="41" t="str">
        <f t="shared" si="20"/>
        <v>OR</v>
      </c>
      <c r="F228" s="64">
        <v>21</v>
      </c>
      <c r="G228" s="64">
        <v>21</v>
      </c>
      <c r="H228" s="64">
        <v>21</v>
      </c>
      <c r="I228" s="64">
        <v>21</v>
      </c>
      <c r="J228" s="64">
        <v>21</v>
      </c>
      <c r="K228" s="64">
        <v>21</v>
      </c>
      <c r="L228" s="64">
        <v>21</v>
      </c>
      <c r="M228" s="64">
        <v>21</v>
      </c>
      <c r="N228" s="64">
        <v>21</v>
      </c>
      <c r="O228" s="64">
        <v>21</v>
      </c>
      <c r="P228" s="64">
        <v>21</v>
      </c>
      <c r="Q228" s="64">
        <v>21</v>
      </c>
      <c r="R228" s="64">
        <v>21</v>
      </c>
      <c r="S228" s="64">
        <v>21</v>
      </c>
      <c r="T228" s="64">
        <v>21</v>
      </c>
      <c r="U228" s="64">
        <v>21</v>
      </c>
      <c r="V228" s="64">
        <v>21</v>
      </c>
    </row>
    <row r="229" spans="1:22" x14ac:dyDescent="0.55000000000000004">
      <c r="A229" s="41" t="s">
        <v>11</v>
      </c>
      <c r="B229" s="41" t="str">
        <f>IF(B221="MDR/XDR Treatment Program","...",IF(B221="XDR Treat Program","...",IF(B221="MDR Treat Program","...",IF(B221="DS Treat Program","...",IF(B221="Latency Treat Program","...",IF(B221="Strain Diag Program","Latent Treatment Adherence Probability (Yearly)",IF(B221="DR Targeted Diagnosis Program","Latent Treatment Adherence Probability (Yearly)",IF(B221="DS Targeted Diagnosis Program","Latent Treatment Adherence Probability (Yearly)",IF(B221="Vaccination Program","...",IF(B221="Fixed Cost Program","...","..."))))))))))</f>
        <v>...</v>
      </c>
      <c r="C229" s="41" t="str">
        <f>IF(B229&lt;&gt;"...","Unique","")</f>
        <v/>
      </c>
      <c r="D229" s="39" t="str">
        <f>IF(B229&lt;&gt;"...",IF(SUMPRODUCT(--(F229:V229&lt;&gt;""))=0,0,"N.A."),"")</f>
        <v/>
      </c>
      <c r="E229" s="41" t="str">
        <f t="shared" si="20"/>
        <v/>
      </c>
      <c r="F229" s="40"/>
      <c r="G229" s="40"/>
      <c r="H229" s="40"/>
      <c r="I229" s="40"/>
      <c r="J229" s="40"/>
      <c r="K229" s="40"/>
      <c r="L229" s="40"/>
      <c r="M229" s="40"/>
      <c r="N229" s="40"/>
      <c r="O229" s="40"/>
      <c r="P229" s="40"/>
      <c r="Q229" s="40"/>
      <c r="R229" s="40"/>
      <c r="S229" s="40"/>
      <c r="T229" s="40"/>
      <c r="U229" s="40"/>
      <c r="V229" s="40"/>
    </row>
    <row r="230" spans="1:22" x14ac:dyDescent="0.55000000000000004">
      <c r="A230" s="41" t="s">
        <v>11</v>
      </c>
      <c r="B230" s="41" t="str">
        <f>IF(B221="MDR/XDR Treatment Program","...",IF(B221="XDR Treat Program","...",IF(B221="MDR Treat Program","...",IF(B221="DS Treat Program","...",IF(B221="Latency Treat Program","...",IF(B221="Strain Diag Program","Latent Treatment Duration (Months)",IF(B221="DR Targeted Diagnosis Program","Latent Treatment Duration (Months)",IF(B221="DS Targeted Diagnosis Program","Latent Treatment Duration (Months)",IF(B221="Vaccination Program","...",IF(B221="Fixed Cost Program","...","..."))))))))))</f>
        <v>...</v>
      </c>
      <c r="C230" s="41" t="str">
        <f>IF(B230&lt;&gt;"...","Unique","")</f>
        <v/>
      </c>
      <c r="D230" s="39" t="str">
        <f>IF(B230&lt;&gt;"...",IF(SUMPRODUCT(--(F230:V230&lt;&gt;""))=0,0,"N.A."),"")</f>
        <v/>
      </c>
      <c r="E230" s="41" t="str">
        <f t="shared" si="20"/>
        <v/>
      </c>
      <c r="F230" s="40"/>
      <c r="G230" s="40"/>
      <c r="H230" s="40"/>
      <c r="I230" s="40"/>
      <c r="J230" s="40"/>
      <c r="K230" s="40"/>
      <c r="L230" s="40"/>
      <c r="M230" s="40"/>
      <c r="N230" s="40"/>
      <c r="O230" s="40"/>
      <c r="P230" s="40"/>
      <c r="Q230" s="40"/>
      <c r="R230" s="40"/>
      <c r="S230" s="40"/>
      <c r="T230" s="40"/>
      <c r="U230" s="40"/>
      <c r="V230" s="40"/>
    </row>
    <row r="231" spans="1:22" x14ac:dyDescent="0.55000000000000004">
      <c r="A231" s="41"/>
    </row>
    <row r="232" spans="1:22" x14ac:dyDescent="0.55000000000000004">
      <c r="A232" s="41" t="str">
        <f>'Program Definitions'!$A$23</f>
        <v>Prisoners DS TB</v>
      </c>
      <c r="B232" s="41" t="s">
        <v>209</v>
      </c>
      <c r="C232" s="41"/>
      <c r="D232" s="41"/>
      <c r="E232" s="41"/>
      <c r="F232" s="41"/>
      <c r="G232" s="41"/>
      <c r="H232" s="41"/>
      <c r="I232" s="41"/>
      <c r="J232" s="41"/>
      <c r="K232" s="41"/>
      <c r="L232" s="41"/>
      <c r="M232" s="41"/>
      <c r="N232" s="41"/>
      <c r="O232" s="41"/>
      <c r="P232" s="41"/>
      <c r="Q232" s="41"/>
      <c r="R232" s="41"/>
      <c r="S232" s="41"/>
      <c r="T232" s="41"/>
      <c r="U232" s="41"/>
      <c r="V232" s="41"/>
    </row>
    <row r="233" spans="1:22" x14ac:dyDescent="0.55000000000000004">
      <c r="A233" s="41" t="s">
        <v>11</v>
      </c>
      <c r="B233" s="41"/>
      <c r="C233" s="41" t="s">
        <v>8</v>
      </c>
      <c r="D233" s="41" t="s">
        <v>9</v>
      </c>
      <c r="E233" s="41"/>
      <c r="F233" s="41">
        <v>2000</v>
      </c>
      <c r="G233" s="41">
        <v>2001</v>
      </c>
      <c r="H233" s="41">
        <v>2002</v>
      </c>
      <c r="I233" s="41">
        <v>2003</v>
      </c>
      <c r="J233" s="41">
        <v>2004</v>
      </c>
      <c r="K233" s="41">
        <v>2005</v>
      </c>
      <c r="L233" s="41">
        <v>2006</v>
      </c>
      <c r="M233" s="41">
        <v>2007</v>
      </c>
      <c r="N233" s="41">
        <v>2008</v>
      </c>
      <c r="O233" s="41">
        <v>2009</v>
      </c>
      <c r="P233" s="41">
        <v>2010</v>
      </c>
      <c r="Q233" s="41">
        <v>2011</v>
      </c>
      <c r="R233" s="41">
        <v>2012</v>
      </c>
      <c r="S233" s="41">
        <v>2013</v>
      </c>
      <c r="T233" s="41">
        <v>2014</v>
      </c>
      <c r="U233" s="41">
        <v>2015</v>
      </c>
      <c r="V233" s="41">
        <v>2016</v>
      </c>
    </row>
    <row r="234" spans="1:22" x14ac:dyDescent="0.55000000000000004">
      <c r="A234" s="41" t="s">
        <v>12</v>
      </c>
      <c r="B234" s="41" t="str">
        <f>IF(B232="Fixed Cost Program","...","Program Coverage")</f>
        <v>Program Coverage</v>
      </c>
      <c r="C234" s="41" t="str">
        <f>IF(B234&lt;&gt;"...","Number","")</f>
        <v>Number</v>
      </c>
      <c r="D234" s="39" t="str">
        <f>IF(B234&lt;&gt;"...",IF(SUMPRODUCT(--(F234:V234&lt;&gt;""))=0,0,"N.A."),"")</f>
        <v>N.A.</v>
      </c>
      <c r="E234" s="41" t="str">
        <f>IF(B234&lt;&gt;"...","OR","")</f>
        <v>OR</v>
      </c>
      <c r="F234" s="60"/>
      <c r="G234" s="60"/>
      <c r="H234" s="60"/>
      <c r="I234" s="60"/>
      <c r="J234" s="60"/>
      <c r="K234" s="60"/>
      <c r="L234" s="60"/>
      <c r="M234" s="60"/>
      <c r="N234" s="60"/>
      <c r="O234" s="60"/>
      <c r="P234" s="60"/>
      <c r="Q234" s="60"/>
      <c r="R234" s="60"/>
      <c r="S234" s="60"/>
      <c r="T234" s="60"/>
      <c r="U234" s="60">
        <v>0</v>
      </c>
      <c r="V234" s="44"/>
    </row>
    <row r="235" spans="1:22" x14ac:dyDescent="0.55000000000000004">
      <c r="A235" s="41" t="s">
        <v>11</v>
      </c>
      <c r="B235" s="41" t="s">
        <v>13</v>
      </c>
      <c r="C235" s="41" t="s">
        <v>15</v>
      </c>
      <c r="D235" s="39" t="str">
        <f>IF(SUMPRODUCT(--(F235:V235&lt;&gt;""))=0,0,"N.A.")</f>
        <v>N.A.</v>
      </c>
      <c r="E235" s="41" t="s">
        <v>16</v>
      </c>
      <c r="F235" s="65"/>
      <c r="G235" s="65"/>
      <c r="H235" s="65"/>
      <c r="I235" s="65"/>
      <c r="J235" s="65"/>
      <c r="K235" s="65"/>
      <c r="L235" s="65"/>
      <c r="M235" s="65"/>
      <c r="N235" s="65"/>
      <c r="O235" s="65"/>
      <c r="P235" s="65"/>
      <c r="Q235" s="65"/>
      <c r="R235" s="65"/>
      <c r="S235" s="65"/>
      <c r="T235" s="65"/>
      <c r="U235" s="65">
        <v>0</v>
      </c>
      <c r="V235" s="65"/>
    </row>
    <row r="236" spans="1:22" x14ac:dyDescent="0.55000000000000004">
      <c r="A236" s="41" t="s">
        <v>11</v>
      </c>
      <c r="B236" s="41" t="str">
        <f>IF(B232="Fixed Cost Program","...",CONCATENATE("Unit Cost Estimate",IF(C234="Fraction"," (Per 1%)","")))</f>
        <v>Unit Cost Estimate</v>
      </c>
      <c r="C236" s="41" t="str">
        <f>IF(B236&lt;&gt;"...","USD","")</f>
        <v>USD</v>
      </c>
      <c r="D236" s="66">
        <v>2806.8920419999999</v>
      </c>
      <c r="E236" s="41" t="str">
        <f t="shared" ref="E236:E241" si="21">IF(B236&lt;&gt;"...","OR","")</f>
        <v>OR</v>
      </c>
      <c r="F236" s="65" t="str">
        <f>IF(B236&lt;&gt;"...","...","")</f>
        <v>...</v>
      </c>
      <c r="G236" s="65" t="str">
        <f>IF(B236&lt;&gt;"...","...","")</f>
        <v>...</v>
      </c>
      <c r="H236" s="65" t="str">
        <f>IF(B236&lt;&gt;"...","...","")</f>
        <v>...</v>
      </c>
      <c r="I236" s="65" t="str">
        <f>IF(B236&lt;&gt;"...","...","")</f>
        <v>...</v>
      </c>
      <c r="J236" s="65" t="str">
        <f>IF(B236&lt;&gt;"...","...","")</f>
        <v>...</v>
      </c>
      <c r="K236" s="65" t="str">
        <f>IF(B236&lt;&gt;"...","...","")</f>
        <v>...</v>
      </c>
      <c r="L236" s="65" t="str">
        <f>IF(B236&lt;&gt;"...","...","")</f>
        <v>...</v>
      </c>
      <c r="M236" s="65" t="str">
        <f>IF(B236&lt;&gt;"...","...","")</f>
        <v>...</v>
      </c>
      <c r="N236" s="65" t="str">
        <f>IF(B236&lt;&gt;"...","...","")</f>
        <v>...</v>
      </c>
      <c r="O236" s="65" t="str">
        <f>IF(B236&lt;&gt;"...","...","")</f>
        <v>...</v>
      </c>
      <c r="P236" s="65" t="str">
        <f>IF(B236&lt;&gt;"...","...","")</f>
        <v>...</v>
      </c>
      <c r="Q236" s="65" t="str">
        <f>IF(B236&lt;&gt;"...","...","")</f>
        <v>...</v>
      </c>
      <c r="R236" s="65" t="str">
        <f>IF(B236&lt;&gt;"...","...","")</f>
        <v>...</v>
      </c>
      <c r="S236" s="65" t="str">
        <f>IF(B236&lt;&gt;"...","...","")</f>
        <v>...</v>
      </c>
      <c r="T236" s="65" t="str">
        <f>IF(B236&lt;&gt;"...","...","")</f>
        <v>...</v>
      </c>
      <c r="U236" s="65" t="str">
        <f>IF(B236&lt;&gt;"...","...","")</f>
        <v>...</v>
      </c>
      <c r="V236" s="65" t="str">
        <f>IF(B236&lt;&gt;"...","...","")</f>
        <v>...</v>
      </c>
    </row>
    <row r="237" spans="1:22" x14ac:dyDescent="0.55000000000000004">
      <c r="A237" s="41" t="s">
        <v>17</v>
      </c>
      <c r="B237" s="41" t="str">
        <f>IF(B232="MDR/XDR Treatment Program","Efficacy (After Completed Treatment)",IF(B232="XDR Treat Program","Efficacy (After Completed Treatment)",IF(B232="MDR Treat Program","Efficacy (After Completed Treatment)",IF(B232="DS Treat Program","Efficacy (After Completed Treatment)",IF(B232="Latency Treat Program","Efficacy (After Completed Treatment)",IF(B232="Strain Diag Program","Sensitivity (Detection Probability)",IF(B232="DR Targeted Diagnosis Program","Sensitivity (Detection Probability)",IF(B232="DS Targeted Diagnosis Program","Sensitivity (Detection Probability)",IF(B232="Vaccination Program","Vaccination Effectiveness Probability",IF(B232="Fixed Cost Program","...","..."))))))))))</f>
        <v>Efficacy (After Completed Treatment)</v>
      </c>
      <c r="C237" s="41" t="str">
        <f>IF(B237&lt;&gt;"...","Unique","")</f>
        <v>Unique</v>
      </c>
      <c r="D237" s="39" t="str">
        <f>IF(B237&lt;&gt;"...",IF(SUMPRODUCT(--(F237:V237&lt;&gt;""))=0,0,"N.A."),"")</f>
        <v>N.A.</v>
      </c>
      <c r="E237" s="41" t="str">
        <f t="shared" si="21"/>
        <v>OR</v>
      </c>
      <c r="F237" s="40"/>
      <c r="G237" s="40"/>
      <c r="H237" s="40"/>
      <c r="I237" s="40"/>
      <c r="J237" s="40"/>
      <c r="K237" s="40"/>
      <c r="L237" s="40"/>
      <c r="M237" s="40"/>
      <c r="N237" s="40"/>
      <c r="O237" s="40"/>
      <c r="P237" s="40"/>
      <c r="Q237" s="40"/>
      <c r="R237" s="40"/>
      <c r="S237" s="40"/>
      <c r="T237" s="40"/>
      <c r="U237" s="40">
        <v>0.92900000000000005</v>
      </c>
      <c r="V237" s="40"/>
    </row>
    <row r="238" spans="1:22" x14ac:dyDescent="0.55000000000000004">
      <c r="A238" s="41" t="s">
        <v>11</v>
      </c>
      <c r="B238" s="41" t="str">
        <f>IF(B232="MDR/XDR Treatment Program","Adherence Probability (Yearly)",IF(B232="XDR Treat Program","Adherence Probability (Yearly)",IF(B232="MDR Treat Program","Adherence Probability (Yearly)",IF(B232="DS Treat Program","Adherence Probability (Yearly)",IF(B232="Latency Treat Program","Adherence Probability (Yearly)",IF(B232="Strain Diag Program","Latents Identified (Per Active Case)",IF(B232="DR Targeted Diagnosis Program","Latents Identified (Per DR-TB Case)",IF(B232="DS Targeted Diagnosis Program","Latents Identified (Per DS-TB Case)",IF(B232="Vaccination Program","...",IF(B232="Fixed Cost Program","...","..."))))))))))</f>
        <v>Adherence Probability (Yearly)</v>
      </c>
      <c r="C238" s="41" t="str">
        <f>IF(B238&lt;&gt;"...","Unique","")</f>
        <v>Unique</v>
      </c>
      <c r="D238" s="39" t="str">
        <f>IF(B238&lt;&gt;"...",IF(SUMPRODUCT(--(F238:V238&lt;&gt;""))=0,0,"N.A."),"")</f>
        <v>N.A.</v>
      </c>
      <c r="E238" s="41" t="str">
        <f t="shared" si="21"/>
        <v>OR</v>
      </c>
      <c r="F238" s="40"/>
      <c r="G238" s="40"/>
      <c r="H238" s="40"/>
      <c r="I238" s="40"/>
      <c r="J238" s="40"/>
      <c r="K238" s="40"/>
      <c r="L238" s="40"/>
      <c r="M238" s="40"/>
      <c r="N238" s="40"/>
      <c r="O238" s="40"/>
      <c r="P238" s="40"/>
      <c r="Q238" s="40"/>
      <c r="R238" s="40"/>
      <c r="S238" s="40"/>
      <c r="T238" s="40"/>
      <c r="U238" s="40">
        <f>1-0.04</f>
        <v>0.96</v>
      </c>
      <c r="V238" s="40"/>
    </row>
    <row r="239" spans="1:22" x14ac:dyDescent="0.55000000000000004">
      <c r="A239" s="41" t="s">
        <v>11</v>
      </c>
      <c r="B239" s="41" t="str">
        <f>IF(B232="MDR/XDR Treatment Program","Treatment Duration (Months)",IF(B232="XDR Treat Program","Treatment Duration (Months)",IF(B232="MDR Treat Program","Treatment Duration (Months)",IF(B232="DS Treat Program","Treatment Duration (Months)",IF(B232="Latency Treat Program","Treatment Duration (Months)",IF(B232="Strain Diag Program","Latent Treatment Efficacy (After Completed Treatment)",IF(B232="DR Targeted Diagnosis Program","Latent Treatment Efficacy (After Completed Treatment)",IF(B232="DS Targeted Diagnosis Program","Latent Treatment Efficacy (After Completed Treatment)",IF(B232="Vaccination Program","...",IF(B232="Fixed Cost Program","...","..."))))))))))</f>
        <v>Treatment Duration (Months)</v>
      </c>
      <c r="C239" s="41" t="str">
        <f>IF(B239&lt;&gt;"...","Unique","")</f>
        <v>Unique</v>
      </c>
      <c r="D239" s="39" t="str">
        <f>IF(B239&lt;&gt;"...",IF(SUMPRODUCT(--(F239:V239&lt;&gt;""))=0,0,"N.A."),"")</f>
        <v>N.A.</v>
      </c>
      <c r="E239" s="41" t="str">
        <f t="shared" si="21"/>
        <v>OR</v>
      </c>
      <c r="F239" s="64">
        <v>6</v>
      </c>
      <c r="G239" s="64">
        <v>6</v>
      </c>
      <c r="H239" s="64">
        <v>6</v>
      </c>
      <c r="I239" s="64">
        <v>6</v>
      </c>
      <c r="J239" s="64">
        <v>6</v>
      </c>
      <c r="K239" s="64">
        <v>6</v>
      </c>
      <c r="L239" s="64">
        <v>6</v>
      </c>
      <c r="M239" s="64">
        <v>6</v>
      </c>
      <c r="N239" s="64">
        <v>6</v>
      </c>
      <c r="O239" s="64">
        <v>6</v>
      </c>
      <c r="P239" s="64">
        <v>6</v>
      </c>
      <c r="Q239" s="64">
        <v>6</v>
      </c>
      <c r="R239" s="64">
        <v>6</v>
      </c>
      <c r="S239" s="64">
        <v>6</v>
      </c>
      <c r="T239" s="64">
        <v>6</v>
      </c>
      <c r="U239" s="64">
        <v>6</v>
      </c>
      <c r="V239" s="64">
        <v>6</v>
      </c>
    </row>
    <row r="240" spans="1:22" x14ac:dyDescent="0.55000000000000004">
      <c r="A240" s="41" t="s">
        <v>11</v>
      </c>
      <c r="B240" s="41" t="str">
        <f>IF(B232="MDR/XDR Treatment Program","...",IF(B232="XDR Treat Program","...",IF(B232="MDR Treat Program","...",IF(B232="DS Treat Program","...",IF(B232="Latency Treat Program","...",IF(B232="Strain Diag Program","Latent Treatment Adherence Probability (Yearly)",IF(B232="DR Targeted Diagnosis Program","Latent Treatment Adherence Probability (Yearly)",IF(B232="DS Targeted Diagnosis Program","Latent Treatment Adherence Probability (Yearly)",IF(B232="Vaccination Program","...",IF(B232="Fixed Cost Program","...","..."))))))))))</f>
        <v>...</v>
      </c>
      <c r="C240" s="41" t="str">
        <f>IF(B240&lt;&gt;"...","Unique","")</f>
        <v/>
      </c>
      <c r="D240" s="39" t="str">
        <f>IF(B240&lt;&gt;"...",IF(SUMPRODUCT(--(F240:V240&lt;&gt;""))=0,0,"N.A."),"")</f>
        <v/>
      </c>
      <c r="E240" s="41" t="str">
        <f t="shared" si="21"/>
        <v/>
      </c>
      <c r="F240" s="40"/>
      <c r="G240" s="40"/>
      <c r="H240" s="40"/>
      <c r="I240" s="40"/>
      <c r="J240" s="40"/>
      <c r="K240" s="40"/>
      <c r="L240" s="40"/>
      <c r="M240" s="40"/>
      <c r="N240" s="40"/>
      <c r="O240" s="40"/>
      <c r="P240" s="40"/>
      <c r="Q240" s="40"/>
      <c r="R240" s="40"/>
      <c r="S240" s="40"/>
      <c r="T240" s="40"/>
      <c r="U240" s="40"/>
      <c r="V240" s="40"/>
    </row>
    <row r="241" spans="1:22" x14ac:dyDescent="0.55000000000000004">
      <c r="A241" s="41" t="s">
        <v>11</v>
      </c>
      <c r="B241" s="41" t="str">
        <f>IF(B232="MDR/XDR Treatment Program","...",IF(B232="XDR Treat Program","...",IF(B232="MDR Treat Program","...",IF(B232="DS Treat Program","...",IF(B232="Latency Treat Program","...",IF(B232="Strain Diag Program","Latent Treatment Duration (Months)",IF(B232="DR Targeted Diagnosis Program","Latent Treatment Duration (Months)",IF(B232="DS Targeted Diagnosis Program","Latent Treatment Duration (Months)",IF(B232="Vaccination Program","...",IF(B232="Fixed Cost Program","...","..."))))))))))</f>
        <v>...</v>
      </c>
      <c r="C241" s="41" t="str">
        <f>IF(B241&lt;&gt;"...","Unique","")</f>
        <v/>
      </c>
      <c r="D241" s="39" t="str">
        <f>IF(B241&lt;&gt;"...",IF(SUMPRODUCT(--(F241:V241&lt;&gt;""))=0,0,"N.A."),"")</f>
        <v/>
      </c>
      <c r="E241" s="41" t="str">
        <f t="shared" si="21"/>
        <v/>
      </c>
      <c r="F241" s="40"/>
      <c r="G241" s="40"/>
      <c r="H241" s="40"/>
      <c r="I241" s="40"/>
      <c r="J241" s="40"/>
      <c r="K241" s="40"/>
      <c r="L241" s="40"/>
      <c r="M241" s="40"/>
      <c r="N241" s="40"/>
      <c r="O241" s="40"/>
      <c r="P241" s="40"/>
      <c r="Q241" s="40"/>
      <c r="R241" s="40"/>
      <c r="S241" s="40"/>
      <c r="T241" s="40"/>
      <c r="U241" s="40"/>
      <c r="V241" s="40"/>
    </row>
    <row r="242" spans="1:22" x14ac:dyDescent="0.55000000000000004">
      <c r="A242" s="41"/>
    </row>
    <row r="243" spans="1:22" x14ac:dyDescent="0.55000000000000004">
      <c r="A243" s="41" t="str">
        <f>'Program Definitions'!$A$24</f>
        <v>Prisoners MDR TB</v>
      </c>
      <c r="B243" s="41" t="s">
        <v>210</v>
      </c>
      <c r="C243" s="41"/>
      <c r="D243" s="41"/>
      <c r="E243" s="41"/>
      <c r="F243" s="41"/>
      <c r="G243" s="41"/>
      <c r="H243" s="41"/>
      <c r="I243" s="41"/>
      <c r="J243" s="41"/>
      <c r="K243" s="41"/>
      <c r="L243" s="41"/>
      <c r="M243" s="41"/>
      <c r="N243" s="41"/>
      <c r="O243" s="41"/>
      <c r="P243" s="41"/>
      <c r="Q243" s="41"/>
      <c r="R243" s="41"/>
      <c r="S243" s="41"/>
      <c r="T243" s="41"/>
      <c r="U243" s="41"/>
      <c r="V243" s="41"/>
    </row>
    <row r="244" spans="1:22" x14ac:dyDescent="0.55000000000000004">
      <c r="A244" s="41" t="s">
        <v>11</v>
      </c>
      <c r="B244" s="41"/>
      <c r="C244" s="41" t="s">
        <v>8</v>
      </c>
      <c r="D244" s="41" t="s">
        <v>9</v>
      </c>
      <c r="E244" s="41"/>
      <c r="F244" s="41">
        <v>2000</v>
      </c>
      <c r="G244" s="41">
        <v>2001</v>
      </c>
      <c r="H244" s="41">
        <v>2002</v>
      </c>
      <c r="I244" s="41">
        <v>2003</v>
      </c>
      <c r="J244" s="41">
        <v>2004</v>
      </c>
      <c r="K244" s="41">
        <v>2005</v>
      </c>
      <c r="L244" s="41">
        <v>2006</v>
      </c>
      <c r="M244" s="41">
        <v>2007</v>
      </c>
      <c r="N244" s="41">
        <v>2008</v>
      </c>
      <c r="O244" s="41">
        <v>2009</v>
      </c>
      <c r="P244" s="41">
        <v>2010</v>
      </c>
      <c r="Q244" s="41">
        <v>2011</v>
      </c>
      <c r="R244" s="41">
        <v>2012</v>
      </c>
      <c r="S244" s="41">
        <v>2013</v>
      </c>
      <c r="T244" s="41">
        <v>2014</v>
      </c>
      <c r="U244" s="41">
        <v>2015</v>
      </c>
      <c r="V244" s="41">
        <v>2016</v>
      </c>
    </row>
    <row r="245" spans="1:22" x14ac:dyDescent="0.55000000000000004">
      <c r="A245" s="41" t="s">
        <v>12</v>
      </c>
      <c r="B245" s="41" t="str">
        <f>IF(B243="Fixed Cost Program","...","Program Coverage")</f>
        <v>Program Coverage</v>
      </c>
      <c r="C245" s="41" t="str">
        <f>IF(B245&lt;&gt;"...","Number","")</f>
        <v>Number</v>
      </c>
      <c r="D245" s="39" t="str">
        <f>IF(B245&lt;&gt;"...",IF(SUMPRODUCT(--(F245:V245&lt;&gt;""))=0,0,"N.A."),"")</f>
        <v>N.A.</v>
      </c>
      <c r="E245" s="41" t="str">
        <f>IF(B245&lt;&gt;"...","OR","")</f>
        <v>OR</v>
      </c>
      <c r="F245" s="60"/>
      <c r="G245" s="60"/>
      <c r="H245" s="60"/>
      <c r="I245" s="60"/>
      <c r="J245" s="60"/>
      <c r="K245" s="60"/>
      <c r="L245" s="60"/>
      <c r="M245" s="60"/>
      <c r="N245" s="60"/>
      <c r="O245" s="60"/>
      <c r="P245" s="60"/>
      <c r="Q245" s="60"/>
      <c r="R245" s="60"/>
      <c r="S245" s="60"/>
      <c r="T245" s="60"/>
      <c r="U245" s="60">
        <v>0</v>
      </c>
      <c r="V245" s="44"/>
    </row>
    <row r="246" spans="1:22" x14ac:dyDescent="0.55000000000000004">
      <c r="A246" s="41" t="s">
        <v>11</v>
      </c>
      <c r="B246" s="41" t="s">
        <v>13</v>
      </c>
      <c r="C246" s="41" t="s">
        <v>15</v>
      </c>
      <c r="D246" s="39" t="str">
        <f>IF(SUMPRODUCT(--(F246:V246&lt;&gt;""))=0,0,"N.A.")</f>
        <v>N.A.</v>
      </c>
      <c r="E246" s="41" t="s">
        <v>16</v>
      </c>
      <c r="F246" s="65"/>
      <c r="G246" s="65"/>
      <c r="H246" s="65"/>
      <c r="I246" s="65"/>
      <c r="J246" s="65"/>
      <c r="K246" s="65"/>
      <c r="L246" s="65"/>
      <c r="M246" s="65"/>
      <c r="N246" s="65"/>
      <c r="O246" s="65"/>
      <c r="P246" s="65"/>
      <c r="Q246" s="65"/>
      <c r="R246" s="65"/>
      <c r="S246" s="65"/>
      <c r="T246" s="65"/>
      <c r="U246" s="65">
        <v>0</v>
      </c>
      <c r="V246" s="65"/>
    </row>
    <row r="247" spans="1:22" x14ac:dyDescent="0.55000000000000004">
      <c r="A247" s="41" t="s">
        <v>11</v>
      </c>
      <c r="B247" s="41" t="str">
        <f>IF(B243="Fixed Cost Program","...",CONCATENATE("Unit Cost Estimate",IF(C245="Fraction"," (Per 1%)","")))</f>
        <v>Unit Cost Estimate</v>
      </c>
      <c r="C247" s="41" t="str">
        <f>IF(B247&lt;&gt;"...","USD","")</f>
        <v>USD</v>
      </c>
      <c r="D247" s="66">
        <v>40078.903184151459</v>
      </c>
      <c r="E247" s="41" t="str">
        <f t="shared" ref="E247:E252" si="22">IF(B247&lt;&gt;"...","OR","")</f>
        <v>OR</v>
      </c>
      <c r="F247" s="65" t="str">
        <f>IF(B247&lt;&gt;"...","...","")</f>
        <v>...</v>
      </c>
      <c r="G247" s="65" t="str">
        <f>IF(B247&lt;&gt;"...","...","")</f>
        <v>...</v>
      </c>
      <c r="H247" s="65" t="str">
        <f>IF(B247&lt;&gt;"...","...","")</f>
        <v>...</v>
      </c>
      <c r="I247" s="65" t="str">
        <f>IF(B247&lt;&gt;"...","...","")</f>
        <v>...</v>
      </c>
      <c r="J247" s="65" t="str">
        <f>IF(B247&lt;&gt;"...","...","")</f>
        <v>...</v>
      </c>
      <c r="K247" s="65" t="str">
        <f>IF(B247&lt;&gt;"...","...","")</f>
        <v>...</v>
      </c>
      <c r="L247" s="65" t="str">
        <f>IF(B247&lt;&gt;"...","...","")</f>
        <v>...</v>
      </c>
      <c r="M247" s="65" t="str">
        <f>IF(B247&lt;&gt;"...","...","")</f>
        <v>...</v>
      </c>
      <c r="N247" s="65" t="str">
        <f>IF(B247&lt;&gt;"...","...","")</f>
        <v>...</v>
      </c>
      <c r="O247" s="65" t="str">
        <f>IF(B247&lt;&gt;"...","...","")</f>
        <v>...</v>
      </c>
      <c r="P247" s="65" t="str">
        <f>IF(B247&lt;&gt;"...","...","")</f>
        <v>...</v>
      </c>
      <c r="Q247" s="65" t="str">
        <f>IF(B247&lt;&gt;"...","...","")</f>
        <v>...</v>
      </c>
      <c r="R247" s="65" t="str">
        <f>IF(B247&lt;&gt;"...","...","")</f>
        <v>...</v>
      </c>
      <c r="S247" s="65" t="str">
        <f>IF(B247&lt;&gt;"...","...","")</f>
        <v>...</v>
      </c>
      <c r="T247" s="65" t="str">
        <f>IF(B247&lt;&gt;"...","...","")</f>
        <v>...</v>
      </c>
      <c r="U247" s="65" t="str">
        <f>IF(B247&lt;&gt;"...","...","")</f>
        <v>...</v>
      </c>
      <c r="V247" s="65" t="str">
        <f>IF(B247&lt;&gt;"...","...","")</f>
        <v>...</v>
      </c>
    </row>
    <row r="248" spans="1:22" x14ac:dyDescent="0.55000000000000004">
      <c r="A248" s="41" t="s">
        <v>17</v>
      </c>
      <c r="B248" s="41" t="str">
        <f>IF(B243="MDR/XDR Treatment Program","Efficacy (After Completed Treatment)",IF(B243="XDR Treat Program","Efficacy (After Completed Treatment)",IF(B243="MDR Treat Program","Efficacy (After Completed Treatment)",IF(B243="DS Treat Program","Efficacy (After Completed Treatment)",IF(B243="Latency Treat Program","Efficacy (After Completed Treatment)",IF(B243="Strain Diag Program","Sensitivity (Detection Probability)",IF(B243="DR Targeted Diagnosis Program","Sensitivity (Detection Probability)",IF(B243="DS Targeted Diagnosis Program","Sensitivity (Detection Probability)",IF(B243="Vaccination Program","Vaccination Effectiveness Probability",IF(B243="Fixed Cost Program","...","..."))))))))))</f>
        <v>Efficacy (After Completed Treatment)</v>
      </c>
      <c r="C248" s="41" t="str">
        <f>IF(B248&lt;&gt;"...","Unique","")</f>
        <v>Unique</v>
      </c>
      <c r="D248" s="39" t="str">
        <f>IF(B248&lt;&gt;"...",IF(SUMPRODUCT(--(F248:V248&lt;&gt;""))=0,0,"N.A."),"")</f>
        <v>N.A.</v>
      </c>
      <c r="E248" s="41" t="str">
        <f t="shared" si="22"/>
        <v>OR</v>
      </c>
      <c r="F248" s="40"/>
      <c r="G248" s="40"/>
      <c r="H248" s="40"/>
      <c r="I248" s="40"/>
      <c r="J248" s="40"/>
      <c r="K248" s="40"/>
      <c r="L248" s="40"/>
      <c r="M248" s="40"/>
      <c r="N248" s="40"/>
      <c r="O248" s="40"/>
      <c r="P248" s="40"/>
      <c r="Q248" s="40"/>
      <c r="R248" s="40"/>
      <c r="S248" s="40"/>
      <c r="T248" s="40"/>
      <c r="U248" s="40">
        <v>0</v>
      </c>
      <c r="V248" s="40"/>
    </row>
    <row r="249" spans="1:22" x14ac:dyDescent="0.55000000000000004">
      <c r="A249" s="41" t="s">
        <v>11</v>
      </c>
      <c r="B249" s="41" t="str">
        <f>IF(B243="MDR/XDR Treatment Program","Adherence Probability (Yearly)",IF(B243="XDR Treat Program","Adherence Probability (Yearly)",IF(B243="MDR Treat Program","Adherence Probability (Yearly)",IF(B243="DS Treat Program","Adherence Probability (Yearly)",IF(B243="Latency Treat Program","Adherence Probability (Yearly)",IF(B243="Strain Diag Program","Latents Identified (Per Active Case)",IF(B243="DR Targeted Diagnosis Program","Latents Identified (Per DR-TB Case)",IF(B243="DS Targeted Diagnosis Program","Latents Identified (Per DS-TB Case)",IF(B243="Vaccination Program","...",IF(B243="Fixed Cost Program","...","..."))))))))))</f>
        <v>Adherence Probability (Yearly)</v>
      </c>
      <c r="C249" s="41" t="str">
        <f>IF(B249&lt;&gt;"...","Unique","")</f>
        <v>Unique</v>
      </c>
      <c r="D249" s="39" t="str">
        <f>IF(B249&lt;&gt;"...",IF(SUMPRODUCT(--(F249:V249&lt;&gt;""))=0,0,"N.A."),"")</f>
        <v>N.A.</v>
      </c>
      <c r="E249" s="41" t="str">
        <f t="shared" si="22"/>
        <v>OR</v>
      </c>
      <c r="F249" s="40"/>
      <c r="G249" s="40"/>
      <c r="H249" s="40"/>
      <c r="I249" s="40"/>
      <c r="J249" s="40"/>
      <c r="K249" s="40"/>
      <c r="L249" s="40"/>
      <c r="M249" s="40"/>
      <c r="N249" s="40"/>
      <c r="O249" s="40"/>
      <c r="P249" s="40"/>
      <c r="Q249" s="40"/>
      <c r="R249" s="40"/>
      <c r="S249" s="40"/>
      <c r="T249" s="40"/>
      <c r="U249" s="40">
        <v>0</v>
      </c>
      <c r="V249" s="40"/>
    </row>
    <row r="250" spans="1:22" x14ac:dyDescent="0.55000000000000004">
      <c r="A250" s="41" t="s">
        <v>11</v>
      </c>
      <c r="B250" s="41" t="str">
        <f>IF(B243="MDR/XDR Treatment Program","Treatment Duration (Months)",IF(B243="XDR Treat Program","Treatment Duration (Months)",IF(B243="MDR Treat Program","Treatment Duration (Months)",IF(B243="DS Treat Program","Treatment Duration (Months)",IF(B243="Latency Treat Program","Treatment Duration (Months)",IF(B243="Strain Diag Program","Latent Treatment Efficacy (After Completed Treatment)",IF(B243="DR Targeted Diagnosis Program","Latent Treatment Efficacy (After Completed Treatment)",IF(B243="DS Targeted Diagnosis Program","Latent Treatment Efficacy (After Completed Treatment)",IF(B243="Vaccination Program","...",IF(B243="Fixed Cost Program","...","..."))))))))))</f>
        <v>Treatment Duration (Months)</v>
      </c>
      <c r="C250" s="41" t="str">
        <f>IF(B250&lt;&gt;"...","Unique","")</f>
        <v>Unique</v>
      </c>
      <c r="D250" s="39" t="str">
        <f>IF(B250&lt;&gt;"...",IF(SUMPRODUCT(--(F250:V250&lt;&gt;""))=0,0,"N.A."),"")</f>
        <v>N.A.</v>
      </c>
      <c r="E250" s="41" t="str">
        <f t="shared" si="22"/>
        <v>OR</v>
      </c>
      <c r="F250" s="64">
        <v>14</v>
      </c>
      <c r="G250" s="64">
        <v>14</v>
      </c>
      <c r="H250" s="64">
        <v>14</v>
      </c>
      <c r="I250" s="64">
        <v>14</v>
      </c>
      <c r="J250" s="64">
        <v>14</v>
      </c>
      <c r="K250" s="64">
        <v>14</v>
      </c>
      <c r="L250" s="64">
        <v>14</v>
      </c>
      <c r="M250" s="64">
        <v>14</v>
      </c>
      <c r="N250" s="64">
        <v>14</v>
      </c>
      <c r="O250" s="64">
        <v>14</v>
      </c>
      <c r="P250" s="64">
        <v>14</v>
      </c>
      <c r="Q250" s="64">
        <v>14</v>
      </c>
      <c r="R250" s="64">
        <v>14</v>
      </c>
      <c r="S250" s="64">
        <v>14</v>
      </c>
      <c r="T250" s="64">
        <v>14</v>
      </c>
      <c r="U250" s="64">
        <v>14</v>
      </c>
      <c r="V250" s="64">
        <v>14</v>
      </c>
    </row>
    <row r="251" spans="1:22" x14ac:dyDescent="0.55000000000000004">
      <c r="A251" s="41" t="s">
        <v>11</v>
      </c>
      <c r="B251" s="41" t="str">
        <f>IF(B243="MDR/XDR Treatment Program","...",IF(B243="XDR Treat Program","...",IF(B243="MDR Treat Program","...",IF(B243="DS Treat Program","...",IF(B243="Latency Treat Program","...",IF(B243="Strain Diag Program","Latent Treatment Adherence Probability (Yearly)",IF(B243="DR Targeted Diagnosis Program","Latent Treatment Adherence Probability (Yearly)",IF(B243="DS Targeted Diagnosis Program","Latent Treatment Adherence Probability (Yearly)",IF(B243="Vaccination Program","...",IF(B243="Fixed Cost Program","...","..."))))))))))</f>
        <v>...</v>
      </c>
      <c r="C251" s="41" t="str">
        <f>IF(B251&lt;&gt;"...","Unique","")</f>
        <v/>
      </c>
      <c r="D251" s="39" t="str">
        <f>IF(B251&lt;&gt;"...",IF(SUMPRODUCT(--(F251:V251&lt;&gt;""))=0,0,"N.A."),"")</f>
        <v/>
      </c>
      <c r="E251" s="41" t="str">
        <f t="shared" si="22"/>
        <v/>
      </c>
      <c r="F251" s="40"/>
      <c r="G251" s="40"/>
      <c r="H251" s="40"/>
      <c r="I251" s="40"/>
      <c r="J251" s="40"/>
      <c r="K251" s="40"/>
      <c r="L251" s="40"/>
      <c r="M251" s="40"/>
      <c r="N251" s="40"/>
      <c r="O251" s="40"/>
      <c r="P251" s="40"/>
      <c r="Q251" s="40"/>
      <c r="R251" s="40"/>
      <c r="S251" s="40"/>
      <c r="T251" s="40"/>
      <c r="U251" s="40"/>
      <c r="V251" s="40"/>
    </row>
    <row r="252" spans="1:22" x14ac:dyDescent="0.55000000000000004">
      <c r="A252" s="41" t="s">
        <v>11</v>
      </c>
      <c r="B252" s="41" t="str">
        <f>IF(B243="MDR/XDR Treatment Program","...",IF(B243="XDR Treat Program","...",IF(B243="MDR Treat Program","...",IF(B243="DS Treat Program","...",IF(B243="Latency Treat Program","...",IF(B243="Strain Diag Program","Latent Treatment Duration (Months)",IF(B243="DR Targeted Diagnosis Program","Latent Treatment Duration (Months)",IF(B243="DS Targeted Diagnosis Program","Latent Treatment Duration (Months)",IF(B243="Vaccination Program","...",IF(B243="Fixed Cost Program","...","..."))))))))))</f>
        <v>...</v>
      </c>
      <c r="C252" s="41" t="str">
        <f>IF(B252&lt;&gt;"...","Unique","")</f>
        <v/>
      </c>
      <c r="D252" s="39" t="str">
        <f>IF(B252&lt;&gt;"...",IF(SUMPRODUCT(--(F252:V252&lt;&gt;""))=0,0,"N.A."),"")</f>
        <v/>
      </c>
      <c r="E252" s="41" t="str">
        <f t="shared" si="22"/>
        <v/>
      </c>
      <c r="F252" s="40"/>
      <c r="G252" s="40"/>
      <c r="H252" s="40"/>
      <c r="I252" s="40"/>
      <c r="J252" s="40"/>
      <c r="K252" s="40"/>
      <c r="L252" s="40"/>
      <c r="M252" s="40"/>
      <c r="N252" s="40"/>
      <c r="O252" s="40"/>
      <c r="P252" s="40"/>
      <c r="Q252" s="40"/>
      <c r="R252" s="40"/>
      <c r="S252" s="40"/>
      <c r="T252" s="40"/>
      <c r="U252" s="40"/>
      <c r="V252" s="40"/>
    </row>
    <row r="253" spans="1:22" x14ac:dyDescent="0.55000000000000004">
      <c r="A253" s="41"/>
    </row>
    <row r="254" spans="1:22" x14ac:dyDescent="0.55000000000000004">
      <c r="A254" s="41" t="str">
        <f>'Program Definitions'!$A$25</f>
        <v>Prisoners XDR TB</v>
      </c>
      <c r="B254" s="41" t="s">
        <v>211</v>
      </c>
      <c r="C254" s="41"/>
      <c r="D254" s="41"/>
      <c r="E254" s="41"/>
      <c r="F254" s="41"/>
      <c r="G254" s="41"/>
      <c r="H254" s="41"/>
      <c r="I254" s="41"/>
      <c r="J254" s="41"/>
      <c r="K254" s="41"/>
      <c r="L254" s="41"/>
      <c r="M254" s="41"/>
      <c r="N254" s="41"/>
      <c r="O254" s="41"/>
      <c r="P254" s="41"/>
      <c r="Q254" s="41"/>
      <c r="R254" s="41"/>
      <c r="S254" s="41"/>
      <c r="T254" s="41"/>
      <c r="U254" s="41"/>
      <c r="V254" s="41"/>
    </row>
    <row r="255" spans="1:22" x14ac:dyDescent="0.55000000000000004">
      <c r="A255" s="41" t="s">
        <v>11</v>
      </c>
      <c r="B255" s="41"/>
      <c r="C255" s="41" t="s">
        <v>8</v>
      </c>
      <c r="D255" s="41" t="s">
        <v>9</v>
      </c>
      <c r="E255" s="41"/>
      <c r="F255" s="41">
        <v>2000</v>
      </c>
      <c r="G255" s="41">
        <v>2001</v>
      </c>
      <c r="H255" s="41">
        <v>2002</v>
      </c>
      <c r="I255" s="41">
        <v>2003</v>
      </c>
      <c r="J255" s="41">
        <v>2004</v>
      </c>
      <c r="K255" s="41">
        <v>2005</v>
      </c>
      <c r="L255" s="41">
        <v>2006</v>
      </c>
      <c r="M255" s="41">
        <v>2007</v>
      </c>
      <c r="N255" s="41">
        <v>2008</v>
      </c>
      <c r="O255" s="41">
        <v>2009</v>
      </c>
      <c r="P255" s="41">
        <v>2010</v>
      </c>
      <c r="Q255" s="41">
        <v>2011</v>
      </c>
      <c r="R255" s="41">
        <v>2012</v>
      </c>
      <c r="S255" s="41">
        <v>2013</v>
      </c>
      <c r="T255" s="41">
        <v>2014</v>
      </c>
      <c r="U255" s="41">
        <v>2015</v>
      </c>
      <c r="V255" s="41">
        <v>2016</v>
      </c>
    </row>
    <row r="256" spans="1:22" x14ac:dyDescent="0.55000000000000004">
      <c r="A256" s="41" t="s">
        <v>12</v>
      </c>
      <c r="B256" s="41" t="str">
        <f>IF(B254="Fixed Cost Program","...","Program Coverage")</f>
        <v>Program Coverage</v>
      </c>
      <c r="C256" s="41" t="str">
        <f>IF(B256&lt;&gt;"...","Number","")</f>
        <v>Number</v>
      </c>
      <c r="D256" s="39" t="str">
        <f>IF(B256&lt;&gt;"...",IF(SUMPRODUCT(--(F256:V256&lt;&gt;""))=0,0,"N.A."),"")</f>
        <v>N.A.</v>
      </c>
      <c r="E256" s="41" t="str">
        <f>IF(B256&lt;&gt;"...","OR","")</f>
        <v>OR</v>
      </c>
      <c r="F256" s="60"/>
      <c r="G256" s="60"/>
      <c r="H256" s="60"/>
      <c r="I256" s="60"/>
      <c r="J256" s="60"/>
      <c r="K256" s="60"/>
      <c r="L256" s="60"/>
      <c r="M256" s="60"/>
      <c r="N256" s="60"/>
      <c r="O256" s="60"/>
      <c r="P256" s="60"/>
      <c r="Q256" s="60"/>
      <c r="R256" s="60"/>
      <c r="S256" s="60"/>
      <c r="T256" s="60"/>
      <c r="U256" s="60">
        <v>0</v>
      </c>
      <c r="V256" s="44"/>
    </row>
    <row r="257" spans="1:22" x14ac:dyDescent="0.55000000000000004">
      <c r="A257" s="41" t="s">
        <v>11</v>
      </c>
      <c r="B257" s="41" t="s">
        <v>13</v>
      </c>
      <c r="C257" s="41" t="s">
        <v>15</v>
      </c>
      <c r="D257" s="39" t="str">
        <f>IF(SUMPRODUCT(--(F257:V257&lt;&gt;""))=0,0,"N.A.")</f>
        <v>N.A.</v>
      </c>
      <c r="E257" s="41" t="s">
        <v>16</v>
      </c>
      <c r="F257" s="65"/>
      <c r="G257" s="65"/>
      <c r="H257" s="65"/>
      <c r="I257" s="65"/>
      <c r="J257" s="65"/>
      <c r="K257" s="65"/>
      <c r="L257" s="65"/>
      <c r="M257" s="65"/>
      <c r="N257" s="65"/>
      <c r="O257" s="65"/>
      <c r="P257" s="65"/>
      <c r="Q257" s="65"/>
      <c r="R257" s="65"/>
      <c r="S257" s="65"/>
      <c r="T257" s="65"/>
      <c r="U257" s="65">
        <v>0</v>
      </c>
      <c r="V257" s="65"/>
    </row>
    <row r="258" spans="1:22" x14ac:dyDescent="0.55000000000000004">
      <c r="A258" s="41" t="s">
        <v>11</v>
      </c>
      <c r="B258" s="41" t="str">
        <f>IF(B254="Fixed Cost Program","...",CONCATENATE("Unit Cost Estimate",IF(C256="Fraction"," (Per 1%)","")))</f>
        <v>Unit Cost Estimate</v>
      </c>
      <c r="C258" s="41" t="str">
        <f>IF(B258&lt;&gt;"...","USD","")</f>
        <v>USD</v>
      </c>
      <c r="D258" s="66">
        <v>129288.52124673559</v>
      </c>
      <c r="E258" s="41" t="str">
        <f t="shared" ref="E258:E263" si="23">IF(B258&lt;&gt;"...","OR","")</f>
        <v>OR</v>
      </c>
      <c r="F258" s="65" t="str">
        <f>IF(B258&lt;&gt;"...","...","")</f>
        <v>...</v>
      </c>
      <c r="G258" s="65" t="str">
        <f>IF(B258&lt;&gt;"...","...","")</f>
        <v>...</v>
      </c>
      <c r="H258" s="65" t="str">
        <f>IF(B258&lt;&gt;"...","...","")</f>
        <v>...</v>
      </c>
      <c r="I258" s="65" t="str">
        <f>IF(B258&lt;&gt;"...","...","")</f>
        <v>...</v>
      </c>
      <c r="J258" s="65" t="str">
        <f>IF(B258&lt;&gt;"...","...","")</f>
        <v>...</v>
      </c>
      <c r="K258" s="65" t="str">
        <f>IF(B258&lt;&gt;"...","...","")</f>
        <v>...</v>
      </c>
      <c r="L258" s="65" t="str">
        <f>IF(B258&lt;&gt;"...","...","")</f>
        <v>...</v>
      </c>
      <c r="M258" s="65" t="str">
        <f>IF(B258&lt;&gt;"...","...","")</f>
        <v>...</v>
      </c>
      <c r="N258" s="65" t="str">
        <f>IF(B258&lt;&gt;"...","...","")</f>
        <v>...</v>
      </c>
      <c r="O258" s="65" t="str">
        <f>IF(B258&lt;&gt;"...","...","")</f>
        <v>...</v>
      </c>
      <c r="P258" s="65" t="str">
        <f>IF(B258&lt;&gt;"...","...","")</f>
        <v>...</v>
      </c>
      <c r="Q258" s="65" t="str">
        <f>IF(B258&lt;&gt;"...","...","")</f>
        <v>...</v>
      </c>
      <c r="R258" s="65" t="str">
        <f>IF(B258&lt;&gt;"...","...","")</f>
        <v>...</v>
      </c>
      <c r="S258" s="65" t="str">
        <f>IF(B258&lt;&gt;"...","...","")</f>
        <v>...</v>
      </c>
      <c r="T258" s="65" t="str">
        <f>IF(B258&lt;&gt;"...","...","")</f>
        <v>...</v>
      </c>
      <c r="U258" s="65" t="str">
        <f>IF(B258&lt;&gt;"...","...","")</f>
        <v>...</v>
      </c>
      <c r="V258" s="65" t="str">
        <f>IF(B258&lt;&gt;"...","...","")</f>
        <v>...</v>
      </c>
    </row>
    <row r="259" spans="1:22" x14ac:dyDescent="0.55000000000000004">
      <c r="A259" s="41" t="s">
        <v>17</v>
      </c>
      <c r="B259" s="41" t="str">
        <f>IF(B254="MDR/XDR Treatment Program","Efficacy (After Completed Treatment)",IF(B254="XDR Treat Program","Efficacy (After Completed Treatment)",IF(B254="MDR Treat Program","Efficacy (After Completed Treatment)",IF(B254="DS Treat Program","Efficacy (After Completed Treatment)",IF(B254="Latency Treat Program","Efficacy (After Completed Treatment)",IF(B254="Strain Diag Program","Sensitivity (Detection Probability)",IF(B254="DR Targeted Diagnosis Program","Sensitivity (Detection Probability)",IF(B254="DS Targeted Diagnosis Program","Sensitivity (Detection Probability)",IF(B254="Vaccination Program","Vaccination Effectiveness Probability",IF(B254="Fixed Cost Program","...","..."))))))))))</f>
        <v>Efficacy (After Completed Treatment)</v>
      </c>
      <c r="C259" s="41" t="str">
        <f>IF(B259&lt;&gt;"...","Unique","")</f>
        <v>Unique</v>
      </c>
      <c r="D259" s="39" t="str">
        <f>IF(B259&lt;&gt;"...",IF(SUMPRODUCT(--(F259:V259&lt;&gt;""))=0,0,"N.A."),"")</f>
        <v>N.A.</v>
      </c>
      <c r="E259" s="41" t="str">
        <f t="shared" si="23"/>
        <v>OR</v>
      </c>
      <c r="F259" s="40"/>
      <c r="G259" s="40"/>
      <c r="H259" s="40"/>
      <c r="I259" s="40"/>
      <c r="J259" s="40"/>
      <c r="K259" s="40"/>
      <c r="L259" s="40"/>
      <c r="M259" s="40"/>
      <c r="N259" s="40"/>
      <c r="O259" s="40"/>
      <c r="P259" s="40"/>
      <c r="Q259" s="40"/>
      <c r="R259" s="40"/>
      <c r="S259" s="40"/>
      <c r="T259" s="40"/>
      <c r="U259" s="40">
        <v>0</v>
      </c>
      <c r="V259" s="40"/>
    </row>
    <row r="260" spans="1:22" x14ac:dyDescent="0.55000000000000004">
      <c r="A260" s="41" t="s">
        <v>11</v>
      </c>
      <c r="B260" s="41" t="str">
        <f>IF(B254="MDR/XDR Treatment Program","Adherence Probability (Yearly)",IF(B254="XDR Treat Program","Adherence Probability (Yearly)",IF(B254="MDR Treat Program","Adherence Probability (Yearly)",IF(B254="DS Treat Program","Adherence Probability (Yearly)",IF(B254="Latency Treat Program","Adherence Probability (Yearly)",IF(B254="Strain Diag Program","Latents Identified (Per Active Case)",IF(B254="DR Targeted Diagnosis Program","Latents Identified (Per DR-TB Case)",IF(B254="DS Targeted Diagnosis Program","Latents Identified (Per DS-TB Case)",IF(B254="Vaccination Program","...",IF(B254="Fixed Cost Program","...","..."))))))))))</f>
        <v>Adherence Probability (Yearly)</v>
      </c>
      <c r="C260" s="41" t="str">
        <f>IF(B260&lt;&gt;"...","Unique","")</f>
        <v>Unique</v>
      </c>
      <c r="D260" s="39" t="str">
        <f>IF(B260&lt;&gt;"...",IF(SUMPRODUCT(--(F260:V260&lt;&gt;""))=0,0,"N.A."),"")</f>
        <v>N.A.</v>
      </c>
      <c r="E260" s="41" t="str">
        <f t="shared" si="23"/>
        <v>OR</v>
      </c>
      <c r="F260" s="40"/>
      <c r="G260" s="40"/>
      <c r="H260" s="40"/>
      <c r="I260" s="40"/>
      <c r="J260" s="40"/>
      <c r="K260" s="40"/>
      <c r="L260" s="40"/>
      <c r="M260" s="40"/>
      <c r="N260" s="40"/>
      <c r="O260" s="40"/>
      <c r="P260" s="40"/>
      <c r="Q260" s="40"/>
      <c r="R260" s="40"/>
      <c r="S260" s="40"/>
      <c r="T260" s="40"/>
      <c r="U260" s="40">
        <v>0</v>
      </c>
      <c r="V260" s="40"/>
    </row>
    <row r="261" spans="1:22" x14ac:dyDescent="0.55000000000000004">
      <c r="A261" s="41" t="s">
        <v>11</v>
      </c>
      <c r="B261" s="41" t="str">
        <f>IF(B254="MDR/XDR Treatment Program","Treatment Duration (Months)",IF(B254="XDR Treat Program","Treatment Duration (Months)",IF(B254="MDR Treat Program","Treatment Duration (Months)",IF(B254="DS Treat Program","Treatment Duration (Months)",IF(B254="Latency Treat Program","Treatment Duration (Months)",IF(B254="Strain Diag Program","Latent Treatment Efficacy (After Completed Treatment)",IF(B254="DR Targeted Diagnosis Program","Latent Treatment Efficacy (After Completed Treatment)",IF(B254="DS Targeted Diagnosis Program","Latent Treatment Efficacy (After Completed Treatment)",IF(B254="Vaccination Program","...",IF(B254="Fixed Cost Program","...","..."))))))))))</f>
        <v>Treatment Duration (Months)</v>
      </c>
      <c r="C261" s="41" t="str">
        <f>IF(B261&lt;&gt;"...","Unique","")</f>
        <v>Unique</v>
      </c>
      <c r="D261" s="39" t="str">
        <f>IF(B261&lt;&gt;"...",IF(SUMPRODUCT(--(F261:V261&lt;&gt;""))=0,0,"N.A."),"")</f>
        <v>N.A.</v>
      </c>
      <c r="E261" s="41" t="str">
        <f t="shared" si="23"/>
        <v>OR</v>
      </c>
      <c r="F261" s="64">
        <v>21</v>
      </c>
      <c r="G261" s="64">
        <v>21</v>
      </c>
      <c r="H261" s="64">
        <v>21</v>
      </c>
      <c r="I261" s="64">
        <v>21</v>
      </c>
      <c r="J261" s="64">
        <v>21</v>
      </c>
      <c r="K261" s="64">
        <v>21</v>
      </c>
      <c r="L261" s="64">
        <v>21</v>
      </c>
      <c r="M261" s="64">
        <v>21</v>
      </c>
      <c r="N261" s="64">
        <v>21</v>
      </c>
      <c r="O261" s="64">
        <v>21</v>
      </c>
      <c r="P261" s="64">
        <v>21</v>
      </c>
      <c r="Q261" s="64">
        <v>21</v>
      </c>
      <c r="R261" s="64">
        <v>21</v>
      </c>
      <c r="S261" s="64">
        <v>21</v>
      </c>
      <c r="T261" s="64">
        <v>21</v>
      </c>
      <c r="U261" s="64">
        <v>21</v>
      </c>
      <c r="V261" s="64">
        <v>21</v>
      </c>
    </row>
    <row r="262" spans="1:22" x14ac:dyDescent="0.55000000000000004">
      <c r="A262" s="41" t="s">
        <v>11</v>
      </c>
      <c r="B262" s="41" t="str">
        <f>IF(B254="MDR/XDR Treatment Program","...",IF(B254="XDR Treat Program","...",IF(B254="MDR Treat Program","...",IF(B254="DS Treat Program","...",IF(B254="Latency Treat Program","...",IF(B254="Strain Diag Program","Latent Treatment Adherence Probability (Yearly)",IF(B254="DR Targeted Diagnosis Program","Latent Treatment Adherence Probability (Yearly)",IF(B254="DS Targeted Diagnosis Program","Latent Treatment Adherence Probability (Yearly)",IF(B254="Vaccination Program","...",IF(B254="Fixed Cost Program","...","..."))))))))))</f>
        <v>...</v>
      </c>
      <c r="C262" s="41" t="str">
        <f>IF(B262&lt;&gt;"...","Unique","")</f>
        <v/>
      </c>
      <c r="D262" s="39" t="str">
        <f>IF(B262&lt;&gt;"...",IF(SUMPRODUCT(--(F262:V262&lt;&gt;""))=0,0,"N.A."),"")</f>
        <v/>
      </c>
      <c r="E262" s="41" t="str">
        <f t="shared" si="23"/>
        <v/>
      </c>
      <c r="F262" s="40"/>
      <c r="G262" s="40"/>
      <c r="H262" s="40"/>
      <c r="I262" s="40"/>
      <c r="J262" s="40"/>
      <c r="K262" s="40"/>
      <c r="L262" s="40"/>
      <c r="M262" s="40"/>
      <c r="N262" s="40"/>
      <c r="O262" s="40"/>
      <c r="P262" s="40"/>
      <c r="Q262" s="40"/>
      <c r="R262" s="40"/>
      <c r="S262" s="40"/>
      <c r="T262" s="40"/>
      <c r="U262" s="40"/>
      <c r="V262" s="40"/>
    </row>
    <row r="263" spans="1:22" x14ac:dyDescent="0.55000000000000004">
      <c r="A263" s="41" t="s">
        <v>11</v>
      </c>
      <c r="B263" s="41" t="str">
        <f>IF(B254="MDR/XDR Treatment Program","...",IF(B254="XDR Treat Program","...",IF(B254="MDR Treat Program","...",IF(B254="DS Treat Program","...",IF(B254="Latency Treat Program","...",IF(B254="Strain Diag Program","Latent Treatment Duration (Months)",IF(B254="DR Targeted Diagnosis Program","Latent Treatment Duration (Months)",IF(B254="DS Targeted Diagnosis Program","Latent Treatment Duration (Months)",IF(B254="Vaccination Program","...",IF(B254="Fixed Cost Program","...","..."))))))))))</f>
        <v>...</v>
      </c>
      <c r="C263" s="41" t="str">
        <f>IF(B263&lt;&gt;"...","Unique","")</f>
        <v/>
      </c>
      <c r="D263" s="39" t="str">
        <f>IF(B263&lt;&gt;"...",IF(SUMPRODUCT(--(F263:V263&lt;&gt;""))=0,0,"N.A."),"")</f>
        <v/>
      </c>
      <c r="E263" s="41" t="str">
        <f t="shared" si="23"/>
        <v/>
      </c>
      <c r="F263" s="40"/>
      <c r="G263" s="40"/>
      <c r="H263" s="40"/>
      <c r="I263" s="40"/>
      <c r="J263" s="40"/>
      <c r="K263" s="40"/>
      <c r="L263" s="40"/>
      <c r="M263" s="40"/>
      <c r="N263" s="40"/>
      <c r="O263" s="40"/>
      <c r="P263" s="40"/>
      <c r="Q263" s="40"/>
      <c r="R263" s="40"/>
      <c r="S263" s="40"/>
      <c r="T263" s="40"/>
      <c r="U263" s="40"/>
      <c r="V263" s="40"/>
    </row>
    <row r="264" spans="1:22" x14ac:dyDescent="0.55000000000000004">
      <c r="A264" s="41"/>
    </row>
    <row r="265" spans="1:22" x14ac:dyDescent="0.55000000000000004">
      <c r="A265" s="41" t="str">
        <f>'Program Definitions'!$A$26</f>
        <v>Miners DS TB</v>
      </c>
      <c r="B265" s="41" t="s">
        <v>209</v>
      </c>
      <c r="C265" s="41"/>
      <c r="D265" s="41"/>
      <c r="E265" s="41"/>
      <c r="F265" s="41"/>
      <c r="G265" s="41"/>
      <c r="H265" s="41"/>
      <c r="I265" s="41"/>
      <c r="J265" s="41"/>
      <c r="K265" s="41"/>
      <c r="L265" s="41"/>
      <c r="M265" s="41"/>
      <c r="N265" s="41"/>
      <c r="O265" s="41"/>
      <c r="P265" s="41"/>
      <c r="Q265" s="41"/>
      <c r="R265" s="41"/>
      <c r="S265" s="41"/>
      <c r="T265" s="41"/>
      <c r="U265" s="41"/>
      <c r="V265" s="41"/>
    </row>
    <row r="266" spans="1:22" x14ac:dyDescent="0.55000000000000004">
      <c r="A266" s="41" t="s">
        <v>11</v>
      </c>
      <c r="B266" s="41"/>
      <c r="C266" s="41" t="s">
        <v>8</v>
      </c>
      <c r="D266" s="41" t="s">
        <v>9</v>
      </c>
      <c r="E266" s="41"/>
      <c r="F266" s="41">
        <v>2000</v>
      </c>
      <c r="G266" s="41">
        <v>2001</v>
      </c>
      <c r="H266" s="41">
        <v>2002</v>
      </c>
      <c r="I266" s="41">
        <v>2003</v>
      </c>
      <c r="J266" s="41">
        <v>2004</v>
      </c>
      <c r="K266" s="41">
        <v>2005</v>
      </c>
      <c r="L266" s="41">
        <v>2006</v>
      </c>
      <c r="M266" s="41">
        <v>2007</v>
      </c>
      <c r="N266" s="41">
        <v>2008</v>
      </c>
      <c r="O266" s="41">
        <v>2009</v>
      </c>
      <c r="P266" s="41">
        <v>2010</v>
      </c>
      <c r="Q266" s="41">
        <v>2011</v>
      </c>
      <c r="R266" s="41">
        <v>2012</v>
      </c>
      <c r="S266" s="41">
        <v>2013</v>
      </c>
      <c r="T266" s="41">
        <v>2014</v>
      </c>
      <c r="U266" s="41">
        <v>2015</v>
      </c>
      <c r="V266" s="41">
        <v>2016</v>
      </c>
    </row>
    <row r="267" spans="1:22" x14ac:dyDescent="0.55000000000000004">
      <c r="A267" s="41" t="s">
        <v>12</v>
      </c>
      <c r="B267" s="41" t="str">
        <f>IF(B265="Fixed Cost Program","...","Program Coverage")</f>
        <v>Program Coverage</v>
      </c>
      <c r="C267" s="41" t="str">
        <f>IF(B267&lt;&gt;"...","Number","")</f>
        <v>Number</v>
      </c>
      <c r="D267" s="39" t="str">
        <f>IF(B267&lt;&gt;"...",IF(SUMPRODUCT(--(F267:V267&lt;&gt;""))=0,0,"N.A."),"")</f>
        <v>N.A.</v>
      </c>
      <c r="E267" s="41" t="str">
        <f>IF(B267&lt;&gt;"...","OR","")</f>
        <v>OR</v>
      </c>
      <c r="F267" s="60"/>
      <c r="G267" s="60"/>
      <c r="H267" s="60"/>
      <c r="I267" s="60"/>
      <c r="J267" s="60"/>
      <c r="K267" s="60"/>
      <c r="L267" s="60"/>
      <c r="M267" s="60"/>
      <c r="N267" s="60"/>
      <c r="O267" s="60"/>
      <c r="P267" s="60"/>
      <c r="Q267" s="60"/>
      <c r="R267" s="60"/>
      <c r="S267" s="60"/>
      <c r="T267" s="60"/>
      <c r="U267" s="60">
        <v>0</v>
      </c>
      <c r="V267" s="44"/>
    </row>
    <row r="268" spans="1:22" x14ac:dyDescent="0.55000000000000004">
      <c r="A268" s="41" t="s">
        <v>11</v>
      </c>
      <c r="B268" s="41" t="s">
        <v>13</v>
      </c>
      <c r="C268" s="41" t="s">
        <v>15</v>
      </c>
      <c r="D268" s="39" t="str">
        <f>IF(SUMPRODUCT(--(F268:V268&lt;&gt;""))=0,0,"N.A.")</f>
        <v>N.A.</v>
      </c>
      <c r="E268" s="41" t="s">
        <v>16</v>
      </c>
      <c r="F268" s="65"/>
      <c r="G268" s="65"/>
      <c r="H268" s="65"/>
      <c r="I268" s="65"/>
      <c r="J268" s="65"/>
      <c r="K268" s="65"/>
      <c r="L268" s="65"/>
      <c r="M268" s="65"/>
      <c r="N268" s="65"/>
      <c r="O268" s="65"/>
      <c r="P268" s="65"/>
      <c r="Q268" s="65"/>
      <c r="R268" s="65"/>
      <c r="S268" s="65"/>
      <c r="T268" s="65"/>
      <c r="U268" s="65">
        <v>0</v>
      </c>
      <c r="V268" s="65"/>
    </row>
    <row r="269" spans="1:22" x14ac:dyDescent="0.55000000000000004">
      <c r="A269" s="41" t="s">
        <v>11</v>
      </c>
      <c r="B269" s="41" t="str">
        <f>IF(B265="Fixed Cost Program","...",CONCATENATE("Unit Cost Estimate",IF(C267="Fraction"," (Per 1%)","")))</f>
        <v>Unit Cost Estimate</v>
      </c>
      <c r="C269" s="41" t="str">
        <f>IF(B269&lt;&gt;"...","USD","")</f>
        <v>USD</v>
      </c>
      <c r="D269" s="66">
        <v>2808.488042</v>
      </c>
      <c r="E269" s="41" t="str">
        <f t="shared" ref="E269:E274" si="24">IF(B269&lt;&gt;"...","OR","")</f>
        <v>OR</v>
      </c>
      <c r="F269" s="65" t="str">
        <f>IF(B269&lt;&gt;"...","...","")</f>
        <v>...</v>
      </c>
      <c r="G269" s="65" t="str">
        <f>IF(B269&lt;&gt;"...","...","")</f>
        <v>...</v>
      </c>
      <c r="H269" s="65" t="str">
        <f>IF(B269&lt;&gt;"...","...","")</f>
        <v>...</v>
      </c>
      <c r="I269" s="65" t="str">
        <f>IF(B269&lt;&gt;"...","...","")</f>
        <v>...</v>
      </c>
      <c r="J269" s="65" t="str">
        <f>IF(B269&lt;&gt;"...","...","")</f>
        <v>...</v>
      </c>
      <c r="K269" s="65" t="str">
        <f>IF(B269&lt;&gt;"...","...","")</f>
        <v>...</v>
      </c>
      <c r="L269" s="65" t="str">
        <f>IF(B269&lt;&gt;"...","...","")</f>
        <v>...</v>
      </c>
      <c r="M269" s="65" t="str">
        <f>IF(B269&lt;&gt;"...","...","")</f>
        <v>...</v>
      </c>
      <c r="N269" s="65" t="str">
        <f>IF(B269&lt;&gt;"...","...","")</f>
        <v>...</v>
      </c>
      <c r="O269" s="65" t="str">
        <f>IF(B269&lt;&gt;"...","...","")</f>
        <v>...</v>
      </c>
      <c r="P269" s="65" t="str">
        <f>IF(B269&lt;&gt;"...","...","")</f>
        <v>...</v>
      </c>
      <c r="Q269" s="65" t="str">
        <f>IF(B269&lt;&gt;"...","...","")</f>
        <v>...</v>
      </c>
      <c r="R269" s="65" t="str">
        <f>IF(B269&lt;&gt;"...","...","")</f>
        <v>...</v>
      </c>
      <c r="S269" s="65" t="str">
        <f>IF(B269&lt;&gt;"...","...","")</f>
        <v>...</v>
      </c>
      <c r="T269" s="65" t="str">
        <f>IF(B269&lt;&gt;"...","...","")</f>
        <v>...</v>
      </c>
      <c r="U269" s="65" t="str">
        <f>IF(B269&lt;&gt;"...","...","")</f>
        <v>...</v>
      </c>
      <c r="V269" s="65" t="str">
        <f>IF(B269&lt;&gt;"...","...","")</f>
        <v>...</v>
      </c>
    </row>
    <row r="270" spans="1:22" x14ac:dyDescent="0.55000000000000004">
      <c r="A270" s="41" t="s">
        <v>17</v>
      </c>
      <c r="B270" s="41" t="str">
        <f>IF(B265="MDR/XDR Treatment Program","Efficacy (After Completed Treatment)",IF(B265="XDR Treat Program","Efficacy (After Completed Treatment)",IF(B265="MDR Treat Program","Efficacy (After Completed Treatment)",IF(B265="DS Treat Program","Efficacy (After Completed Treatment)",IF(B265="Latency Treat Program","Efficacy (After Completed Treatment)",IF(B265="Strain Diag Program","Sensitivity (Detection Probability)",IF(B265="DR Targeted Diagnosis Program","Sensitivity (Detection Probability)",IF(B265="DS Targeted Diagnosis Program","Sensitivity (Detection Probability)",IF(B265="Vaccination Program","Vaccination Effectiveness Probability",IF(B265="Fixed Cost Program","...","..."))))))))))</f>
        <v>Efficacy (After Completed Treatment)</v>
      </c>
      <c r="C270" s="41" t="str">
        <f>IF(B270&lt;&gt;"...","Unique","")</f>
        <v>Unique</v>
      </c>
      <c r="D270" s="39" t="str">
        <f>IF(B270&lt;&gt;"...",IF(SUMPRODUCT(--(F270:V270&lt;&gt;""))=0,0,"N.A."),"")</f>
        <v>N.A.</v>
      </c>
      <c r="E270" s="41" t="str">
        <f t="shared" si="24"/>
        <v>OR</v>
      </c>
      <c r="F270" s="40"/>
      <c r="G270" s="40"/>
      <c r="H270" s="40"/>
      <c r="I270" s="40"/>
      <c r="J270" s="40"/>
      <c r="K270" s="40"/>
      <c r="L270" s="40"/>
      <c r="M270" s="40"/>
      <c r="N270" s="40"/>
      <c r="O270" s="40"/>
      <c r="P270" s="40"/>
      <c r="Q270" s="40"/>
      <c r="R270" s="40"/>
      <c r="S270" s="40"/>
      <c r="T270" s="40"/>
      <c r="U270" s="40">
        <v>0</v>
      </c>
      <c r="V270" s="40"/>
    </row>
    <row r="271" spans="1:22" x14ac:dyDescent="0.55000000000000004">
      <c r="A271" s="41" t="s">
        <v>11</v>
      </c>
      <c r="B271" s="41" t="str">
        <f>IF(B265="MDR/XDR Treatment Program","Adherence Probability (Yearly)",IF(B265="XDR Treat Program","Adherence Probability (Yearly)",IF(B265="MDR Treat Program","Adherence Probability (Yearly)",IF(B265="DS Treat Program","Adherence Probability (Yearly)",IF(B265="Latency Treat Program","Adherence Probability (Yearly)",IF(B265="Strain Diag Program","Latents Identified (Per Active Case)",IF(B265="DR Targeted Diagnosis Program","Latents Identified (Per DR-TB Case)",IF(B265="DS Targeted Diagnosis Program","Latents Identified (Per DS-TB Case)",IF(B265="Vaccination Program","...",IF(B265="Fixed Cost Program","...","..."))))))))))</f>
        <v>Adherence Probability (Yearly)</v>
      </c>
      <c r="C271" s="41" t="str">
        <f>IF(B271&lt;&gt;"...","Unique","")</f>
        <v>Unique</v>
      </c>
      <c r="D271" s="39" t="str">
        <f>IF(B271&lt;&gt;"...",IF(SUMPRODUCT(--(F271:V271&lt;&gt;""))=0,0,"N.A."),"")</f>
        <v>N.A.</v>
      </c>
      <c r="E271" s="41" t="str">
        <f t="shared" si="24"/>
        <v>OR</v>
      </c>
      <c r="F271" s="40"/>
      <c r="G271" s="40"/>
      <c r="H271" s="40"/>
      <c r="I271" s="40"/>
      <c r="J271" s="40"/>
      <c r="K271" s="40"/>
      <c r="L271" s="40"/>
      <c r="M271" s="40"/>
      <c r="N271" s="40"/>
      <c r="O271" s="40"/>
      <c r="P271" s="40"/>
      <c r="Q271" s="40"/>
      <c r="R271" s="40"/>
      <c r="S271" s="40"/>
      <c r="T271" s="40"/>
      <c r="U271" s="40">
        <v>0</v>
      </c>
      <c r="V271" s="40"/>
    </row>
    <row r="272" spans="1:22" x14ac:dyDescent="0.55000000000000004">
      <c r="A272" s="41" t="s">
        <v>11</v>
      </c>
      <c r="B272" s="41" t="str">
        <f>IF(B265="MDR/XDR Treatment Program","Treatment Duration (Months)",IF(B265="XDR Treat Program","Treatment Duration (Months)",IF(B265="MDR Treat Program","Treatment Duration (Months)",IF(B265="DS Treat Program","Treatment Duration (Months)",IF(B265="Latency Treat Program","Treatment Duration (Months)",IF(B265="Strain Diag Program","Latent Treatment Efficacy (After Completed Treatment)",IF(B265="DR Targeted Diagnosis Program","Latent Treatment Efficacy (After Completed Treatment)",IF(B265="DS Targeted Diagnosis Program","Latent Treatment Efficacy (After Completed Treatment)",IF(B265="Vaccination Program","...",IF(B265="Fixed Cost Program","...","..."))))))))))</f>
        <v>Treatment Duration (Months)</v>
      </c>
      <c r="C272" s="41" t="str">
        <f>IF(B272&lt;&gt;"...","Unique","")</f>
        <v>Unique</v>
      </c>
      <c r="D272" s="39" t="str">
        <f>IF(B272&lt;&gt;"...",IF(SUMPRODUCT(--(F272:V272&lt;&gt;""))=0,0,"N.A."),"")</f>
        <v>N.A.</v>
      </c>
      <c r="E272" s="41" t="str">
        <f t="shared" si="24"/>
        <v>OR</v>
      </c>
      <c r="F272" s="64">
        <v>6</v>
      </c>
      <c r="G272" s="64">
        <v>6</v>
      </c>
      <c r="H272" s="64">
        <v>6</v>
      </c>
      <c r="I272" s="64">
        <v>6</v>
      </c>
      <c r="J272" s="64">
        <v>6</v>
      </c>
      <c r="K272" s="64">
        <v>6</v>
      </c>
      <c r="L272" s="64">
        <v>6</v>
      </c>
      <c r="M272" s="64">
        <v>6</v>
      </c>
      <c r="N272" s="64">
        <v>6</v>
      </c>
      <c r="O272" s="64">
        <v>6</v>
      </c>
      <c r="P272" s="64">
        <v>6</v>
      </c>
      <c r="Q272" s="64">
        <v>6</v>
      </c>
      <c r="R272" s="64">
        <v>6</v>
      </c>
      <c r="S272" s="64">
        <v>6</v>
      </c>
      <c r="T272" s="64">
        <v>6</v>
      </c>
      <c r="U272" s="64">
        <v>6</v>
      </c>
      <c r="V272" s="64">
        <v>6</v>
      </c>
    </row>
    <row r="273" spans="1:22" x14ac:dyDescent="0.55000000000000004">
      <c r="A273" s="41" t="s">
        <v>11</v>
      </c>
      <c r="B273" s="41" t="str">
        <f>IF(B265="MDR/XDR Treatment Program","...",IF(B265="XDR Treat Program","...",IF(B265="MDR Treat Program","...",IF(B265="DS Treat Program","...",IF(B265="Latency Treat Program","...",IF(B265="Strain Diag Program","Latent Treatment Adherence Probability (Yearly)",IF(B265="DR Targeted Diagnosis Program","Latent Treatment Adherence Probability (Yearly)",IF(B265="DS Targeted Diagnosis Program","Latent Treatment Adherence Probability (Yearly)",IF(B265="Vaccination Program","...",IF(B265="Fixed Cost Program","...","..."))))))))))</f>
        <v>...</v>
      </c>
      <c r="C273" s="41" t="str">
        <f>IF(B273&lt;&gt;"...","Unique","")</f>
        <v/>
      </c>
      <c r="D273" s="39" t="str">
        <f>IF(B273&lt;&gt;"...",IF(SUMPRODUCT(--(F273:V273&lt;&gt;""))=0,0,"N.A."),"")</f>
        <v/>
      </c>
      <c r="E273" s="41" t="str">
        <f t="shared" si="24"/>
        <v/>
      </c>
      <c r="F273" s="40"/>
      <c r="G273" s="40"/>
      <c r="H273" s="40"/>
      <c r="I273" s="40"/>
      <c r="J273" s="40"/>
      <c r="K273" s="40"/>
      <c r="L273" s="40"/>
      <c r="M273" s="40"/>
      <c r="N273" s="40"/>
      <c r="O273" s="40"/>
      <c r="P273" s="40"/>
      <c r="Q273" s="40"/>
      <c r="R273" s="40"/>
      <c r="S273" s="40"/>
      <c r="T273" s="40"/>
      <c r="U273" s="40"/>
      <c r="V273" s="40"/>
    </row>
    <row r="274" spans="1:22" x14ac:dyDescent="0.55000000000000004">
      <c r="A274" s="41" t="s">
        <v>11</v>
      </c>
      <c r="B274" s="41" t="str">
        <f>IF(B265="MDR/XDR Treatment Program","...",IF(B265="XDR Treat Program","...",IF(B265="MDR Treat Program","...",IF(B265="DS Treat Program","...",IF(B265="Latency Treat Program","...",IF(B265="Strain Diag Program","Latent Treatment Duration (Months)",IF(B265="DR Targeted Diagnosis Program","Latent Treatment Duration (Months)",IF(B265="DS Targeted Diagnosis Program","Latent Treatment Duration (Months)",IF(B265="Vaccination Program","...",IF(B265="Fixed Cost Program","...","..."))))))))))</f>
        <v>...</v>
      </c>
      <c r="C274" s="41" t="str">
        <f>IF(B274&lt;&gt;"...","Unique","")</f>
        <v/>
      </c>
      <c r="D274" s="39" t="str">
        <f>IF(B274&lt;&gt;"...",IF(SUMPRODUCT(--(F274:V274&lt;&gt;""))=0,0,"N.A."),"")</f>
        <v/>
      </c>
      <c r="E274" s="41" t="str">
        <f t="shared" si="24"/>
        <v/>
      </c>
      <c r="F274" s="40"/>
      <c r="G274" s="40"/>
      <c r="H274" s="40"/>
      <c r="I274" s="40"/>
      <c r="J274" s="40"/>
      <c r="K274" s="40"/>
      <c r="L274" s="40"/>
      <c r="M274" s="40"/>
      <c r="N274" s="40"/>
      <c r="O274" s="40"/>
      <c r="P274" s="40"/>
      <c r="Q274" s="40"/>
      <c r="R274" s="40"/>
      <c r="S274" s="40"/>
      <c r="T274" s="40"/>
      <c r="U274" s="40"/>
      <c r="V274" s="40"/>
    </row>
    <row r="275" spans="1:22" x14ac:dyDescent="0.55000000000000004">
      <c r="A275" s="41"/>
    </row>
    <row r="276" spans="1:22" x14ac:dyDescent="0.55000000000000004">
      <c r="A276" s="41" t="str">
        <f>'Program Definitions'!$A$27</f>
        <v>Miners MDR TB</v>
      </c>
      <c r="B276" s="41" t="s">
        <v>210</v>
      </c>
      <c r="C276" s="41"/>
      <c r="D276" s="41"/>
      <c r="E276" s="41"/>
      <c r="F276" s="41"/>
      <c r="G276" s="41"/>
      <c r="H276" s="41"/>
      <c r="I276" s="41"/>
      <c r="J276" s="41"/>
      <c r="K276" s="41"/>
      <c r="L276" s="41"/>
      <c r="M276" s="41"/>
      <c r="N276" s="41"/>
      <c r="O276" s="41"/>
      <c r="P276" s="41"/>
      <c r="Q276" s="41"/>
      <c r="R276" s="41"/>
      <c r="S276" s="41"/>
      <c r="T276" s="41"/>
      <c r="U276" s="41"/>
      <c r="V276" s="41"/>
    </row>
    <row r="277" spans="1:22" x14ac:dyDescent="0.55000000000000004">
      <c r="A277" s="41" t="s">
        <v>11</v>
      </c>
      <c r="B277" s="41"/>
      <c r="C277" s="41" t="s">
        <v>8</v>
      </c>
      <c r="D277" s="41" t="s">
        <v>9</v>
      </c>
      <c r="E277" s="41"/>
      <c r="F277" s="41">
        <v>2000</v>
      </c>
      <c r="G277" s="41">
        <v>2001</v>
      </c>
      <c r="H277" s="41">
        <v>2002</v>
      </c>
      <c r="I277" s="41">
        <v>2003</v>
      </c>
      <c r="J277" s="41">
        <v>2004</v>
      </c>
      <c r="K277" s="41">
        <v>2005</v>
      </c>
      <c r="L277" s="41">
        <v>2006</v>
      </c>
      <c r="M277" s="41">
        <v>2007</v>
      </c>
      <c r="N277" s="41">
        <v>2008</v>
      </c>
      <c r="O277" s="41">
        <v>2009</v>
      </c>
      <c r="P277" s="41">
        <v>2010</v>
      </c>
      <c r="Q277" s="41">
        <v>2011</v>
      </c>
      <c r="R277" s="41">
        <v>2012</v>
      </c>
      <c r="S277" s="41">
        <v>2013</v>
      </c>
      <c r="T277" s="41">
        <v>2014</v>
      </c>
      <c r="U277" s="41">
        <v>2015</v>
      </c>
      <c r="V277" s="41">
        <v>2016</v>
      </c>
    </row>
    <row r="278" spans="1:22" x14ac:dyDescent="0.55000000000000004">
      <c r="A278" s="41" t="s">
        <v>12</v>
      </c>
      <c r="B278" s="41" t="str">
        <f>IF(B276="Fixed Cost Program","...","Program Coverage")</f>
        <v>Program Coverage</v>
      </c>
      <c r="C278" s="41" t="str">
        <f>IF(B278&lt;&gt;"...","Number","")</f>
        <v>Number</v>
      </c>
      <c r="D278" s="39" t="str">
        <f>IF(B278&lt;&gt;"...",IF(SUMPRODUCT(--(F278:V278&lt;&gt;""))=0,0,"N.A."),"")</f>
        <v>N.A.</v>
      </c>
      <c r="E278" s="41" t="str">
        <f>IF(B278&lt;&gt;"...","OR","")</f>
        <v>OR</v>
      </c>
      <c r="F278" s="60"/>
      <c r="G278" s="60"/>
      <c r="H278" s="60"/>
      <c r="I278" s="60"/>
      <c r="J278" s="60"/>
      <c r="K278" s="60"/>
      <c r="L278" s="60"/>
      <c r="M278" s="60"/>
      <c r="N278" s="60"/>
      <c r="O278" s="60"/>
      <c r="P278" s="60"/>
      <c r="Q278" s="60"/>
      <c r="R278" s="60"/>
      <c r="S278" s="60"/>
      <c r="T278" s="60"/>
      <c r="U278" s="60">
        <v>0</v>
      </c>
      <c r="V278" s="44"/>
    </row>
    <row r="279" spans="1:22" x14ac:dyDescent="0.55000000000000004">
      <c r="A279" s="41" t="s">
        <v>11</v>
      </c>
      <c r="B279" s="41" t="s">
        <v>13</v>
      </c>
      <c r="C279" s="41" t="s">
        <v>15</v>
      </c>
      <c r="D279" s="39" t="str">
        <f>IF(SUMPRODUCT(--(F279:V279&lt;&gt;""))=0,0,"N.A.")</f>
        <v>N.A.</v>
      </c>
      <c r="E279" s="41" t="s">
        <v>16</v>
      </c>
      <c r="F279" s="65"/>
      <c r="G279" s="65"/>
      <c r="H279" s="65"/>
      <c r="I279" s="65"/>
      <c r="J279" s="65"/>
      <c r="K279" s="65"/>
      <c r="L279" s="65"/>
      <c r="M279" s="65"/>
      <c r="N279" s="65"/>
      <c r="O279" s="65"/>
      <c r="P279" s="65"/>
      <c r="Q279" s="65"/>
      <c r="R279" s="65"/>
      <c r="S279" s="65"/>
      <c r="T279" s="65"/>
      <c r="U279" s="65">
        <v>0</v>
      </c>
      <c r="V279" s="65"/>
    </row>
    <row r="280" spans="1:22" x14ac:dyDescent="0.55000000000000004">
      <c r="A280" s="41" t="s">
        <v>11</v>
      </c>
      <c r="B280" s="41" t="str">
        <f>IF(B276="Fixed Cost Program","...",CONCATENATE("Unit Cost Estimate",IF(C278="Fraction"," (Per 1%)","")))</f>
        <v>Unit Cost Estimate</v>
      </c>
      <c r="C280" s="41" t="str">
        <f>IF(B280&lt;&gt;"...","USD","")</f>
        <v>USD</v>
      </c>
      <c r="D280" s="66">
        <v>40109.651281712439</v>
      </c>
      <c r="E280" s="41" t="str">
        <f t="shared" ref="E280:E285" si="25">IF(B280&lt;&gt;"...","OR","")</f>
        <v>OR</v>
      </c>
      <c r="F280" s="65" t="str">
        <f>IF(B280&lt;&gt;"...","...","")</f>
        <v>...</v>
      </c>
      <c r="G280" s="65" t="str">
        <f>IF(B280&lt;&gt;"...","...","")</f>
        <v>...</v>
      </c>
      <c r="H280" s="65" t="str">
        <f>IF(B280&lt;&gt;"...","...","")</f>
        <v>...</v>
      </c>
      <c r="I280" s="65" t="str">
        <f>IF(B280&lt;&gt;"...","...","")</f>
        <v>...</v>
      </c>
      <c r="J280" s="65" t="str">
        <f>IF(B280&lt;&gt;"...","...","")</f>
        <v>...</v>
      </c>
      <c r="K280" s="65" t="str">
        <f>IF(B280&lt;&gt;"...","...","")</f>
        <v>...</v>
      </c>
      <c r="L280" s="65" t="str">
        <f>IF(B280&lt;&gt;"...","...","")</f>
        <v>...</v>
      </c>
      <c r="M280" s="65" t="str">
        <f>IF(B280&lt;&gt;"...","...","")</f>
        <v>...</v>
      </c>
      <c r="N280" s="65" t="str">
        <f>IF(B280&lt;&gt;"...","...","")</f>
        <v>...</v>
      </c>
      <c r="O280" s="65" t="str">
        <f>IF(B280&lt;&gt;"...","...","")</f>
        <v>...</v>
      </c>
      <c r="P280" s="65" t="str">
        <f>IF(B280&lt;&gt;"...","...","")</f>
        <v>...</v>
      </c>
      <c r="Q280" s="65" t="str">
        <f>IF(B280&lt;&gt;"...","...","")</f>
        <v>...</v>
      </c>
      <c r="R280" s="65" t="str">
        <f>IF(B280&lt;&gt;"...","...","")</f>
        <v>...</v>
      </c>
      <c r="S280" s="65" t="str">
        <f>IF(B280&lt;&gt;"...","...","")</f>
        <v>...</v>
      </c>
      <c r="T280" s="65" t="str">
        <f>IF(B280&lt;&gt;"...","...","")</f>
        <v>...</v>
      </c>
      <c r="U280" s="65" t="str">
        <f>IF(B280&lt;&gt;"...","...","")</f>
        <v>...</v>
      </c>
      <c r="V280" s="65" t="str">
        <f>IF(B280&lt;&gt;"...","...","")</f>
        <v>...</v>
      </c>
    </row>
    <row r="281" spans="1:22" x14ac:dyDescent="0.55000000000000004">
      <c r="A281" s="41" t="s">
        <v>17</v>
      </c>
      <c r="B281" s="41" t="str">
        <f>IF(B276="MDR/XDR Treatment Program","Efficacy (After Completed Treatment)",IF(B276="XDR Treat Program","Efficacy (After Completed Treatment)",IF(B276="MDR Treat Program","Efficacy (After Completed Treatment)",IF(B276="DS Treat Program","Efficacy (After Completed Treatment)",IF(B276="Latency Treat Program","Efficacy (After Completed Treatment)",IF(B276="Strain Diag Program","Sensitivity (Detection Probability)",IF(B276="DR Targeted Diagnosis Program","Sensitivity (Detection Probability)",IF(B276="DS Targeted Diagnosis Program","Sensitivity (Detection Probability)",IF(B276="Vaccination Program","Vaccination Effectiveness Probability",IF(B276="Fixed Cost Program","...","..."))))))))))</f>
        <v>Efficacy (After Completed Treatment)</v>
      </c>
      <c r="C281" s="41" t="str">
        <f>IF(B281&lt;&gt;"...","Unique","")</f>
        <v>Unique</v>
      </c>
      <c r="D281" s="39" t="str">
        <f>IF(B281&lt;&gt;"...",IF(SUMPRODUCT(--(F281:V281&lt;&gt;""))=0,0,"N.A."),"")</f>
        <v>N.A.</v>
      </c>
      <c r="E281" s="41" t="str">
        <f t="shared" si="25"/>
        <v>OR</v>
      </c>
      <c r="F281" s="40"/>
      <c r="G281" s="40"/>
      <c r="H281" s="40"/>
      <c r="I281" s="40"/>
      <c r="J281" s="40"/>
      <c r="K281" s="40"/>
      <c r="L281" s="40"/>
      <c r="M281" s="40"/>
      <c r="N281" s="40"/>
      <c r="O281" s="40"/>
      <c r="P281" s="40"/>
      <c r="Q281" s="40"/>
      <c r="R281" s="40"/>
      <c r="S281" s="40"/>
      <c r="T281" s="40"/>
      <c r="U281" s="40">
        <v>0</v>
      </c>
      <c r="V281" s="40"/>
    </row>
    <row r="282" spans="1:22" x14ac:dyDescent="0.55000000000000004">
      <c r="A282" s="41" t="s">
        <v>11</v>
      </c>
      <c r="B282" s="41" t="str">
        <f>IF(B276="MDR/XDR Treatment Program","Adherence Probability (Yearly)",IF(B276="XDR Treat Program","Adherence Probability (Yearly)",IF(B276="MDR Treat Program","Adherence Probability (Yearly)",IF(B276="DS Treat Program","Adherence Probability (Yearly)",IF(B276="Latency Treat Program","Adherence Probability (Yearly)",IF(B276="Strain Diag Program","Latents Identified (Per Active Case)",IF(B276="DR Targeted Diagnosis Program","Latents Identified (Per DR-TB Case)",IF(B276="DS Targeted Diagnosis Program","Latents Identified (Per DS-TB Case)",IF(B276="Vaccination Program","...",IF(B276="Fixed Cost Program","...","..."))))))))))</f>
        <v>Adherence Probability (Yearly)</v>
      </c>
      <c r="C282" s="41" t="str">
        <f>IF(B282&lt;&gt;"...","Unique","")</f>
        <v>Unique</v>
      </c>
      <c r="D282" s="39" t="str">
        <f>IF(B282&lt;&gt;"...",IF(SUMPRODUCT(--(F282:V282&lt;&gt;""))=0,0,"N.A."),"")</f>
        <v>N.A.</v>
      </c>
      <c r="E282" s="41" t="str">
        <f t="shared" si="25"/>
        <v>OR</v>
      </c>
      <c r="F282" s="40"/>
      <c r="G282" s="40"/>
      <c r="H282" s="40"/>
      <c r="I282" s="40"/>
      <c r="J282" s="40"/>
      <c r="K282" s="40"/>
      <c r="L282" s="40"/>
      <c r="M282" s="40"/>
      <c r="N282" s="40"/>
      <c r="O282" s="40"/>
      <c r="P282" s="40"/>
      <c r="Q282" s="40"/>
      <c r="R282" s="40"/>
      <c r="S282" s="40"/>
      <c r="T282" s="40"/>
      <c r="U282" s="40">
        <v>0</v>
      </c>
      <c r="V282" s="40"/>
    </row>
    <row r="283" spans="1:22" x14ac:dyDescent="0.55000000000000004">
      <c r="A283" s="41" t="s">
        <v>11</v>
      </c>
      <c r="B283" s="41" t="str">
        <f>IF(B276="MDR/XDR Treatment Program","Treatment Duration (Months)",IF(B276="XDR Treat Program","Treatment Duration (Months)",IF(B276="MDR Treat Program","Treatment Duration (Months)",IF(B276="DS Treat Program","Treatment Duration (Months)",IF(B276="Latency Treat Program","Treatment Duration (Months)",IF(B276="Strain Diag Program","Latent Treatment Efficacy (After Completed Treatment)",IF(B276="DR Targeted Diagnosis Program","Latent Treatment Efficacy (After Completed Treatment)",IF(B276="DS Targeted Diagnosis Program","Latent Treatment Efficacy (After Completed Treatment)",IF(B276="Vaccination Program","...",IF(B276="Fixed Cost Program","...","..."))))))))))</f>
        <v>Treatment Duration (Months)</v>
      </c>
      <c r="C283" s="41" t="str">
        <f>IF(B283&lt;&gt;"...","Unique","")</f>
        <v>Unique</v>
      </c>
      <c r="D283" s="39" t="str">
        <f>IF(B283&lt;&gt;"...",IF(SUMPRODUCT(--(F283:V283&lt;&gt;""))=0,0,"N.A."),"")</f>
        <v>N.A.</v>
      </c>
      <c r="E283" s="41" t="str">
        <f t="shared" si="25"/>
        <v>OR</v>
      </c>
      <c r="F283" s="64">
        <v>14</v>
      </c>
      <c r="G283" s="64">
        <v>14</v>
      </c>
      <c r="H283" s="64">
        <v>14</v>
      </c>
      <c r="I283" s="64">
        <v>14</v>
      </c>
      <c r="J283" s="64">
        <v>14</v>
      </c>
      <c r="K283" s="64">
        <v>14</v>
      </c>
      <c r="L283" s="64">
        <v>14</v>
      </c>
      <c r="M283" s="64">
        <v>14</v>
      </c>
      <c r="N283" s="64">
        <v>14</v>
      </c>
      <c r="O283" s="64">
        <v>14</v>
      </c>
      <c r="P283" s="64">
        <v>14</v>
      </c>
      <c r="Q283" s="64">
        <v>14</v>
      </c>
      <c r="R283" s="64">
        <v>14</v>
      </c>
      <c r="S283" s="64">
        <v>14</v>
      </c>
      <c r="T283" s="64">
        <v>14</v>
      </c>
      <c r="U283" s="64">
        <v>14</v>
      </c>
      <c r="V283" s="64">
        <v>14</v>
      </c>
    </row>
    <row r="284" spans="1:22" x14ac:dyDescent="0.55000000000000004">
      <c r="A284" s="41" t="s">
        <v>11</v>
      </c>
      <c r="B284" s="41" t="str">
        <f>IF(B276="MDR/XDR Treatment Program","...",IF(B276="XDR Treat Program","...",IF(B276="MDR Treat Program","...",IF(B276="DS Treat Program","...",IF(B276="Latency Treat Program","...",IF(B276="Strain Diag Program","Latent Treatment Adherence Probability (Yearly)",IF(B276="DR Targeted Diagnosis Program","Latent Treatment Adherence Probability (Yearly)",IF(B276="DS Targeted Diagnosis Program","Latent Treatment Adherence Probability (Yearly)",IF(B276="Vaccination Program","...",IF(B276="Fixed Cost Program","...","..."))))))))))</f>
        <v>...</v>
      </c>
      <c r="C284" s="41" t="str">
        <f>IF(B284&lt;&gt;"...","Unique","")</f>
        <v/>
      </c>
      <c r="D284" s="39" t="str">
        <f>IF(B284&lt;&gt;"...",IF(SUMPRODUCT(--(F284:V284&lt;&gt;""))=0,0,"N.A."),"")</f>
        <v/>
      </c>
      <c r="E284" s="41" t="str">
        <f t="shared" si="25"/>
        <v/>
      </c>
      <c r="F284" s="40"/>
      <c r="G284" s="40"/>
      <c r="H284" s="40"/>
      <c r="I284" s="40"/>
      <c r="J284" s="40"/>
      <c r="K284" s="40"/>
      <c r="L284" s="40"/>
      <c r="M284" s="40"/>
      <c r="N284" s="40"/>
      <c r="O284" s="40"/>
      <c r="P284" s="40"/>
      <c r="Q284" s="40"/>
      <c r="R284" s="40"/>
      <c r="S284" s="40"/>
      <c r="T284" s="40"/>
      <c r="U284" s="40"/>
      <c r="V284" s="40"/>
    </row>
    <row r="285" spans="1:22" x14ac:dyDescent="0.55000000000000004">
      <c r="A285" s="41" t="s">
        <v>11</v>
      </c>
      <c r="B285" s="41" t="str">
        <f>IF(B276="MDR/XDR Treatment Program","...",IF(B276="XDR Treat Program","...",IF(B276="MDR Treat Program","...",IF(B276="DS Treat Program","...",IF(B276="Latency Treat Program","...",IF(B276="Strain Diag Program","Latent Treatment Duration (Months)",IF(B276="DR Targeted Diagnosis Program","Latent Treatment Duration (Months)",IF(B276="DS Targeted Diagnosis Program","Latent Treatment Duration (Months)",IF(B276="Vaccination Program","...",IF(B276="Fixed Cost Program","...","..."))))))))))</f>
        <v>...</v>
      </c>
      <c r="C285" s="41" t="str">
        <f>IF(B285&lt;&gt;"...","Unique","")</f>
        <v/>
      </c>
      <c r="D285" s="39" t="str">
        <f>IF(B285&lt;&gt;"...",IF(SUMPRODUCT(--(F285:V285&lt;&gt;""))=0,0,"N.A."),"")</f>
        <v/>
      </c>
      <c r="E285" s="41" t="str">
        <f t="shared" si="25"/>
        <v/>
      </c>
      <c r="F285" s="40"/>
      <c r="G285" s="40"/>
      <c r="H285" s="40"/>
      <c r="I285" s="40"/>
      <c r="J285" s="40"/>
      <c r="K285" s="40"/>
      <c r="L285" s="40"/>
      <c r="M285" s="40"/>
      <c r="N285" s="40"/>
      <c r="O285" s="40"/>
      <c r="P285" s="40"/>
      <c r="Q285" s="40"/>
      <c r="R285" s="40"/>
      <c r="S285" s="40"/>
      <c r="T285" s="40"/>
      <c r="U285" s="40"/>
      <c r="V285" s="40"/>
    </row>
    <row r="286" spans="1:22" x14ac:dyDescent="0.55000000000000004">
      <c r="A286" s="41"/>
    </row>
    <row r="287" spans="1:22" x14ac:dyDescent="0.55000000000000004">
      <c r="A287" s="41" t="str">
        <f>'Program Definitions'!$A$28</f>
        <v>Miners XDR TB</v>
      </c>
      <c r="B287" s="41" t="s">
        <v>211</v>
      </c>
      <c r="C287" s="41"/>
      <c r="D287" s="41"/>
      <c r="E287" s="41"/>
      <c r="F287" s="41"/>
      <c r="G287" s="41"/>
      <c r="H287" s="41"/>
      <c r="I287" s="41"/>
      <c r="J287" s="41"/>
      <c r="K287" s="41"/>
      <c r="L287" s="41"/>
      <c r="M287" s="41"/>
      <c r="N287" s="41"/>
      <c r="O287" s="41"/>
      <c r="P287" s="41"/>
      <c r="Q287" s="41"/>
      <c r="R287" s="41"/>
      <c r="S287" s="41"/>
      <c r="T287" s="41"/>
      <c r="U287" s="41"/>
      <c r="V287" s="41"/>
    </row>
    <row r="288" spans="1:22" x14ac:dyDescent="0.55000000000000004">
      <c r="A288" s="41" t="s">
        <v>11</v>
      </c>
      <c r="B288" s="41"/>
      <c r="C288" s="41" t="s">
        <v>8</v>
      </c>
      <c r="D288" s="41" t="s">
        <v>9</v>
      </c>
      <c r="E288" s="41"/>
      <c r="F288" s="41">
        <v>2000</v>
      </c>
      <c r="G288" s="41">
        <v>2001</v>
      </c>
      <c r="H288" s="41">
        <v>2002</v>
      </c>
      <c r="I288" s="41">
        <v>2003</v>
      </c>
      <c r="J288" s="41">
        <v>2004</v>
      </c>
      <c r="K288" s="41">
        <v>2005</v>
      </c>
      <c r="L288" s="41">
        <v>2006</v>
      </c>
      <c r="M288" s="41">
        <v>2007</v>
      </c>
      <c r="N288" s="41">
        <v>2008</v>
      </c>
      <c r="O288" s="41">
        <v>2009</v>
      </c>
      <c r="P288" s="41">
        <v>2010</v>
      </c>
      <c r="Q288" s="41">
        <v>2011</v>
      </c>
      <c r="R288" s="41">
        <v>2012</v>
      </c>
      <c r="S288" s="41">
        <v>2013</v>
      </c>
      <c r="T288" s="41">
        <v>2014</v>
      </c>
      <c r="U288" s="41">
        <v>2015</v>
      </c>
      <c r="V288" s="41">
        <v>2016</v>
      </c>
    </row>
    <row r="289" spans="1:22" x14ac:dyDescent="0.55000000000000004">
      <c r="A289" s="41" t="s">
        <v>12</v>
      </c>
      <c r="B289" s="41" t="str">
        <f>IF(B287="Fixed Cost Program","...","Program Coverage")</f>
        <v>Program Coverage</v>
      </c>
      <c r="C289" s="41" t="str">
        <f>IF(B289&lt;&gt;"...","Number","")</f>
        <v>Number</v>
      </c>
      <c r="D289" s="39" t="str">
        <f>IF(B289&lt;&gt;"...",IF(SUMPRODUCT(--(F289:V289&lt;&gt;""))=0,0,"N.A."),"")</f>
        <v>N.A.</v>
      </c>
      <c r="E289" s="41" t="str">
        <f>IF(B289&lt;&gt;"...","OR","")</f>
        <v>OR</v>
      </c>
      <c r="F289" s="60"/>
      <c r="G289" s="60"/>
      <c r="H289" s="60"/>
      <c r="I289" s="60"/>
      <c r="J289" s="60"/>
      <c r="K289" s="60"/>
      <c r="L289" s="60"/>
      <c r="M289" s="60"/>
      <c r="N289" s="60"/>
      <c r="O289" s="60"/>
      <c r="P289" s="60"/>
      <c r="Q289" s="60"/>
      <c r="R289" s="60"/>
      <c r="S289" s="60"/>
      <c r="T289" s="60"/>
      <c r="U289" s="60">
        <v>0</v>
      </c>
      <c r="V289" s="44"/>
    </row>
    <row r="290" spans="1:22" x14ac:dyDescent="0.55000000000000004">
      <c r="A290" s="41" t="s">
        <v>11</v>
      </c>
      <c r="B290" s="41" t="s">
        <v>13</v>
      </c>
      <c r="C290" s="41" t="s">
        <v>15</v>
      </c>
      <c r="D290" s="39" t="str">
        <f>IF(SUMPRODUCT(--(F290:V290&lt;&gt;""))=0,0,"N.A.")</f>
        <v>N.A.</v>
      </c>
      <c r="E290" s="41" t="s">
        <v>16</v>
      </c>
      <c r="F290" s="65"/>
      <c r="G290" s="65"/>
      <c r="H290" s="65"/>
      <c r="I290" s="65"/>
      <c r="J290" s="65"/>
      <c r="K290" s="65"/>
      <c r="L290" s="65"/>
      <c r="M290" s="65"/>
      <c r="N290" s="65"/>
      <c r="O290" s="65"/>
      <c r="P290" s="65"/>
      <c r="Q290" s="65"/>
      <c r="R290" s="65"/>
      <c r="S290" s="65"/>
      <c r="T290" s="65"/>
      <c r="U290" s="65">
        <v>0</v>
      </c>
      <c r="V290" s="65"/>
    </row>
    <row r="291" spans="1:22" x14ac:dyDescent="0.55000000000000004">
      <c r="A291" s="41" t="s">
        <v>11</v>
      </c>
      <c r="B291" s="41" t="str">
        <f>IF(B287="Fixed Cost Program","...",CONCATENATE("Unit Cost Estimate",IF(C289="Fraction"," (Per 1%)","")))</f>
        <v>Unit Cost Estimate</v>
      </c>
      <c r="C291" s="41" t="str">
        <f>IF(B291&lt;&gt;"...","USD","")</f>
        <v>USD</v>
      </c>
      <c r="D291" s="66">
        <v>129288.52124673559</v>
      </c>
      <c r="E291" s="41" t="str">
        <f t="shared" ref="E291:E296" si="26">IF(B291&lt;&gt;"...","OR","")</f>
        <v>OR</v>
      </c>
      <c r="F291" s="65" t="str">
        <f>IF(B291&lt;&gt;"...","...","")</f>
        <v>...</v>
      </c>
      <c r="G291" s="65" t="str">
        <f>IF(B291&lt;&gt;"...","...","")</f>
        <v>...</v>
      </c>
      <c r="H291" s="65" t="str">
        <f>IF(B291&lt;&gt;"...","...","")</f>
        <v>...</v>
      </c>
      <c r="I291" s="65" t="str">
        <f>IF(B291&lt;&gt;"...","...","")</f>
        <v>...</v>
      </c>
      <c r="J291" s="65" t="str">
        <f>IF(B291&lt;&gt;"...","...","")</f>
        <v>...</v>
      </c>
      <c r="K291" s="65" t="str">
        <f>IF(B291&lt;&gt;"...","...","")</f>
        <v>...</v>
      </c>
      <c r="L291" s="65" t="str">
        <f>IF(B291&lt;&gt;"...","...","")</f>
        <v>...</v>
      </c>
      <c r="M291" s="65" t="str">
        <f>IF(B291&lt;&gt;"...","...","")</f>
        <v>...</v>
      </c>
      <c r="N291" s="65" t="str">
        <f>IF(B291&lt;&gt;"...","...","")</f>
        <v>...</v>
      </c>
      <c r="O291" s="65" t="str">
        <f>IF(B291&lt;&gt;"...","...","")</f>
        <v>...</v>
      </c>
      <c r="P291" s="65" t="str">
        <f>IF(B291&lt;&gt;"...","...","")</f>
        <v>...</v>
      </c>
      <c r="Q291" s="65" t="str">
        <f>IF(B291&lt;&gt;"...","...","")</f>
        <v>...</v>
      </c>
      <c r="R291" s="65" t="str">
        <f>IF(B291&lt;&gt;"...","...","")</f>
        <v>...</v>
      </c>
      <c r="S291" s="65" t="str">
        <f>IF(B291&lt;&gt;"...","...","")</f>
        <v>...</v>
      </c>
      <c r="T291" s="65" t="str">
        <f>IF(B291&lt;&gt;"...","...","")</f>
        <v>...</v>
      </c>
      <c r="U291" s="65" t="str">
        <f>IF(B291&lt;&gt;"...","...","")</f>
        <v>...</v>
      </c>
      <c r="V291" s="65" t="str">
        <f>IF(B291&lt;&gt;"...","...","")</f>
        <v>...</v>
      </c>
    </row>
    <row r="292" spans="1:22" x14ac:dyDescent="0.55000000000000004">
      <c r="A292" s="41" t="s">
        <v>17</v>
      </c>
      <c r="B292" s="41" t="str">
        <f>IF(B287="MDR/XDR Treatment Program","Efficacy (After Completed Treatment)",IF(B287="XDR Treat Program","Efficacy (After Completed Treatment)",IF(B287="MDR Treat Program","Efficacy (After Completed Treatment)",IF(B287="DS Treat Program","Efficacy (After Completed Treatment)",IF(B287="Latency Treat Program","Efficacy (After Completed Treatment)",IF(B287="Strain Diag Program","Sensitivity (Detection Probability)",IF(B287="DR Targeted Diagnosis Program","Sensitivity (Detection Probability)",IF(B287="DS Targeted Diagnosis Program","Sensitivity (Detection Probability)",IF(B287="Vaccination Program","Vaccination Effectiveness Probability",IF(B287="Fixed Cost Program","...","..."))))))))))</f>
        <v>Efficacy (After Completed Treatment)</v>
      </c>
      <c r="C292" s="41" t="str">
        <f>IF(B292&lt;&gt;"...","Unique","")</f>
        <v>Unique</v>
      </c>
      <c r="D292" s="39" t="str">
        <f>IF(B292&lt;&gt;"...",IF(SUMPRODUCT(--(F292:V292&lt;&gt;""))=0,0,"N.A."),"")</f>
        <v>N.A.</v>
      </c>
      <c r="E292" s="41" t="str">
        <f t="shared" si="26"/>
        <v>OR</v>
      </c>
      <c r="F292" s="40"/>
      <c r="G292" s="40"/>
      <c r="H292" s="40"/>
      <c r="I292" s="40"/>
      <c r="J292" s="40"/>
      <c r="K292" s="40"/>
      <c r="L292" s="40"/>
      <c r="M292" s="40"/>
      <c r="N292" s="40"/>
      <c r="O292" s="40"/>
      <c r="P292" s="40"/>
      <c r="Q292" s="40"/>
      <c r="R292" s="40"/>
      <c r="S292" s="40"/>
      <c r="T292" s="40"/>
      <c r="U292" s="40">
        <v>0</v>
      </c>
      <c r="V292" s="40"/>
    </row>
    <row r="293" spans="1:22" x14ac:dyDescent="0.55000000000000004">
      <c r="A293" s="41" t="s">
        <v>11</v>
      </c>
      <c r="B293" s="41" t="str">
        <f>IF(B287="MDR/XDR Treatment Program","Adherence Probability (Yearly)",IF(B287="XDR Treat Program","Adherence Probability (Yearly)",IF(B287="MDR Treat Program","Adherence Probability (Yearly)",IF(B287="DS Treat Program","Adherence Probability (Yearly)",IF(B287="Latency Treat Program","Adherence Probability (Yearly)",IF(B287="Strain Diag Program","Latents Identified (Per Active Case)",IF(B287="DR Targeted Diagnosis Program","Latents Identified (Per DR-TB Case)",IF(B287="DS Targeted Diagnosis Program","Latents Identified (Per DS-TB Case)",IF(B287="Vaccination Program","...",IF(B287="Fixed Cost Program","...","..."))))))))))</f>
        <v>Adherence Probability (Yearly)</v>
      </c>
      <c r="C293" s="41" t="str">
        <f>IF(B293&lt;&gt;"...","Unique","")</f>
        <v>Unique</v>
      </c>
      <c r="D293" s="39" t="str">
        <f>IF(B293&lt;&gt;"...",IF(SUMPRODUCT(--(F293:V293&lt;&gt;""))=0,0,"N.A."),"")</f>
        <v>N.A.</v>
      </c>
      <c r="E293" s="41" t="str">
        <f t="shared" si="26"/>
        <v>OR</v>
      </c>
      <c r="F293" s="40"/>
      <c r="G293" s="40"/>
      <c r="H293" s="40"/>
      <c r="I293" s="40"/>
      <c r="J293" s="40"/>
      <c r="K293" s="40"/>
      <c r="L293" s="40"/>
      <c r="M293" s="40"/>
      <c r="N293" s="40"/>
      <c r="O293" s="40"/>
      <c r="P293" s="40"/>
      <c r="Q293" s="40"/>
      <c r="R293" s="40"/>
      <c r="S293" s="40"/>
      <c r="T293" s="40"/>
      <c r="U293" s="40">
        <v>0</v>
      </c>
      <c r="V293" s="40"/>
    </row>
    <row r="294" spans="1:22" x14ac:dyDescent="0.55000000000000004">
      <c r="A294" s="41" t="s">
        <v>11</v>
      </c>
      <c r="B294" s="41" t="str">
        <f>IF(B287="MDR/XDR Treatment Program","Treatment Duration (Months)",IF(B287="XDR Treat Program","Treatment Duration (Months)",IF(B287="MDR Treat Program","Treatment Duration (Months)",IF(B287="DS Treat Program","Treatment Duration (Months)",IF(B287="Latency Treat Program","Treatment Duration (Months)",IF(B287="Strain Diag Program","Latent Treatment Efficacy (After Completed Treatment)",IF(B287="DR Targeted Diagnosis Program","Latent Treatment Efficacy (After Completed Treatment)",IF(B287="DS Targeted Diagnosis Program","Latent Treatment Efficacy (After Completed Treatment)",IF(B287="Vaccination Program","...",IF(B287="Fixed Cost Program","...","..."))))))))))</f>
        <v>Treatment Duration (Months)</v>
      </c>
      <c r="C294" s="41" t="str">
        <f>IF(B294&lt;&gt;"...","Unique","")</f>
        <v>Unique</v>
      </c>
      <c r="D294" s="39" t="str">
        <f>IF(B294&lt;&gt;"...",IF(SUMPRODUCT(--(F294:V294&lt;&gt;""))=0,0,"N.A."),"")</f>
        <v>N.A.</v>
      </c>
      <c r="E294" s="41" t="str">
        <f t="shared" si="26"/>
        <v>OR</v>
      </c>
      <c r="F294" s="64">
        <v>21</v>
      </c>
      <c r="G294" s="64">
        <v>21</v>
      </c>
      <c r="H294" s="64">
        <v>21</v>
      </c>
      <c r="I294" s="64">
        <v>21</v>
      </c>
      <c r="J294" s="64">
        <v>21</v>
      </c>
      <c r="K294" s="64">
        <v>21</v>
      </c>
      <c r="L294" s="64">
        <v>21</v>
      </c>
      <c r="M294" s="64">
        <v>21</v>
      </c>
      <c r="N294" s="64">
        <v>21</v>
      </c>
      <c r="O294" s="64">
        <v>21</v>
      </c>
      <c r="P294" s="64">
        <v>21</v>
      </c>
      <c r="Q294" s="64">
        <v>21</v>
      </c>
      <c r="R294" s="64">
        <v>21</v>
      </c>
      <c r="S294" s="64">
        <v>21</v>
      </c>
      <c r="T294" s="64">
        <v>21</v>
      </c>
      <c r="U294" s="64">
        <v>21</v>
      </c>
      <c r="V294" s="64">
        <v>21</v>
      </c>
    </row>
    <row r="295" spans="1:22" x14ac:dyDescent="0.55000000000000004">
      <c r="A295" s="41" t="s">
        <v>11</v>
      </c>
      <c r="B295" s="41" t="str">
        <f>IF(B287="MDR/XDR Treatment Program","...",IF(B287="XDR Treat Program","...",IF(B287="MDR Treat Program","...",IF(B287="DS Treat Program","...",IF(B287="Latency Treat Program","...",IF(B287="Strain Diag Program","Latent Treatment Adherence Probability (Yearly)",IF(B287="DR Targeted Diagnosis Program","Latent Treatment Adherence Probability (Yearly)",IF(B287="DS Targeted Diagnosis Program","Latent Treatment Adherence Probability (Yearly)",IF(B287="Vaccination Program","...",IF(B287="Fixed Cost Program","...","..."))))))))))</f>
        <v>...</v>
      </c>
      <c r="C295" s="41" t="str">
        <f>IF(B295&lt;&gt;"...","Unique","")</f>
        <v/>
      </c>
      <c r="D295" s="39" t="str">
        <f>IF(B295&lt;&gt;"...",IF(SUMPRODUCT(--(F295:V295&lt;&gt;""))=0,0,"N.A."),"")</f>
        <v/>
      </c>
      <c r="E295" s="41" t="str">
        <f t="shared" si="26"/>
        <v/>
      </c>
      <c r="F295" s="40"/>
      <c r="G295" s="40"/>
      <c r="H295" s="40"/>
      <c r="I295" s="40"/>
      <c r="J295" s="40"/>
      <c r="K295" s="40"/>
      <c r="L295" s="40"/>
      <c r="M295" s="40"/>
      <c r="N295" s="40"/>
      <c r="O295" s="40"/>
      <c r="P295" s="40"/>
      <c r="Q295" s="40"/>
      <c r="R295" s="40"/>
      <c r="S295" s="40"/>
      <c r="T295" s="40"/>
      <c r="U295" s="40"/>
      <c r="V295" s="40"/>
    </row>
    <row r="296" spans="1:22" x14ac:dyDescent="0.55000000000000004">
      <c r="A296" s="41" t="s">
        <v>11</v>
      </c>
      <c r="B296" s="41" t="str">
        <f>IF(B287="MDR/XDR Treatment Program","...",IF(B287="XDR Treat Program","...",IF(B287="MDR Treat Program","...",IF(B287="DS Treat Program","...",IF(B287="Latency Treat Program","...",IF(B287="Strain Diag Program","Latent Treatment Duration (Months)",IF(B287="DR Targeted Diagnosis Program","Latent Treatment Duration (Months)",IF(B287="DS Targeted Diagnosis Program","Latent Treatment Duration (Months)",IF(B287="Vaccination Program","...",IF(B287="Fixed Cost Program","...","..."))))))))))</f>
        <v>...</v>
      </c>
      <c r="C296" s="41" t="str">
        <f>IF(B296&lt;&gt;"...","Unique","")</f>
        <v/>
      </c>
      <c r="D296" s="39" t="str">
        <f>IF(B296&lt;&gt;"...",IF(SUMPRODUCT(--(F296:V296&lt;&gt;""))=0,0,"N.A."),"")</f>
        <v/>
      </c>
      <c r="E296" s="41" t="str">
        <f t="shared" si="26"/>
        <v/>
      </c>
      <c r="F296" s="40"/>
      <c r="G296" s="40"/>
      <c r="H296" s="40"/>
      <c r="I296" s="40"/>
      <c r="J296" s="40"/>
      <c r="K296" s="40"/>
      <c r="L296" s="40"/>
      <c r="M296" s="40"/>
      <c r="N296" s="40"/>
      <c r="O296" s="40"/>
      <c r="P296" s="40"/>
      <c r="Q296" s="40"/>
      <c r="R296" s="40"/>
      <c r="S296" s="40"/>
      <c r="T296" s="40"/>
      <c r="U296" s="40"/>
      <c r="V296" s="40"/>
    </row>
    <row r="297" spans="1:22" x14ac:dyDescent="0.55000000000000004">
      <c r="A297" s="41"/>
    </row>
    <row r="298" spans="1:22" x14ac:dyDescent="0.55000000000000004">
      <c r="A298" s="41" t="str">
        <f>'Program Definitions'!$A$29</f>
        <v>Other Testing and Monitoring Costs</v>
      </c>
      <c r="B298" s="41" t="s">
        <v>228</v>
      </c>
      <c r="C298" s="41"/>
      <c r="D298" s="41"/>
      <c r="E298" s="41"/>
      <c r="F298" s="41"/>
      <c r="G298" s="41"/>
      <c r="H298" s="41"/>
      <c r="I298" s="41"/>
      <c r="J298" s="41"/>
      <c r="K298" s="41"/>
      <c r="L298" s="41"/>
      <c r="M298" s="41"/>
      <c r="N298" s="41"/>
      <c r="O298" s="41"/>
      <c r="P298" s="41"/>
      <c r="Q298" s="41"/>
      <c r="R298" s="41"/>
      <c r="S298" s="41"/>
      <c r="T298" s="41"/>
      <c r="U298" s="41"/>
      <c r="V298" s="41"/>
    </row>
    <row r="299" spans="1:22" x14ac:dyDescent="0.55000000000000004">
      <c r="A299" s="41" t="s">
        <v>11</v>
      </c>
      <c r="B299" s="41"/>
      <c r="C299" s="41" t="s">
        <v>8</v>
      </c>
      <c r="D299" s="41" t="s">
        <v>9</v>
      </c>
      <c r="E299" s="41"/>
      <c r="F299" s="41">
        <v>2000</v>
      </c>
      <c r="G299" s="41">
        <v>2001</v>
      </c>
      <c r="H299" s="41">
        <v>2002</v>
      </c>
      <c r="I299" s="41">
        <v>2003</v>
      </c>
      <c r="J299" s="41">
        <v>2004</v>
      </c>
      <c r="K299" s="41">
        <v>2005</v>
      </c>
      <c r="L299" s="41">
        <v>2006</v>
      </c>
      <c r="M299" s="41">
        <v>2007</v>
      </c>
      <c r="N299" s="41">
        <v>2008</v>
      </c>
      <c r="O299" s="41">
        <v>2009</v>
      </c>
      <c r="P299" s="41">
        <v>2010</v>
      </c>
      <c r="Q299" s="41">
        <v>2011</v>
      </c>
      <c r="R299" s="41">
        <v>2012</v>
      </c>
      <c r="S299" s="41">
        <v>2013</v>
      </c>
      <c r="T299" s="41">
        <v>2014</v>
      </c>
      <c r="U299" s="41">
        <v>2015</v>
      </c>
      <c r="V299" s="41">
        <v>2016</v>
      </c>
    </row>
    <row r="300" spans="1:22" x14ac:dyDescent="0.55000000000000004">
      <c r="A300" s="41" t="s">
        <v>12</v>
      </c>
      <c r="B300" s="41" t="str">
        <f>IF(B298="Fixed Cost Program","...","Program Coverage")</f>
        <v>...</v>
      </c>
      <c r="C300" s="41" t="str">
        <f>IF(B300&lt;&gt;"...","Number","")</f>
        <v/>
      </c>
      <c r="D300" s="39" t="str">
        <f>IF(B300&lt;&gt;"...",IF(SUMPRODUCT(--(F300:V300&lt;&gt;""))=0,0,"N.A."),"")</f>
        <v/>
      </c>
      <c r="E300" s="41" t="str">
        <f>IF(B300&lt;&gt;"...","OR","")</f>
        <v/>
      </c>
      <c r="F300" s="60"/>
      <c r="G300" s="60"/>
      <c r="H300" s="60"/>
      <c r="I300" s="60"/>
      <c r="J300" s="60"/>
      <c r="K300" s="60"/>
      <c r="L300" s="60"/>
      <c r="M300" s="60"/>
      <c r="N300" s="60"/>
      <c r="O300" s="60"/>
      <c r="P300" s="60"/>
      <c r="Q300" s="60"/>
      <c r="R300" s="60"/>
      <c r="S300" s="60"/>
      <c r="T300" s="60"/>
      <c r="U300" s="60"/>
      <c r="V300" s="44"/>
    </row>
    <row r="301" spans="1:22" x14ac:dyDescent="0.55000000000000004">
      <c r="A301" s="41" t="s">
        <v>11</v>
      </c>
      <c r="B301" s="41" t="s">
        <v>13</v>
      </c>
      <c r="C301" s="41" t="s">
        <v>15</v>
      </c>
      <c r="D301" s="39" t="str">
        <f>IF(SUMPRODUCT(--(F301:V301&lt;&gt;""))=0,0,"N.A.")</f>
        <v>N.A.</v>
      </c>
      <c r="E301" s="41" t="s">
        <v>16</v>
      </c>
      <c r="F301" s="65"/>
      <c r="G301" s="65"/>
      <c r="H301" s="65"/>
      <c r="I301" s="65"/>
      <c r="J301" s="65"/>
      <c r="K301" s="65"/>
      <c r="L301" s="65"/>
      <c r="M301" s="65"/>
      <c r="N301" s="65"/>
      <c r="O301" s="65"/>
      <c r="P301" s="65"/>
      <c r="Q301" s="65"/>
      <c r="R301" s="65"/>
      <c r="S301" s="65"/>
      <c r="T301" s="65"/>
      <c r="U301" s="65"/>
      <c r="V301" s="65">
        <f>9654496.24595+46742810+34503103-255636-15273262.9302452</f>
        <v>75371510.315704793</v>
      </c>
    </row>
    <row r="302" spans="1:22" x14ac:dyDescent="0.55000000000000004">
      <c r="A302" s="41" t="s">
        <v>11</v>
      </c>
      <c r="B302" s="41" t="str">
        <f>IF(B298="Fixed Cost Program","...",CONCATENATE("Unit Cost Estimate",IF(C300="Fraction"," (Per 1%)","")))</f>
        <v>...</v>
      </c>
      <c r="C302" s="41" t="str">
        <f>IF(B302&lt;&gt;"...","USD","")</f>
        <v/>
      </c>
      <c r="D302" s="66" t="str">
        <f>IF(B302&lt;&gt;"...",IF(SUMPRODUCT(--(F302:V302&lt;&gt;"..."))=0,1E+300,"N.A."),"")</f>
        <v/>
      </c>
      <c r="E302" s="41" t="str">
        <f t="shared" ref="E302:E307" si="27">IF(B302&lt;&gt;"...","OR","")</f>
        <v/>
      </c>
      <c r="F302" s="65" t="str">
        <f>IF(B302&lt;&gt;"...","...","")</f>
        <v/>
      </c>
      <c r="G302" s="65" t="str">
        <f>IF(B302&lt;&gt;"...","...","")</f>
        <v/>
      </c>
      <c r="H302" s="65" t="str">
        <f>IF(B302&lt;&gt;"...","...","")</f>
        <v/>
      </c>
      <c r="I302" s="65" t="str">
        <f>IF(B302&lt;&gt;"...","...","")</f>
        <v/>
      </c>
      <c r="J302" s="65" t="str">
        <f>IF(B302&lt;&gt;"...","...","")</f>
        <v/>
      </c>
      <c r="K302" s="65" t="str">
        <f>IF(B302&lt;&gt;"...","...","")</f>
        <v/>
      </c>
      <c r="L302" s="65" t="str">
        <f>IF(B302&lt;&gt;"...","...","")</f>
        <v/>
      </c>
      <c r="M302" s="65" t="str">
        <f>IF(B302&lt;&gt;"...","...","")</f>
        <v/>
      </c>
      <c r="N302" s="65" t="str">
        <f>IF(B302&lt;&gt;"...","...","")</f>
        <v/>
      </c>
      <c r="O302" s="65" t="str">
        <f>IF(B302&lt;&gt;"...","...","")</f>
        <v/>
      </c>
      <c r="P302" s="65" t="str">
        <f>IF(B302&lt;&gt;"...","...","")</f>
        <v/>
      </c>
      <c r="Q302" s="65" t="str">
        <f>IF(B302&lt;&gt;"...","...","")</f>
        <v/>
      </c>
      <c r="R302" s="65" t="str">
        <f>IF(B302&lt;&gt;"...","...","")</f>
        <v/>
      </c>
      <c r="S302" s="65" t="str">
        <f>IF(B302&lt;&gt;"...","...","")</f>
        <v/>
      </c>
      <c r="T302" s="65" t="str">
        <f>IF(B302&lt;&gt;"...","...","")</f>
        <v/>
      </c>
      <c r="U302" s="65" t="str">
        <f>IF(B302&lt;&gt;"...","...","")</f>
        <v/>
      </c>
      <c r="V302" s="65" t="str">
        <f>IF(B302&lt;&gt;"...","...","")</f>
        <v/>
      </c>
    </row>
    <row r="303" spans="1:22" x14ac:dyDescent="0.55000000000000004">
      <c r="A303" s="41" t="s">
        <v>17</v>
      </c>
      <c r="B303" s="41" t="str">
        <f>IF(B298="MDR/XDR Treatment Program","Efficacy (After Completed Treatment)",IF(B298="XDR Treat Program","Efficacy (After Completed Treatment)",IF(B298="MDR Treat Program","Efficacy (After Completed Treatment)",IF(B298="DS Treat Program","Efficacy (After Completed Treatment)",IF(B298="Latency Treat Program","Efficacy (After Completed Treatment)",IF(B298="Strain Diag Program","Sensitivity (Detection Probability)",IF(B298="DR Targeted Diagnosis Program","Sensitivity (Detection Probability)",IF(B298="DS Targeted Diagnosis Program","Sensitivity (Detection Probability)",IF(B298="Vaccination Program","Vaccination Effectiveness Probability",IF(B298="Fixed Cost Program","...","..."))))))))))</f>
        <v>...</v>
      </c>
      <c r="C303" s="41" t="str">
        <f>IF(B303&lt;&gt;"...","Unique","")</f>
        <v/>
      </c>
      <c r="D303" s="39" t="str">
        <f>IF(B303&lt;&gt;"...",IF(SUMPRODUCT(--(F303:V303&lt;&gt;""))=0,0,"N.A."),"")</f>
        <v/>
      </c>
      <c r="E303" s="41" t="str">
        <f t="shared" si="27"/>
        <v/>
      </c>
      <c r="F303" s="40"/>
      <c r="G303" s="40"/>
      <c r="H303" s="40"/>
      <c r="I303" s="40"/>
      <c r="J303" s="40"/>
      <c r="K303" s="40"/>
      <c r="L303" s="40"/>
      <c r="M303" s="40"/>
      <c r="N303" s="40"/>
      <c r="O303" s="40"/>
      <c r="P303" s="40"/>
      <c r="Q303" s="40"/>
      <c r="R303" s="40"/>
      <c r="S303" s="40"/>
      <c r="T303" s="40"/>
      <c r="U303" s="40"/>
      <c r="V303" s="40"/>
    </row>
    <row r="304" spans="1:22" x14ac:dyDescent="0.55000000000000004">
      <c r="A304" s="41" t="s">
        <v>11</v>
      </c>
      <c r="B304" s="41" t="str">
        <f>IF(B298="MDR/XDR Treatment Program","Adherence Probability (Yearly)",IF(B298="XDR Treat Program","Adherence Probability (Yearly)",IF(B298="MDR Treat Program","Adherence Probability (Yearly)",IF(B298="DS Treat Program","Adherence Probability (Yearly)",IF(B298="Latency Treat Program","Adherence Probability (Yearly)",IF(B298="Strain Diag Program","Latents Identified (Per Active Case)",IF(B298="DR Targeted Diagnosis Program","Latents Identified (Per DR-TB Case)",IF(B298="DS Targeted Diagnosis Program","Latents Identified (Per DS-TB Case)",IF(B298="Vaccination Program","...",IF(B298="Fixed Cost Program","...","..."))))))))))</f>
        <v>...</v>
      </c>
      <c r="C304" s="41" t="str">
        <f>IF(B304&lt;&gt;"...","Unique","")</f>
        <v/>
      </c>
      <c r="D304" s="39" t="str">
        <f>IF(B304&lt;&gt;"...",IF(SUMPRODUCT(--(F304:V304&lt;&gt;""))=0,0,"N.A."),"")</f>
        <v/>
      </c>
      <c r="E304" s="41" t="str">
        <f t="shared" si="27"/>
        <v/>
      </c>
      <c r="F304" s="40"/>
      <c r="G304" s="40"/>
      <c r="H304" s="40"/>
      <c r="I304" s="40"/>
      <c r="J304" s="40"/>
      <c r="K304" s="40"/>
      <c r="L304" s="40"/>
      <c r="M304" s="40"/>
      <c r="N304" s="40"/>
      <c r="O304" s="40"/>
      <c r="P304" s="40"/>
      <c r="Q304" s="40"/>
      <c r="R304" s="40"/>
      <c r="S304" s="40"/>
      <c r="T304" s="40"/>
      <c r="U304" s="40"/>
      <c r="V304" s="40"/>
    </row>
    <row r="305" spans="1:22" x14ac:dyDescent="0.55000000000000004">
      <c r="A305" s="41" t="s">
        <v>11</v>
      </c>
      <c r="B305" s="41" t="str">
        <f>IF(B298="MDR/XDR Treatment Program","Treatment Duration (Months)",IF(B298="XDR Treat Program","Treatment Duration (Months)",IF(B298="MDR Treat Program","Treatment Duration (Months)",IF(B298="DS Treat Program","Treatment Duration (Months)",IF(B298="Latency Treat Program","Treatment Duration (Months)",IF(B298="Strain Diag Program","Latent Treatment Efficacy (After Completed Treatment)",IF(B298="DR Targeted Diagnosis Program","Latent Treatment Efficacy (After Completed Treatment)",IF(B298="DS Targeted Diagnosis Program","Latent Treatment Efficacy (After Completed Treatment)",IF(B298="Vaccination Program","...",IF(B298="Fixed Cost Program","...","..."))))))))))</f>
        <v>...</v>
      </c>
      <c r="C305" s="41" t="str">
        <f>IF(B305&lt;&gt;"...","Unique","")</f>
        <v/>
      </c>
      <c r="D305" s="39" t="str">
        <f>IF(B305&lt;&gt;"...",IF(SUMPRODUCT(--(F305:V305&lt;&gt;""))=0,0,"N.A."),"")</f>
        <v/>
      </c>
      <c r="E305" s="41" t="str">
        <f t="shared" si="27"/>
        <v/>
      </c>
      <c r="F305" s="64"/>
      <c r="G305" s="64"/>
      <c r="H305" s="64"/>
      <c r="I305" s="64"/>
      <c r="J305" s="64"/>
      <c r="K305" s="64"/>
      <c r="L305" s="64"/>
      <c r="M305" s="64"/>
      <c r="N305" s="64"/>
      <c r="O305" s="64"/>
      <c r="P305" s="64"/>
      <c r="Q305" s="64"/>
      <c r="R305" s="64"/>
      <c r="S305" s="64"/>
      <c r="T305" s="64"/>
      <c r="U305" s="64"/>
      <c r="V305" s="64"/>
    </row>
    <row r="306" spans="1:22" x14ac:dyDescent="0.55000000000000004">
      <c r="A306" s="41" t="s">
        <v>11</v>
      </c>
      <c r="B306" s="41" t="str">
        <f>IF(B298="MDR/XDR Treatment Program","...",IF(B298="XDR Treat Program","...",IF(B298="MDR Treat Program","...",IF(B298="DS Treat Program","...",IF(B298="Latency Treat Program","...",IF(B298="Strain Diag Program","Latent Treatment Adherence Probability (Yearly)",IF(B298="DR Targeted Diagnosis Program","Latent Treatment Adherence Probability (Yearly)",IF(B298="DS Targeted Diagnosis Program","Latent Treatment Adherence Probability (Yearly)",IF(B298="Vaccination Program","...",IF(B298="Fixed Cost Program","...","..."))))))))))</f>
        <v>...</v>
      </c>
      <c r="C306" s="41" t="str">
        <f>IF(B306&lt;&gt;"...","Unique","")</f>
        <v/>
      </c>
      <c r="D306" s="39" t="str">
        <f>IF(B306&lt;&gt;"...",IF(SUMPRODUCT(--(F306:V306&lt;&gt;""))=0,0,"N.A."),"")</f>
        <v/>
      </c>
      <c r="E306" s="41" t="str">
        <f t="shared" si="27"/>
        <v/>
      </c>
      <c r="F306" s="40"/>
      <c r="G306" s="40"/>
      <c r="H306" s="40"/>
      <c r="I306" s="40"/>
      <c r="J306" s="40"/>
      <c r="K306" s="40"/>
      <c r="L306" s="40"/>
      <c r="M306" s="40"/>
      <c r="N306" s="40"/>
      <c r="O306" s="40"/>
      <c r="P306" s="40"/>
      <c r="Q306" s="40"/>
      <c r="R306" s="40"/>
      <c r="S306" s="40"/>
      <c r="T306" s="40"/>
      <c r="U306" s="40"/>
      <c r="V306" s="40"/>
    </row>
    <row r="307" spans="1:22" x14ac:dyDescent="0.55000000000000004">
      <c r="A307" s="41" t="s">
        <v>11</v>
      </c>
      <c r="B307" s="41" t="str">
        <f>IF(B298="MDR/XDR Treatment Program","...",IF(B298="XDR Treat Program","...",IF(B298="MDR Treat Program","...",IF(B298="DS Treat Program","...",IF(B298="Latency Treat Program","...",IF(B298="Strain Diag Program","Latent Treatment Duration (Months)",IF(B298="DR Targeted Diagnosis Program","Latent Treatment Duration (Months)",IF(B298="DS Targeted Diagnosis Program","Latent Treatment Duration (Months)",IF(B298="Vaccination Program","...",IF(B298="Fixed Cost Program","...","..."))))))))))</f>
        <v>...</v>
      </c>
      <c r="C307" s="41" t="str">
        <f>IF(B307&lt;&gt;"...","Unique","")</f>
        <v/>
      </c>
      <c r="D307" s="39" t="str">
        <f>IF(B307&lt;&gt;"...",IF(SUMPRODUCT(--(F307:V307&lt;&gt;""))=0,0,"N.A."),"")</f>
        <v/>
      </c>
      <c r="E307" s="41" t="str">
        <f t="shared" si="27"/>
        <v/>
      </c>
      <c r="F307" s="40"/>
      <c r="G307" s="40"/>
      <c r="H307" s="40"/>
      <c r="I307" s="40"/>
      <c r="J307" s="40"/>
      <c r="K307" s="40"/>
      <c r="L307" s="40"/>
      <c r="M307" s="40"/>
      <c r="N307" s="40"/>
      <c r="O307" s="40"/>
      <c r="P307" s="40"/>
      <c r="Q307" s="40"/>
      <c r="R307" s="40"/>
      <c r="S307" s="40"/>
      <c r="T307" s="40"/>
      <c r="U307" s="40"/>
      <c r="V307" s="40"/>
    </row>
    <row r="308" spans="1:22" x14ac:dyDescent="0.55000000000000004">
      <c r="A308" s="41"/>
    </row>
    <row r="309" spans="1:22" x14ac:dyDescent="0.55000000000000004">
      <c r="A309" s="41" t="str">
        <f>'Program Definitions'!$A$30</f>
        <v>Other Costs</v>
      </c>
      <c r="B309" s="41" t="s">
        <v>228</v>
      </c>
      <c r="C309" s="41"/>
      <c r="D309" s="41"/>
      <c r="E309" s="41"/>
      <c r="F309" s="41"/>
      <c r="G309" s="41"/>
      <c r="H309" s="41"/>
      <c r="I309" s="41"/>
      <c r="J309" s="41"/>
      <c r="K309" s="41"/>
      <c r="L309" s="41"/>
      <c r="M309" s="41"/>
      <c r="N309" s="41"/>
      <c r="O309" s="41"/>
      <c r="P309" s="41"/>
      <c r="Q309" s="41"/>
      <c r="R309" s="41"/>
      <c r="S309" s="41"/>
      <c r="T309" s="41"/>
      <c r="U309" s="41"/>
      <c r="V309" s="41"/>
    </row>
    <row r="310" spans="1:22" x14ac:dyDescent="0.55000000000000004">
      <c r="A310" s="41" t="s">
        <v>11</v>
      </c>
      <c r="B310" s="41"/>
      <c r="C310" s="41" t="s">
        <v>8</v>
      </c>
      <c r="D310" s="41" t="s">
        <v>9</v>
      </c>
      <c r="E310" s="41"/>
      <c r="F310" s="41">
        <v>2000</v>
      </c>
      <c r="G310" s="41">
        <v>2001</v>
      </c>
      <c r="H310" s="41">
        <v>2002</v>
      </c>
      <c r="I310" s="41">
        <v>2003</v>
      </c>
      <c r="J310" s="41">
        <v>2004</v>
      </c>
      <c r="K310" s="41">
        <v>2005</v>
      </c>
      <c r="L310" s="41">
        <v>2006</v>
      </c>
      <c r="M310" s="41">
        <v>2007</v>
      </c>
      <c r="N310" s="41">
        <v>2008</v>
      </c>
      <c r="O310" s="41">
        <v>2009</v>
      </c>
      <c r="P310" s="41">
        <v>2010</v>
      </c>
      <c r="Q310" s="41">
        <v>2011</v>
      </c>
      <c r="R310" s="41">
        <v>2012</v>
      </c>
      <c r="S310" s="41">
        <v>2013</v>
      </c>
      <c r="T310" s="41">
        <v>2014</v>
      </c>
      <c r="U310" s="41">
        <v>2015</v>
      </c>
      <c r="V310" s="41">
        <v>2016</v>
      </c>
    </row>
    <row r="311" spans="1:22" x14ac:dyDescent="0.55000000000000004">
      <c r="A311" s="41" t="s">
        <v>12</v>
      </c>
      <c r="B311" s="41" t="str">
        <f>IF(B309="Fixed Cost Program","...","Program Coverage")</f>
        <v>...</v>
      </c>
      <c r="C311" s="41" t="str">
        <f>IF(B311&lt;&gt;"...","Number","")</f>
        <v/>
      </c>
      <c r="D311" s="39" t="str">
        <f>IF(B311&lt;&gt;"...",IF(SUMPRODUCT(--(F311:V311&lt;&gt;""))=0,0,"N.A."),"")</f>
        <v/>
      </c>
      <c r="E311" s="41" t="str">
        <f>IF(B311&lt;&gt;"...","OR","")</f>
        <v/>
      </c>
      <c r="F311" s="60"/>
      <c r="G311" s="60"/>
      <c r="H311" s="60"/>
      <c r="I311" s="60"/>
      <c r="J311" s="60"/>
      <c r="K311" s="60"/>
      <c r="L311" s="60"/>
      <c r="M311" s="60"/>
      <c r="N311" s="60"/>
      <c r="O311" s="60"/>
      <c r="P311" s="60"/>
      <c r="Q311" s="60"/>
      <c r="R311" s="60"/>
      <c r="S311" s="60"/>
      <c r="T311" s="60"/>
      <c r="U311" s="60"/>
      <c r="V311" s="44"/>
    </row>
    <row r="312" spans="1:22" x14ac:dyDescent="0.55000000000000004">
      <c r="A312" s="41" t="s">
        <v>11</v>
      </c>
      <c r="B312" s="41" t="s">
        <v>13</v>
      </c>
      <c r="C312" s="41" t="s">
        <v>15</v>
      </c>
      <c r="D312" s="39" t="str">
        <f>IF(SUMPRODUCT(--(F312:V312&lt;&gt;""))=0,0,"N.A.")</f>
        <v>N.A.</v>
      </c>
      <c r="E312" s="41" t="s">
        <v>16</v>
      </c>
      <c r="F312" s="65"/>
      <c r="G312" s="65"/>
      <c r="H312" s="65"/>
      <c r="I312" s="65"/>
      <c r="J312" s="65"/>
      <c r="K312" s="65"/>
      <c r="L312" s="65"/>
      <c r="M312" s="65"/>
      <c r="N312" s="65"/>
      <c r="O312" s="65"/>
      <c r="P312" s="65"/>
      <c r="Q312" s="65"/>
      <c r="R312" s="65"/>
      <c r="S312" s="65"/>
      <c r="T312" s="65"/>
      <c r="U312" s="65"/>
      <c r="V312" s="72">
        <f>6112950.07944942-1030006.3699157</f>
        <v>5082943.7095337193</v>
      </c>
    </row>
    <row r="313" spans="1:22" x14ac:dyDescent="0.55000000000000004">
      <c r="A313" s="41" t="s">
        <v>11</v>
      </c>
      <c r="B313" s="41" t="str">
        <f>IF(B309="Fixed Cost Program","...",CONCATENATE("Unit Cost Estimate",IF(C311="Fraction"," (Per 1%)","")))</f>
        <v>...</v>
      </c>
      <c r="C313" s="41" t="str">
        <f>IF(B313&lt;&gt;"...","USD","")</f>
        <v/>
      </c>
      <c r="D313" s="66" t="str">
        <f>IF(B313&lt;&gt;"...",IF(SUMPRODUCT(--(F313:V313&lt;&gt;"..."))=0,1E+300,"N.A."),"")</f>
        <v/>
      </c>
      <c r="E313" s="41" t="str">
        <f t="shared" ref="E313:E318" si="28">IF(B313&lt;&gt;"...","OR","")</f>
        <v/>
      </c>
      <c r="F313" s="65" t="str">
        <f>IF(B313&lt;&gt;"...","...","")</f>
        <v/>
      </c>
      <c r="G313" s="65" t="str">
        <f>IF(B313&lt;&gt;"...","...","")</f>
        <v/>
      </c>
      <c r="H313" s="65" t="str">
        <f>IF(B313&lt;&gt;"...","...","")</f>
        <v/>
      </c>
      <c r="I313" s="65" t="str">
        <f>IF(B313&lt;&gt;"...","...","")</f>
        <v/>
      </c>
      <c r="J313" s="65" t="str">
        <f>IF(B313&lt;&gt;"...","...","")</f>
        <v/>
      </c>
      <c r="K313" s="65" t="str">
        <f>IF(B313&lt;&gt;"...","...","")</f>
        <v/>
      </c>
      <c r="L313" s="65" t="str">
        <f>IF(B313&lt;&gt;"...","...","")</f>
        <v/>
      </c>
      <c r="M313" s="65" t="str">
        <f>IF(B313&lt;&gt;"...","...","")</f>
        <v/>
      </c>
      <c r="N313" s="65" t="str">
        <f>IF(B313&lt;&gt;"...","...","")</f>
        <v/>
      </c>
      <c r="O313" s="65" t="str">
        <f>IF(B313&lt;&gt;"...","...","")</f>
        <v/>
      </c>
      <c r="P313" s="65" t="str">
        <f>IF(B313&lt;&gt;"...","...","")</f>
        <v/>
      </c>
      <c r="Q313" s="65" t="str">
        <f>IF(B313&lt;&gt;"...","...","")</f>
        <v/>
      </c>
      <c r="R313" s="65" t="str">
        <f>IF(B313&lt;&gt;"...","...","")</f>
        <v/>
      </c>
      <c r="S313" s="65" t="str">
        <f>IF(B313&lt;&gt;"...","...","")</f>
        <v/>
      </c>
      <c r="T313" s="65" t="str">
        <f>IF(B313&lt;&gt;"...","...","")</f>
        <v/>
      </c>
      <c r="U313" s="65" t="str">
        <f>IF(B313&lt;&gt;"...","...","")</f>
        <v/>
      </c>
      <c r="V313" s="65" t="str">
        <f>IF(B313&lt;&gt;"...","...","")</f>
        <v/>
      </c>
    </row>
    <row r="314" spans="1:22" x14ac:dyDescent="0.55000000000000004">
      <c r="A314" s="41" t="s">
        <v>17</v>
      </c>
      <c r="B314" s="41" t="str">
        <f>IF(B309="MDR/XDR Treatment Program","Efficacy (After Completed Treatment)",IF(B309="XDR Treat Program","Efficacy (After Completed Treatment)",IF(B309="MDR Treat Program","Efficacy (After Completed Treatment)",IF(B309="DS Treat Program","Efficacy (After Completed Treatment)",IF(B309="Latency Treat Program","Efficacy (After Completed Treatment)",IF(B309="Strain Diag Program","Sensitivity (Detection Probability)",IF(B309="DR Targeted Diagnosis Program","Sensitivity (Detection Probability)",IF(B309="DS Targeted Diagnosis Program","Sensitivity (Detection Probability)",IF(B309="Vaccination Program","Vaccination Effectiveness Probability",IF(B309="Fixed Cost Program","...","..."))))))))))</f>
        <v>...</v>
      </c>
      <c r="C314" s="41" t="str">
        <f>IF(B314&lt;&gt;"...","Unique","")</f>
        <v/>
      </c>
      <c r="D314" s="39" t="str">
        <f>IF(B314&lt;&gt;"...",IF(SUMPRODUCT(--(F314:V314&lt;&gt;""))=0,0,"N.A."),"")</f>
        <v/>
      </c>
      <c r="E314" s="41" t="str">
        <f t="shared" si="28"/>
        <v/>
      </c>
      <c r="F314" s="40"/>
      <c r="G314" s="40"/>
      <c r="H314" s="40"/>
      <c r="I314" s="40"/>
      <c r="J314" s="40"/>
      <c r="K314" s="40"/>
      <c r="L314" s="40"/>
      <c r="M314" s="40"/>
      <c r="N314" s="40"/>
      <c r="O314" s="40"/>
      <c r="P314" s="40"/>
      <c r="Q314" s="40"/>
      <c r="R314" s="40"/>
      <c r="S314" s="40"/>
      <c r="T314" s="40"/>
      <c r="U314" s="40"/>
      <c r="V314" s="40"/>
    </row>
    <row r="315" spans="1:22" x14ac:dyDescent="0.55000000000000004">
      <c r="A315" s="41" t="s">
        <v>11</v>
      </c>
      <c r="B315" s="41" t="str">
        <f>IF(B309="MDR/XDR Treatment Program","Adherence Probability (Yearly)",IF(B309="XDR Treat Program","Adherence Probability (Yearly)",IF(B309="MDR Treat Program","Adherence Probability (Yearly)",IF(B309="DS Treat Program","Adherence Probability (Yearly)",IF(B309="Latency Treat Program","Adherence Probability (Yearly)",IF(B309="Strain Diag Program","Latents Identified (Per Active Case)",IF(B309="DR Targeted Diagnosis Program","Latents Identified (Per DR-TB Case)",IF(B309="DS Targeted Diagnosis Program","Latents Identified (Per DS-TB Case)",IF(B309="Vaccination Program","...",IF(B309="Fixed Cost Program","...","..."))))))))))</f>
        <v>...</v>
      </c>
      <c r="C315" s="41" t="str">
        <f>IF(B315&lt;&gt;"...","Unique","")</f>
        <v/>
      </c>
      <c r="D315" s="39" t="str">
        <f>IF(B315&lt;&gt;"...",IF(SUMPRODUCT(--(F315:V315&lt;&gt;""))=0,0,"N.A."),"")</f>
        <v/>
      </c>
      <c r="E315" s="41" t="str">
        <f t="shared" si="28"/>
        <v/>
      </c>
      <c r="F315" s="40"/>
      <c r="G315" s="40"/>
      <c r="H315" s="40"/>
      <c r="I315" s="40"/>
      <c r="J315" s="40"/>
      <c r="K315" s="40"/>
      <c r="L315" s="40"/>
      <c r="M315" s="40"/>
      <c r="N315" s="40"/>
      <c r="O315" s="40"/>
      <c r="P315" s="40"/>
      <c r="Q315" s="40"/>
      <c r="R315" s="40"/>
      <c r="S315" s="40"/>
      <c r="T315" s="40"/>
      <c r="U315" s="40"/>
      <c r="V315" s="40"/>
    </row>
    <row r="316" spans="1:22" x14ac:dyDescent="0.55000000000000004">
      <c r="A316" s="41" t="s">
        <v>11</v>
      </c>
      <c r="B316" s="41" t="str">
        <f>IF(B309="MDR/XDR Treatment Program","Treatment Duration (Months)",IF(B309="XDR Treat Program","Treatment Duration (Months)",IF(B309="MDR Treat Program","Treatment Duration (Months)",IF(B309="DS Treat Program","Treatment Duration (Months)",IF(B309="Latency Treat Program","Treatment Duration (Months)",IF(B309="Strain Diag Program","Latent Treatment Efficacy (After Completed Treatment)",IF(B309="DR Targeted Diagnosis Program","Latent Treatment Efficacy (After Completed Treatment)",IF(B309="DS Targeted Diagnosis Program","Latent Treatment Efficacy (After Completed Treatment)",IF(B309="Vaccination Program","...",IF(B309="Fixed Cost Program","...","..."))))))))))</f>
        <v>...</v>
      </c>
      <c r="C316" s="41" t="str">
        <f>IF(B316&lt;&gt;"...","Unique","")</f>
        <v/>
      </c>
      <c r="D316" s="39" t="str">
        <f>IF(B316&lt;&gt;"...",IF(SUMPRODUCT(--(F316:V316&lt;&gt;""))=0,0,"N.A."),"")</f>
        <v/>
      </c>
      <c r="E316" s="41" t="str">
        <f t="shared" si="28"/>
        <v/>
      </c>
      <c r="F316" s="64"/>
      <c r="G316" s="64"/>
      <c r="H316" s="64"/>
      <c r="I316" s="64"/>
      <c r="J316" s="64"/>
      <c r="K316" s="64"/>
      <c r="L316" s="64"/>
      <c r="M316" s="64"/>
      <c r="N316" s="64"/>
      <c r="O316" s="64"/>
      <c r="P316" s="64"/>
      <c r="Q316" s="64"/>
      <c r="R316" s="64"/>
      <c r="S316" s="64"/>
      <c r="T316" s="64"/>
      <c r="U316" s="64"/>
      <c r="V316" s="64"/>
    </row>
    <row r="317" spans="1:22" x14ac:dyDescent="0.55000000000000004">
      <c r="A317" s="41" t="s">
        <v>11</v>
      </c>
      <c r="B317" s="41" t="str">
        <f>IF(B309="MDR/XDR Treatment Program","...",IF(B309="XDR Treat Program","...",IF(B309="MDR Treat Program","...",IF(B309="DS Treat Program","...",IF(B309="Latency Treat Program","...",IF(B309="Strain Diag Program","Latent Treatment Adherence Probability (Yearly)",IF(B309="DR Targeted Diagnosis Program","Latent Treatment Adherence Probability (Yearly)",IF(B309="DS Targeted Diagnosis Program","Latent Treatment Adherence Probability (Yearly)",IF(B309="Vaccination Program","...",IF(B309="Fixed Cost Program","...","..."))))))))))</f>
        <v>...</v>
      </c>
      <c r="C317" s="41" t="str">
        <f>IF(B317&lt;&gt;"...","Unique","")</f>
        <v/>
      </c>
      <c r="D317" s="39" t="str">
        <f>IF(B317&lt;&gt;"...",IF(SUMPRODUCT(--(F317:V317&lt;&gt;""))=0,0,"N.A."),"")</f>
        <v/>
      </c>
      <c r="E317" s="41" t="str">
        <f t="shared" si="28"/>
        <v/>
      </c>
      <c r="F317" s="40"/>
      <c r="G317" s="40"/>
      <c r="H317" s="40"/>
      <c r="I317" s="40"/>
      <c r="J317" s="40"/>
      <c r="K317" s="40"/>
      <c r="L317" s="40"/>
      <c r="M317" s="40"/>
      <c r="N317" s="40"/>
      <c r="O317" s="40"/>
      <c r="P317" s="40"/>
      <c r="Q317" s="40"/>
      <c r="R317" s="40"/>
      <c r="S317" s="40"/>
      <c r="T317" s="40"/>
      <c r="U317" s="40"/>
      <c r="V317" s="40"/>
    </row>
    <row r="318" spans="1:22" x14ac:dyDescent="0.55000000000000004">
      <c r="A318" s="41" t="s">
        <v>11</v>
      </c>
      <c r="B318" s="41" t="str">
        <f>IF(B309="MDR/XDR Treatment Program","...",IF(B309="XDR Treat Program","...",IF(B309="MDR Treat Program","...",IF(B309="DS Treat Program","...",IF(B309="Latency Treat Program","...",IF(B309="Strain Diag Program","Latent Treatment Duration (Months)",IF(B309="DR Targeted Diagnosis Program","Latent Treatment Duration (Months)",IF(B309="DS Targeted Diagnosis Program","Latent Treatment Duration (Months)",IF(B309="Vaccination Program","...",IF(B309="Fixed Cost Program","...","..."))))))))))</f>
        <v>...</v>
      </c>
      <c r="C318" s="41" t="str">
        <f>IF(B318&lt;&gt;"...","Unique","")</f>
        <v/>
      </c>
      <c r="D318" s="39" t="str">
        <f>IF(B318&lt;&gt;"...",IF(SUMPRODUCT(--(F318:V318&lt;&gt;""))=0,0,"N.A."),"")</f>
        <v/>
      </c>
      <c r="E318" s="41" t="str">
        <f t="shared" si="28"/>
        <v/>
      </c>
      <c r="F318" s="40"/>
      <c r="G318" s="40"/>
      <c r="H318" s="40"/>
      <c r="I318" s="40"/>
      <c r="J318" s="40"/>
      <c r="K318" s="40"/>
      <c r="L318" s="40"/>
      <c r="M318" s="40"/>
      <c r="N318" s="40"/>
      <c r="O318" s="40"/>
      <c r="P318" s="40"/>
      <c r="Q318" s="40"/>
      <c r="R318" s="40"/>
      <c r="S318" s="40"/>
      <c r="T318" s="40"/>
      <c r="U318" s="40"/>
      <c r="V318" s="40"/>
    </row>
    <row r="319" spans="1:22" x14ac:dyDescent="0.55000000000000004">
      <c r="A319" s="41"/>
    </row>
    <row r="320" spans="1:22" x14ac:dyDescent="0.55000000000000004">
      <c r="A320" s="41" t="str">
        <f>'Program Definitions'!$A$31</f>
        <v>Passive Case Finding (HIV-)</v>
      </c>
      <c r="B320" s="41" t="s">
        <v>222</v>
      </c>
      <c r="C320" s="41"/>
      <c r="D320" s="41"/>
      <c r="E320" s="41"/>
      <c r="F320" s="41"/>
      <c r="G320" s="41"/>
      <c r="H320" s="41"/>
      <c r="I320" s="41"/>
      <c r="J320" s="41"/>
      <c r="K320" s="41"/>
      <c r="L320" s="41"/>
      <c r="M320" s="41"/>
      <c r="N320" s="41"/>
      <c r="O320" s="41"/>
      <c r="P320" s="41"/>
      <c r="Q320" s="41"/>
      <c r="R320" s="41"/>
      <c r="S320" s="41"/>
      <c r="T320" s="41"/>
      <c r="U320" s="41"/>
      <c r="V320" s="41"/>
    </row>
    <row r="321" spans="1:26" x14ac:dyDescent="0.55000000000000004">
      <c r="A321" s="41" t="s">
        <v>11</v>
      </c>
      <c r="B321" s="41"/>
      <c r="C321" s="41" t="s">
        <v>8</v>
      </c>
      <c r="D321" s="41" t="s">
        <v>9</v>
      </c>
      <c r="E321" s="41"/>
      <c r="F321" s="41">
        <v>2000</v>
      </c>
      <c r="G321" s="41">
        <v>2001</v>
      </c>
      <c r="H321" s="41">
        <v>2002</v>
      </c>
      <c r="I321" s="41">
        <v>2003</v>
      </c>
      <c r="J321" s="41">
        <v>2004</v>
      </c>
      <c r="K321" s="41">
        <v>2005</v>
      </c>
      <c r="L321" s="41">
        <v>2006</v>
      </c>
      <c r="M321" s="41">
        <v>2007</v>
      </c>
      <c r="N321" s="41">
        <v>2008</v>
      </c>
      <c r="O321" s="41">
        <v>2009</v>
      </c>
      <c r="P321" s="41">
        <v>2010</v>
      </c>
      <c r="Q321" s="41">
        <v>2011</v>
      </c>
      <c r="R321" s="41">
        <v>2012</v>
      </c>
      <c r="S321" s="41">
        <v>2013</v>
      </c>
      <c r="T321" s="41">
        <v>2014</v>
      </c>
      <c r="U321" s="41">
        <v>2015</v>
      </c>
      <c r="V321" s="41">
        <v>2016</v>
      </c>
    </row>
    <row r="322" spans="1:26" x14ac:dyDescent="0.55000000000000004">
      <c r="A322" s="41" t="s">
        <v>12</v>
      </c>
      <c r="B322" s="41" t="str">
        <f>IF(B320="Fixed Cost Program","...","Program Coverage")</f>
        <v>Program Coverage</v>
      </c>
      <c r="C322" s="41" t="str">
        <f>IF(B322&lt;&gt;"...","Number","")</f>
        <v>Number</v>
      </c>
      <c r="D322" s="39" t="str">
        <f>IF(B322&lt;&gt;"...",IF(SUMPRODUCT(--(F322:V322&lt;&gt;""))=0,0,"N.A."),"")</f>
        <v>N.A.</v>
      </c>
      <c r="E322" s="41" t="str">
        <f>IF(B322&lt;&gt;"...","OR","")</f>
        <v>OR</v>
      </c>
      <c r="F322" s="60"/>
      <c r="G322" s="60"/>
      <c r="H322" s="60"/>
      <c r="I322" s="60"/>
      <c r="J322" s="60"/>
      <c r="K322" s="60"/>
      <c r="L322" s="60"/>
      <c r="M322" s="60"/>
      <c r="N322" s="60"/>
      <c r="O322" s="60"/>
      <c r="P322" s="60"/>
      <c r="Q322" s="60"/>
      <c r="R322" s="60"/>
      <c r="S322" s="60"/>
      <c r="T322" s="60"/>
      <c r="U322" s="60"/>
      <c r="V322" s="44">
        <f>16000-(V14*V17)</f>
        <v>9859.0062399999988</v>
      </c>
    </row>
    <row r="323" spans="1:26" x14ac:dyDescent="0.55000000000000004">
      <c r="A323" s="41" t="s">
        <v>11</v>
      </c>
      <c r="B323" s="41" t="s">
        <v>13</v>
      </c>
      <c r="C323" s="41" t="s">
        <v>15</v>
      </c>
      <c r="D323" s="39" t="str">
        <f>IF(SUMPRODUCT(--(F323:V323&lt;&gt;""))=0,0,"N.A.")</f>
        <v>N.A.</v>
      </c>
      <c r="E323" s="41" t="s">
        <v>16</v>
      </c>
      <c r="F323" s="65"/>
      <c r="G323" s="65"/>
      <c r="H323" s="65"/>
      <c r="I323" s="65"/>
      <c r="J323" s="65"/>
      <c r="K323" s="65"/>
      <c r="L323" s="65"/>
      <c r="M323" s="65"/>
      <c r="N323" s="65"/>
      <c r="O323" s="65"/>
      <c r="P323" s="65"/>
      <c r="Q323" s="65"/>
      <c r="R323" s="65"/>
      <c r="S323" s="65"/>
      <c r="T323" s="65"/>
      <c r="U323" s="65"/>
      <c r="V323" s="72">
        <f>V322*D324</f>
        <v>9020990.7095999997</v>
      </c>
    </row>
    <row r="324" spans="1:26" x14ac:dyDescent="0.55000000000000004">
      <c r="A324" s="41" t="s">
        <v>11</v>
      </c>
      <c r="B324" s="41" t="str">
        <f>IF(B320="Fixed Cost Program","...",CONCATENATE("Unit Cost Estimate",IF(C322="Fraction"," (Per 1%)","")))</f>
        <v>Unit Cost Estimate</v>
      </c>
      <c r="C324" s="41" t="str">
        <f>IF(B324&lt;&gt;"...","USD","")</f>
        <v>USD</v>
      </c>
      <c r="D324" s="66">
        <v>915</v>
      </c>
      <c r="E324" s="41" t="str">
        <f t="shared" ref="E324:E329" si="29">IF(B324&lt;&gt;"...","OR","")</f>
        <v>OR</v>
      </c>
      <c r="F324" s="65" t="str">
        <f>IF(B324&lt;&gt;"...","...","")</f>
        <v>...</v>
      </c>
      <c r="G324" s="65" t="str">
        <f>IF(B324&lt;&gt;"...","...","")</f>
        <v>...</v>
      </c>
      <c r="H324" s="65" t="str">
        <f>IF(B324&lt;&gt;"...","...","")</f>
        <v>...</v>
      </c>
      <c r="I324" s="65" t="str">
        <f>IF(B324&lt;&gt;"...","...","")</f>
        <v>...</v>
      </c>
      <c r="J324" s="65" t="str">
        <f>IF(B324&lt;&gt;"...","...","")</f>
        <v>...</v>
      </c>
      <c r="K324" s="65" t="str">
        <f>IF(B324&lt;&gt;"...","...","")</f>
        <v>...</v>
      </c>
      <c r="L324" s="65" t="str">
        <f>IF(B324&lt;&gt;"...","...","")</f>
        <v>...</v>
      </c>
      <c r="M324" s="65" t="str">
        <f>IF(B324&lt;&gt;"...","...","")</f>
        <v>...</v>
      </c>
      <c r="N324" s="65" t="str">
        <f>IF(B324&lt;&gt;"...","...","")</f>
        <v>...</v>
      </c>
      <c r="O324" s="65" t="str">
        <f>IF(B324&lt;&gt;"...","...","")</f>
        <v>...</v>
      </c>
      <c r="P324" s="65" t="str">
        <f>IF(B324&lt;&gt;"...","...","")</f>
        <v>...</v>
      </c>
      <c r="Q324" s="65" t="str">
        <f>IF(B324&lt;&gt;"...","...","")</f>
        <v>...</v>
      </c>
      <c r="R324" s="65" t="str">
        <f>IF(B324&lt;&gt;"...","...","")</f>
        <v>...</v>
      </c>
      <c r="S324" s="65" t="str">
        <f>IF(B324&lt;&gt;"...","...","")</f>
        <v>...</v>
      </c>
      <c r="T324" s="65" t="str">
        <f>IF(B324&lt;&gt;"...","...","")</f>
        <v>...</v>
      </c>
      <c r="U324" s="65" t="str">
        <f>IF(B324&lt;&gt;"...","...","")</f>
        <v>...</v>
      </c>
      <c r="V324" s="65" t="str">
        <f>IF(B324&lt;&gt;"...","...","")</f>
        <v>...</v>
      </c>
    </row>
    <row r="325" spans="1:26" x14ac:dyDescent="0.55000000000000004">
      <c r="A325" s="41" t="s">
        <v>17</v>
      </c>
      <c r="B325" s="41" t="str">
        <f>IF(B320="MDR/XDR Treatment Program","Efficacy (After Completed Treatment)",IF(B320="XDR Treat Program","Efficacy (After Completed Treatment)",IF(B320="MDR Treat Program","Efficacy (After Completed Treatment)",IF(B320="DS Treat Program","Efficacy (After Completed Treatment)",IF(B320="Latency Treat Program","Efficacy (After Completed Treatment)",IF(B320="Strain Diag Program","Sensitivity (Detection Probability)",IF(B320="DR Targeted Diagnosis Program","Sensitivity (Detection Probability)",IF(B320="DS Targeted Diagnosis Program","Sensitivity (Detection Probability)",IF(B320="Vaccination Program","Vaccination Effectiveness Probability",IF(B320="Fixed Cost Program","...","..."))))))))))</f>
        <v>Sensitivity (Detection Probability)</v>
      </c>
      <c r="C325" s="41" t="str">
        <f>IF(B325&lt;&gt;"...","Unique","")</f>
        <v>Unique</v>
      </c>
      <c r="D325" s="39" t="str">
        <f>IF(B325&lt;&gt;"...",IF(SUMPRODUCT(--(F325:V325&lt;&gt;""))=0,0,"N.A."),"")</f>
        <v>N.A.</v>
      </c>
      <c r="E325" s="41" t="str">
        <f t="shared" si="29"/>
        <v>OR</v>
      </c>
      <c r="F325" s="40"/>
      <c r="G325" s="40"/>
      <c r="H325" s="40"/>
      <c r="I325" s="40"/>
      <c r="J325" s="40"/>
      <c r="K325" s="40"/>
      <c r="L325" s="40"/>
      <c r="M325" s="40"/>
      <c r="N325" s="40"/>
      <c r="O325" s="40"/>
      <c r="P325" s="40"/>
      <c r="Q325" s="40"/>
      <c r="R325" s="40"/>
      <c r="S325" s="40"/>
      <c r="T325" s="40"/>
      <c r="U325" s="40"/>
      <c r="V325" s="40">
        <v>0.88</v>
      </c>
    </row>
    <row r="326" spans="1:26" x14ac:dyDescent="0.55000000000000004">
      <c r="A326" s="41" t="s">
        <v>11</v>
      </c>
      <c r="B326" s="41" t="str">
        <f>IF(B320="MDR/XDR Treatment Program","Adherence Probability (Yearly)",IF(B320="XDR Treat Program","Adherence Probability (Yearly)",IF(B320="MDR Treat Program","Adherence Probability (Yearly)",IF(B320="DS Treat Program","Adherence Probability (Yearly)",IF(B320="Latency Treat Program","Adherence Probability (Yearly)",IF(B320="Strain Diag Program","Latents Identified (Per Active Case)",IF(B320="DR Targeted Diagnosis Program","Latents Identified (Per DR-TB Case)",IF(B320="DS Targeted Diagnosis Program","Latents Identified (Per DS-TB Case)",IF(B320="Vaccination Program","...",IF(B320="Fixed Cost Program","...","..."))))))))))</f>
        <v>Latents Identified (Per Active Case)</v>
      </c>
      <c r="C326" s="41" t="str">
        <f>IF(B326&lt;&gt;"...","Unique","")</f>
        <v>Unique</v>
      </c>
      <c r="D326" s="39" t="str">
        <f>IF(B326&lt;&gt;"...",IF(SUMPRODUCT(--(F326:V326&lt;&gt;""))=0,0,"N.A."),"")</f>
        <v>N.A.</v>
      </c>
      <c r="E326" s="41" t="str">
        <f t="shared" si="29"/>
        <v>OR</v>
      </c>
      <c r="F326" s="40"/>
      <c r="G326" s="40"/>
      <c r="H326" s="40"/>
      <c r="I326" s="40"/>
      <c r="J326" s="40"/>
      <c r="K326" s="40"/>
      <c r="L326" s="40"/>
      <c r="M326" s="40"/>
      <c r="N326" s="40"/>
      <c r="O326" s="40"/>
      <c r="P326" s="40"/>
      <c r="Q326" s="40"/>
      <c r="R326" s="40"/>
      <c r="S326" s="40"/>
      <c r="T326" s="40"/>
      <c r="U326" s="40"/>
      <c r="V326" s="40">
        <v>0</v>
      </c>
    </row>
    <row r="327" spans="1:26" x14ac:dyDescent="0.55000000000000004">
      <c r="A327" s="41" t="s">
        <v>11</v>
      </c>
      <c r="B327" s="41" t="str">
        <f>IF(B320="MDR/XDR Treatment Program","Treatment Duration (Months)",IF(B320="XDR Treat Program","Treatment Duration (Months)",IF(B320="MDR Treat Program","Treatment Duration (Months)",IF(B320="DS Treat Program","Treatment Duration (Months)",IF(B320="Latency Treat Program","Treatment Duration (Months)",IF(B320="Strain Diag Program","Latent Treatment Efficacy (After Completed Treatment)",IF(B320="DR Targeted Diagnosis Program","Latent Treatment Efficacy (After Completed Treatment)",IF(B320="DS Targeted Diagnosis Program","Latent Treatment Efficacy (After Completed Treatment)",IF(B320="Vaccination Program","...",IF(B320="Fixed Cost Program","...","..."))))))))))</f>
        <v>Latent Treatment Efficacy (After Completed Treatment)</v>
      </c>
      <c r="C327" s="41" t="str">
        <f>IF(B327&lt;&gt;"...","Unique","")</f>
        <v>Unique</v>
      </c>
      <c r="D327" s="39" t="str">
        <f>IF(B327&lt;&gt;"...",IF(SUMPRODUCT(--(F327:V327&lt;&gt;""))=0,0,"N.A."),"")</f>
        <v>N.A.</v>
      </c>
      <c r="E327" s="41" t="str">
        <f t="shared" si="29"/>
        <v>OR</v>
      </c>
      <c r="F327" s="64"/>
      <c r="G327" s="64"/>
      <c r="H327" s="64"/>
      <c r="I327" s="64"/>
      <c r="J327" s="64"/>
      <c r="K327" s="64"/>
      <c r="L327" s="64"/>
      <c r="M327" s="64"/>
      <c r="N327" s="64"/>
      <c r="O327" s="64"/>
      <c r="P327" s="64"/>
      <c r="Q327" s="64"/>
      <c r="R327" s="64"/>
      <c r="S327" s="64"/>
      <c r="T327" s="64"/>
      <c r="U327" s="64"/>
      <c r="V327" s="64">
        <v>0</v>
      </c>
    </row>
    <row r="328" spans="1:26" x14ac:dyDescent="0.55000000000000004">
      <c r="A328" s="41" t="s">
        <v>11</v>
      </c>
      <c r="B328" s="41" t="str">
        <f>IF(B320="MDR/XDR Treatment Program","...",IF(B320="XDR Treat Program","...",IF(B320="MDR Treat Program","...",IF(B320="DS Treat Program","...",IF(B320="Latency Treat Program","...",IF(B320="Strain Diag Program","Latent Treatment Adherence Probability (Yearly)",IF(B320="DR Targeted Diagnosis Program","Latent Treatment Adherence Probability (Yearly)",IF(B320="DS Targeted Diagnosis Program","Latent Treatment Adherence Probability (Yearly)",IF(B320="Vaccination Program","...",IF(B320="Fixed Cost Program","...","..."))))))))))</f>
        <v>Latent Treatment Adherence Probability (Yearly)</v>
      </c>
      <c r="C328" s="41" t="str">
        <f>IF(B328&lt;&gt;"...","Unique","")</f>
        <v>Unique</v>
      </c>
      <c r="D328" s="39" t="str">
        <f>IF(B328&lt;&gt;"...",IF(SUMPRODUCT(--(F328:V328&lt;&gt;""))=0,0,"N.A."),"")</f>
        <v>N.A.</v>
      </c>
      <c r="E328" s="41" t="str">
        <f t="shared" si="29"/>
        <v>OR</v>
      </c>
      <c r="F328" s="40"/>
      <c r="G328" s="40"/>
      <c r="H328" s="40"/>
      <c r="I328" s="40"/>
      <c r="J328" s="40"/>
      <c r="K328" s="40"/>
      <c r="L328" s="40"/>
      <c r="M328" s="40"/>
      <c r="N328" s="40"/>
      <c r="O328" s="40"/>
      <c r="P328" s="40"/>
      <c r="Q328" s="40"/>
      <c r="R328" s="40"/>
      <c r="S328" s="40"/>
      <c r="T328" s="40"/>
      <c r="U328" s="40"/>
      <c r="V328" s="40">
        <v>0</v>
      </c>
    </row>
    <row r="329" spans="1:26" x14ac:dyDescent="0.55000000000000004">
      <c r="A329" s="41" t="s">
        <v>11</v>
      </c>
      <c r="B329" s="41" t="str">
        <f>IF(B320="MDR/XDR Treatment Program","...",IF(B320="XDR Treat Program","...",IF(B320="MDR Treat Program","...",IF(B320="DS Treat Program","...",IF(B320="Latency Treat Program","...",IF(B320="Strain Diag Program","Latent Treatment Duration (Months)",IF(B320="DR Targeted Diagnosis Program","Latent Treatment Duration (Months)",IF(B320="DS Targeted Diagnosis Program","Latent Treatment Duration (Months)",IF(B320="Vaccination Program","...",IF(B320="Fixed Cost Program","...","..."))))))))))</f>
        <v>Latent Treatment Duration (Months)</v>
      </c>
      <c r="C329" s="41" t="str">
        <f>IF(B329&lt;&gt;"...","Unique","")</f>
        <v>Unique</v>
      </c>
      <c r="D329" s="39" t="str">
        <f>IF(B329&lt;&gt;"...",IF(SUMPRODUCT(--(F329:V329&lt;&gt;""))=0,0,"N.A."),"")</f>
        <v>N.A.</v>
      </c>
      <c r="E329" s="41" t="str">
        <f t="shared" si="29"/>
        <v>OR</v>
      </c>
      <c r="F329" s="40"/>
      <c r="G329" s="40"/>
      <c r="H329" s="40"/>
      <c r="I329" s="40"/>
      <c r="J329" s="40"/>
      <c r="K329" s="40"/>
      <c r="L329" s="40"/>
      <c r="M329" s="40"/>
      <c r="N329" s="40"/>
      <c r="O329" s="40"/>
      <c r="P329" s="40"/>
      <c r="Q329" s="40"/>
      <c r="R329" s="40"/>
      <c r="S329" s="40"/>
      <c r="T329" s="40"/>
      <c r="U329" s="40"/>
      <c r="V329" s="44">
        <v>12</v>
      </c>
    </row>
    <row r="330" spans="1:26" x14ac:dyDescent="0.55000000000000004">
      <c r="A330" s="41"/>
      <c r="Y330" s="70"/>
    </row>
    <row r="331" spans="1:26" x14ac:dyDescent="0.55000000000000004">
      <c r="A331" s="41" t="str">
        <f>'Program Definitions'!$A$32</f>
        <v>Passive Case Finding (HIV+)</v>
      </c>
      <c r="B331" s="41" t="s">
        <v>222</v>
      </c>
      <c r="C331" s="41"/>
      <c r="D331" s="41"/>
      <c r="E331" s="41"/>
      <c r="F331" s="41"/>
      <c r="G331" s="41"/>
      <c r="H331" s="41"/>
      <c r="I331" s="41"/>
      <c r="J331" s="41"/>
      <c r="K331" s="41"/>
      <c r="L331" s="41"/>
      <c r="M331" s="41"/>
      <c r="N331" s="41"/>
      <c r="O331" s="41"/>
      <c r="P331" s="41"/>
      <c r="Q331" s="41"/>
      <c r="R331" s="41"/>
      <c r="S331" s="41"/>
      <c r="T331" s="41"/>
      <c r="U331" s="41"/>
      <c r="V331" s="41"/>
    </row>
    <row r="332" spans="1:26" x14ac:dyDescent="0.55000000000000004">
      <c r="A332" s="41" t="s">
        <v>11</v>
      </c>
      <c r="B332" s="41"/>
      <c r="C332" s="41" t="s">
        <v>8</v>
      </c>
      <c r="D332" s="41" t="s">
        <v>9</v>
      </c>
      <c r="E332" s="41"/>
      <c r="F332" s="41">
        <v>2000</v>
      </c>
      <c r="G332" s="41">
        <v>2001</v>
      </c>
      <c r="H332" s="41">
        <v>2002</v>
      </c>
      <c r="I332" s="41">
        <v>2003</v>
      </c>
      <c r="J332" s="41">
        <v>2004</v>
      </c>
      <c r="K332" s="41">
        <v>2005</v>
      </c>
      <c r="L332" s="41">
        <v>2006</v>
      </c>
      <c r="M332" s="41">
        <v>2007</v>
      </c>
      <c r="N332" s="41">
        <v>2008</v>
      </c>
      <c r="O332" s="41">
        <v>2009</v>
      </c>
      <c r="P332" s="41">
        <v>2010</v>
      </c>
      <c r="Q332" s="41">
        <v>2011</v>
      </c>
      <c r="R332" s="41">
        <v>2012</v>
      </c>
      <c r="S332" s="41">
        <v>2013</v>
      </c>
      <c r="T332" s="41">
        <v>2014</v>
      </c>
      <c r="U332" s="41">
        <v>2015</v>
      </c>
      <c r="V332" s="41">
        <v>2016</v>
      </c>
    </row>
    <row r="333" spans="1:26" x14ac:dyDescent="0.55000000000000004">
      <c r="A333" s="41" t="s">
        <v>12</v>
      </c>
      <c r="B333" s="41" t="str">
        <f>IF(B331="Fixed Cost Program","...","Program Coverage")</f>
        <v>Program Coverage</v>
      </c>
      <c r="C333" s="41" t="str">
        <f>IF(B333&lt;&gt;"...","Number","")</f>
        <v>Number</v>
      </c>
      <c r="D333" s="39" t="str">
        <f>IF(B333&lt;&gt;"...",IF(SUMPRODUCT(--(F333:V333&lt;&gt;""))=0,0,"N.A."),"")</f>
        <v>N.A.</v>
      </c>
      <c r="E333" s="41" t="str">
        <f>IF(B333&lt;&gt;"...","OR","")</f>
        <v>OR</v>
      </c>
      <c r="F333" s="60"/>
      <c r="G333" s="60"/>
      <c r="H333" s="60"/>
      <c r="I333" s="60"/>
      <c r="J333" s="60"/>
      <c r="K333" s="60"/>
      <c r="L333" s="60"/>
      <c r="M333" s="60"/>
      <c r="N333" s="60"/>
      <c r="O333" s="60"/>
      <c r="P333" s="60"/>
      <c r="Q333" s="60"/>
      <c r="R333" s="60"/>
      <c r="S333" s="60"/>
      <c r="T333" s="60"/>
      <c r="U333" s="60"/>
      <c r="V333" s="44">
        <f>37000-(V69*V72)</f>
        <v>8695.477600000002</v>
      </c>
      <c r="X333" s="55"/>
      <c r="Y333" s="55"/>
    </row>
    <row r="334" spans="1:26" x14ac:dyDescent="0.55000000000000004">
      <c r="A334" s="41" t="s">
        <v>11</v>
      </c>
      <c r="B334" s="41" t="s">
        <v>13</v>
      </c>
      <c r="C334" s="41" t="s">
        <v>15</v>
      </c>
      <c r="D334" s="39" t="str">
        <f>IF(SUMPRODUCT(--(F334:V334&lt;&gt;""))=0,0,"N.A.")</f>
        <v>N.A.</v>
      </c>
      <c r="E334" s="41" t="s">
        <v>16</v>
      </c>
      <c r="F334" s="65"/>
      <c r="G334" s="65"/>
      <c r="H334" s="65"/>
      <c r="I334" s="65"/>
      <c r="J334" s="65"/>
      <c r="K334" s="65"/>
      <c r="L334" s="65"/>
      <c r="M334" s="65"/>
      <c r="N334" s="65"/>
      <c r="O334" s="65"/>
      <c r="P334" s="65"/>
      <c r="Q334" s="65"/>
      <c r="R334" s="65"/>
      <c r="S334" s="65"/>
      <c r="T334" s="65"/>
      <c r="U334" s="65"/>
      <c r="V334" s="72">
        <f>V333*D335</f>
        <v>7956362.0040000016</v>
      </c>
      <c r="W334" s="55"/>
      <c r="Z334" s="69"/>
    </row>
    <row r="335" spans="1:26" x14ac:dyDescent="0.55000000000000004">
      <c r="A335" s="41" t="s">
        <v>11</v>
      </c>
      <c r="B335" s="41" t="str">
        <f>IF(B331="Fixed Cost Program","...",CONCATENATE("Unit Cost Estimate",IF(C333="Fraction"," (Per 1%)","")))</f>
        <v>Unit Cost Estimate</v>
      </c>
      <c r="C335" s="41" t="str">
        <f>IF(B335&lt;&gt;"...","USD","")</f>
        <v>USD</v>
      </c>
      <c r="D335" s="66">
        <v>915</v>
      </c>
      <c r="E335" s="41" t="str">
        <f t="shared" ref="E335:E340" si="30">IF(B335&lt;&gt;"...","OR","")</f>
        <v>OR</v>
      </c>
      <c r="F335" s="65" t="str">
        <f>IF(B335&lt;&gt;"...","...","")</f>
        <v>...</v>
      </c>
      <c r="G335" s="65" t="str">
        <f>IF(B335&lt;&gt;"...","...","")</f>
        <v>...</v>
      </c>
      <c r="H335" s="65" t="str">
        <f>IF(B335&lt;&gt;"...","...","")</f>
        <v>...</v>
      </c>
      <c r="I335" s="65" t="str">
        <f>IF(B335&lt;&gt;"...","...","")</f>
        <v>...</v>
      </c>
      <c r="J335" s="65" t="str">
        <f>IF(B335&lt;&gt;"...","...","")</f>
        <v>...</v>
      </c>
      <c r="K335" s="65" t="str">
        <f>IF(B335&lt;&gt;"...","...","")</f>
        <v>...</v>
      </c>
      <c r="L335" s="65" t="str">
        <f>IF(B335&lt;&gt;"...","...","")</f>
        <v>...</v>
      </c>
      <c r="M335" s="65" t="str">
        <f>IF(B335&lt;&gt;"...","...","")</f>
        <v>...</v>
      </c>
      <c r="N335" s="65" t="str">
        <f>IF(B335&lt;&gt;"...","...","")</f>
        <v>...</v>
      </c>
      <c r="O335" s="65" t="str">
        <f>IF(B335&lt;&gt;"...","...","")</f>
        <v>...</v>
      </c>
      <c r="P335" s="65" t="str">
        <f>IF(B335&lt;&gt;"...","...","")</f>
        <v>...</v>
      </c>
      <c r="Q335" s="65" t="str">
        <f>IF(B335&lt;&gt;"...","...","")</f>
        <v>...</v>
      </c>
      <c r="R335" s="65" t="str">
        <f>IF(B335&lt;&gt;"...","...","")</f>
        <v>...</v>
      </c>
      <c r="S335" s="65" t="str">
        <f>IF(B335&lt;&gt;"...","...","")</f>
        <v>...</v>
      </c>
      <c r="T335" s="65" t="str">
        <f>IF(B335&lt;&gt;"...","...","")</f>
        <v>...</v>
      </c>
      <c r="U335" s="65" t="str">
        <f>IF(B335&lt;&gt;"...","...","")</f>
        <v>...</v>
      </c>
      <c r="V335" s="65" t="str">
        <f>IF(B335&lt;&gt;"...","...","")</f>
        <v>...</v>
      </c>
    </row>
    <row r="336" spans="1:26" x14ac:dyDescent="0.55000000000000004">
      <c r="A336" s="41" t="s">
        <v>17</v>
      </c>
      <c r="B336" s="41" t="str">
        <f>IF(B331="MDR/XDR Treatment Program","Efficacy (After Completed Treatment)",IF(B331="XDR Treat Program","Efficacy (After Completed Treatment)",IF(B331="MDR Treat Program","Efficacy (After Completed Treatment)",IF(B331="DS Treat Program","Efficacy (After Completed Treatment)",IF(B331="Latency Treat Program","Efficacy (After Completed Treatment)",IF(B331="Strain Diag Program","Sensitivity (Detection Probability)",IF(B331="DR Targeted Diagnosis Program","Sensitivity (Detection Probability)",IF(B331="DS Targeted Diagnosis Program","Sensitivity (Detection Probability)",IF(B331="Vaccination Program","Vaccination Effectiveness Probability",IF(B331="Fixed Cost Program","...","..."))))))))))</f>
        <v>Sensitivity (Detection Probability)</v>
      </c>
      <c r="C336" s="41" t="str">
        <f>IF(B336&lt;&gt;"...","Unique","")</f>
        <v>Unique</v>
      </c>
      <c r="D336" s="39" t="str">
        <f>IF(B336&lt;&gt;"...",IF(SUMPRODUCT(--(F336:V336&lt;&gt;""))=0,0,"N.A."),"")</f>
        <v>N.A.</v>
      </c>
      <c r="E336" s="41" t="str">
        <f t="shared" si="30"/>
        <v>OR</v>
      </c>
      <c r="F336" s="40"/>
      <c r="G336" s="40"/>
      <c r="H336" s="40"/>
      <c r="I336" s="40"/>
      <c r="J336" s="40"/>
      <c r="K336" s="40"/>
      <c r="L336" s="40"/>
      <c r="M336" s="40"/>
      <c r="N336" s="40"/>
      <c r="O336" s="40"/>
      <c r="P336" s="40"/>
      <c r="Q336" s="40"/>
      <c r="R336" s="40"/>
      <c r="S336" s="40"/>
      <c r="T336" s="40"/>
      <c r="U336" s="40"/>
      <c r="V336" s="40">
        <f>0.88/12</f>
        <v>7.3333333333333334E-2</v>
      </c>
    </row>
    <row r="337" spans="1:22" x14ac:dyDescent="0.55000000000000004">
      <c r="A337" s="41" t="s">
        <v>11</v>
      </c>
      <c r="B337" s="41" t="str">
        <f>IF(B331="MDR/XDR Treatment Program","Adherence Probability (Yearly)",IF(B331="XDR Treat Program","Adherence Probability (Yearly)",IF(B331="MDR Treat Program","Adherence Probability (Yearly)",IF(B331="DS Treat Program","Adherence Probability (Yearly)",IF(B331="Latency Treat Program","Adherence Probability (Yearly)",IF(B331="Strain Diag Program","Latents Identified (Per Active Case)",IF(B331="DR Targeted Diagnosis Program","Latents Identified (Per DR-TB Case)",IF(B331="DS Targeted Diagnosis Program","Latents Identified (Per DS-TB Case)",IF(B331="Vaccination Program","...",IF(B331="Fixed Cost Program","...","..."))))))))))</f>
        <v>Latents Identified (Per Active Case)</v>
      </c>
      <c r="C337" s="41" t="str">
        <f>IF(B337&lt;&gt;"...","Unique","")</f>
        <v>Unique</v>
      </c>
      <c r="D337" s="39" t="str">
        <f>IF(B337&lt;&gt;"...",IF(SUMPRODUCT(--(F337:V337&lt;&gt;""))=0,0,"N.A."),"")</f>
        <v>N.A.</v>
      </c>
      <c r="E337" s="41" t="str">
        <f t="shared" si="30"/>
        <v>OR</v>
      </c>
      <c r="F337" s="40"/>
      <c r="G337" s="40"/>
      <c r="H337" s="40"/>
      <c r="I337" s="40"/>
      <c r="J337" s="40"/>
      <c r="K337" s="40"/>
      <c r="L337" s="40"/>
      <c r="M337" s="40"/>
      <c r="N337" s="40"/>
      <c r="O337" s="40"/>
      <c r="P337" s="40"/>
      <c r="Q337" s="40"/>
      <c r="R337" s="40"/>
      <c r="S337" s="40"/>
      <c r="T337" s="40"/>
      <c r="U337" s="40"/>
      <c r="V337" s="40">
        <v>0</v>
      </c>
    </row>
    <row r="338" spans="1:22" x14ac:dyDescent="0.55000000000000004">
      <c r="A338" s="41" t="s">
        <v>11</v>
      </c>
      <c r="B338" s="41" t="str">
        <f>IF(B331="MDR/XDR Treatment Program","Treatment Duration (Months)",IF(B331="XDR Treat Program","Treatment Duration (Months)",IF(B331="MDR Treat Program","Treatment Duration (Months)",IF(B331="DS Treat Program","Treatment Duration (Months)",IF(B331="Latency Treat Program","Treatment Duration (Months)",IF(B331="Strain Diag Program","Latent Treatment Efficacy (After Completed Treatment)",IF(B331="DR Targeted Diagnosis Program","Latent Treatment Efficacy (After Completed Treatment)",IF(B331="DS Targeted Diagnosis Program","Latent Treatment Efficacy (After Completed Treatment)",IF(B331="Vaccination Program","...",IF(B331="Fixed Cost Program","...","..."))))))))))</f>
        <v>Latent Treatment Efficacy (After Completed Treatment)</v>
      </c>
      <c r="C338" s="41" t="str">
        <f>IF(B338&lt;&gt;"...","Unique","")</f>
        <v>Unique</v>
      </c>
      <c r="D338" s="39" t="str">
        <f>IF(B338&lt;&gt;"...",IF(SUMPRODUCT(--(F338:V338&lt;&gt;""))=0,0,"N.A."),"")</f>
        <v>N.A.</v>
      </c>
      <c r="E338" s="41" t="str">
        <f t="shared" si="30"/>
        <v>OR</v>
      </c>
      <c r="F338" s="64"/>
      <c r="G338" s="64"/>
      <c r="H338" s="64"/>
      <c r="I338" s="64"/>
      <c r="J338" s="64"/>
      <c r="K338" s="64"/>
      <c r="L338" s="64"/>
      <c r="M338" s="64"/>
      <c r="N338" s="64"/>
      <c r="O338" s="64"/>
      <c r="P338" s="64"/>
      <c r="Q338" s="64"/>
      <c r="R338" s="64"/>
      <c r="S338" s="64"/>
      <c r="T338" s="64"/>
      <c r="U338" s="64"/>
      <c r="V338" s="64">
        <v>0</v>
      </c>
    </row>
    <row r="339" spans="1:22" x14ac:dyDescent="0.55000000000000004">
      <c r="A339" s="41" t="s">
        <v>11</v>
      </c>
      <c r="B339" s="41" t="str">
        <f>IF(B331="MDR/XDR Treatment Program","...",IF(B331="XDR Treat Program","...",IF(B331="MDR Treat Program","...",IF(B331="DS Treat Program","...",IF(B331="Latency Treat Program","...",IF(B331="Strain Diag Program","Latent Treatment Adherence Probability (Yearly)",IF(B331="DR Targeted Diagnosis Program","Latent Treatment Adherence Probability (Yearly)",IF(B331="DS Targeted Diagnosis Program","Latent Treatment Adherence Probability (Yearly)",IF(B331="Vaccination Program","...",IF(B331="Fixed Cost Program","...","..."))))))))))</f>
        <v>Latent Treatment Adherence Probability (Yearly)</v>
      </c>
      <c r="C339" s="41" t="str">
        <f>IF(B339&lt;&gt;"...","Unique","")</f>
        <v>Unique</v>
      </c>
      <c r="D339" s="39" t="str">
        <f>IF(B339&lt;&gt;"...",IF(SUMPRODUCT(--(F339:V339&lt;&gt;""))=0,0,"N.A."),"")</f>
        <v>N.A.</v>
      </c>
      <c r="E339" s="41" t="str">
        <f t="shared" si="30"/>
        <v>OR</v>
      </c>
      <c r="F339" s="40"/>
      <c r="G339" s="40"/>
      <c r="H339" s="40"/>
      <c r="I339" s="40"/>
      <c r="J339" s="40"/>
      <c r="K339" s="40"/>
      <c r="L339" s="40"/>
      <c r="M339" s="40"/>
      <c r="N339" s="40"/>
      <c r="O339" s="40"/>
      <c r="P339" s="40"/>
      <c r="Q339" s="40"/>
      <c r="R339" s="40"/>
      <c r="S339" s="40"/>
      <c r="T339" s="40"/>
      <c r="U339" s="40"/>
      <c r="V339" s="40">
        <v>0</v>
      </c>
    </row>
    <row r="340" spans="1:22" x14ac:dyDescent="0.55000000000000004">
      <c r="A340" s="41" t="s">
        <v>11</v>
      </c>
      <c r="B340" s="41" t="str">
        <f>IF(B331="MDR/XDR Treatment Program","...",IF(B331="XDR Treat Program","...",IF(B331="MDR Treat Program","...",IF(B331="DS Treat Program","...",IF(B331="Latency Treat Program","...",IF(B331="Strain Diag Program","Latent Treatment Duration (Months)",IF(B331="DR Targeted Diagnosis Program","Latent Treatment Duration (Months)",IF(B331="DS Targeted Diagnosis Program","Latent Treatment Duration (Months)",IF(B331="Vaccination Program","...",IF(B331="Fixed Cost Program","...","..."))))))))))</f>
        <v>Latent Treatment Duration (Months)</v>
      </c>
      <c r="C340" s="41" t="str">
        <f>IF(B340&lt;&gt;"...","Unique","")</f>
        <v>Unique</v>
      </c>
      <c r="D340" s="39" t="str">
        <f>IF(B340&lt;&gt;"...",IF(SUMPRODUCT(--(F340:V340&lt;&gt;""))=0,0,"N.A."),"")</f>
        <v>N.A.</v>
      </c>
      <c r="E340" s="41" t="str">
        <f t="shared" si="30"/>
        <v>OR</v>
      </c>
      <c r="F340" s="40"/>
      <c r="G340" s="40"/>
      <c r="H340" s="40"/>
      <c r="I340" s="40"/>
      <c r="J340" s="40"/>
      <c r="K340" s="40"/>
      <c r="L340" s="40"/>
      <c r="M340" s="40"/>
      <c r="N340" s="40"/>
      <c r="O340" s="40"/>
      <c r="P340" s="40"/>
      <c r="Q340" s="40"/>
      <c r="R340" s="40"/>
      <c r="S340" s="40"/>
      <c r="T340" s="40"/>
      <c r="U340" s="40"/>
      <c r="V340" s="44">
        <v>12</v>
      </c>
    </row>
    <row r="341" spans="1:22" x14ac:dyDescent="0.55000000000000004">
      <c r="A341" s="41"/>
    </row>
  </sheetData>
  <dataValidations count="5">
    <dataValidation type="list" showInputMessage="1" showErrorMessage="1" sqref="C292:C296 C281:C285 C270:C274 C259:C263 C248:C252 C237:C241 C226:C230 C215:C219 C204:C208 C193:C197 C182:C186 C171:C175 C160:C164 C149:C153 C138:C142 C127:C131 C116:C120 C105:C109 C94:C98 C83:C87 C72:C76 C61:C65 C50:C54 C39:C43 C28:C32 C17:C21 C6:C10 C336:C340 C325:C329 C314:C318 C303:C307">
      <formula1>"Unique"</formula1>
    </dataValidation>
    <dataValidation type="list" showInputMessage="1" showErrorMessage="1" sqref="F291:V291 F280:V280 F269:V269 F258:V258 F247:V247 F236:V236 F225:V225 F214:V214 F203:V203 F192:V192 F181:V181 F170:V170 F159:V159 F148:V148 F137:V137 F126:V126 F115:V115 F104:V104 F93:V93 F82:V82 F71:V71 F60:V60 F49:V49 F38:V38 F27:V27 F16:V16 F5:V5 F335:V335 F324:V324 F313:V313 F302:V302">
      <formula1>"..."</formula1>
    </dataValidation>
    <dataValidation type="list" showInputMessage="1" showErrorMessage="1" sqref="C290:C291 C279:C280 C268:C269 C257:C258 C246:C247 C235:C236 C224:C225 C213:C214 C202:C203 C191:C192 C180:C181 C169:C170 C158:C159 C147:C148 C136:C137 C125:C126 C114:C115 C103:C104 C92:C93 C81:C82 C70:C71 C59:C60 C48:C49 C37:C38 C26:C27 C15:C16 C4:C5 C334:C335 C323:C324 C312:C313 C301:C302">
      <formula1>"USD"</formula1>
    </dataValidation>
    <dataValidation type="list" showInputMessage="1" showErrorMessage="1" sqref="C289 C278 C267 C256 C245 C234 C223 C212 C201 C190 C179 C168 C157 C146 C135 C124 C113 C102 C91 C80 C69 C58 C47 C36 C25 C14 C3 C333 C322 C311 C300">
      <formula1>"Number,Fraction"</formula1>
    </dataValidation>
    <dataValidation type="list" showInputMessage="1" showErrorMessage="1" sqref="B287 B243 B265 B254 B199 B232 B221 B210 B188 B177 B133 B166 B155 B144 B122 B111 B100 B1 B89 B78 B12 B56 B45 B23 B276 B331 B320 B309 B298">
      <formula1>"Fixed Cost Program,Vaccination Program,DS Targeted Diagnosis Program,DR Targeted Diagnosis Program,Strain Diag Program,Latency Treat Program,DS Treat Program,MDR Treat Program,XDR Treat Program,MDR/XDR Treatment Program"</formula1>
    </dataValidation>
  </dataValidation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70"/>
  <sheetViews>
    <sheetView topLeftCell="F1" workbookViewId="0">
      <selection activeCell="T24" sqref="T24"/>
    </sheetView>
  </sheetViews>
  <sheetFormatPr defaultColWidth="8.83984375" defaultRowHeight="14.4" x14ac:dyDescent="0.55000000000000004"/>
  <cols>
    <col min="1" max="1" width="31.47265625" bestFit="1" customWidth="1"/>
    <col min="2" max="3" width="10.68359375" customWidth="1"/>
    <col min="4" max="4" width="3.47265625" bestFit="1" customWidth="1"/>
    <col min="5" max="21" width="10.47265625" bestFit="1" customWidth="1"/>
  </cols>
  <sheetData>
    <row r="1" spans="1:23" x14ac:dyDescent="0.55000000000000004">
      <c r="A1" s="1" t="s">
        <v>21</v>
      </c>
      <c r="B1" s="1" t="s">
        <v>8</v>
      </c>
      <c r="C1" s="1" t="s">
        <v>9</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row>
    <row r="2" spans="1:23" x14ac:dyDescent="0.55000000000000004">
      <c r="A2" s="1" t="str">
        <f>'Population Definitions'!$A$2</f>
        <v>Gen 0-4</v>
      </c>
      <c r="B2" s="1" t="s">
        <v>14</v>
      </c>
      <c r="C2" s="2" t="str">
        <f t="shared" ref="C2:C7" si="0">IF(SUMPRODUCT(--(E2:U2&lt;&gt;""))=0,1000000,"N.A.")</f>
        <v>N.A.</v>
      </c>
      <c r="D2" s="1" t="s">
        <v>16</v>
      </c>
      <c r="E2" s="35">
        <v>734406.5</v>
      </c>
      <c r="F2" s="35">
        <v>777011</v>
      </c>
      <c r="G2" s="35">
        <v>819615.5</v>
      </c>
      <c r="H2" s="35">
        <v>862220</v>
      </c>
      <c r="I2" s="35">
        <v>904824.5</v>
      </c>
      <c r="J2" s="35">
        <v>947429</v>
      </c>
      <c r="K2" s="35">
        <v>990033.5</v>
      </c>
      <c r="L2" s="35">
        <v>1032638</v>
      </c>
      <c r="M2" s="35">
        <v>1072333</v>
      </c>
      <c r="N2" s="35">
        <v>1112028</v>
      </c>
      <c r="O2" s="35">
        <v>1151723</v>
      </c>
      <c r="P2" s="35">
        <v>1191418</v>
      </c>
      <c r="Q2" s="35">
        <v>1231113</v>
      </c>
      <c r="R2" s="35">
        <v>1270808</v>
      </c>
      <c r="S2" s="36">
        <v>1310503</v>
      </c>
      <c r="T2" s="35">
        <v>1350198</v>
      </c>
      <c r="U2" s="35">
        <v>1389893</v>
      </c>
    </row>
    <row r="3" spans="1:23" x14ac:dyDescent="0.55000000000000004">
      <c r="A3" s="1" t="str">
        <f>'Population Definitions'!$A$3</f>
        <v>Gen 5-14</v>
      </c>
      <c r="B3" s="1" t="s">
        <v>14</v>
      </c>
      <c r="C3" s="2" t="str">
        <f t="shared" si="0"/>
        <v>N.A.</v>
      </c>
      <c r="D3" s="1" t="s">
        <v>16</v>
      </c>
      <c r="E3" s="35">
        <v>1440392.6666666642</v>
      </c>
      <c r="F3" s="35">
        <v>1473591</v>
      </c>
      <c r="G3" s="35">
        <v>1506789.3333333333</v>
      </c>
      <c r="H3" s="35">
        <v>1539987.6666666665</v>
      </c>
      <c r="I3" s="35">
        <v>1573185.9999999998</v>
      </c>
      <c r="J3" s="35">
        <v>1606384.333333333</v>
      </c>
      <c r="K3" s="35">
        <v>1639582.6666666663</v>
      </c>
      <c r="L3" s="35">
        <v>1672781</v>
      </c>
      <c r="M3" s="35">
        <v>1683964</v>
      </c>
      <c r="N3" s="35">
        <v>1695147</v>
      </c>
      <c r="O3" s="35">
        <v>1706330</v>
      </c>
      <c r="P3" s="35">
        <v>1717513</v>
      </c>
      <c r="Q3" s="35">
        <v>1728696</v>
      </c>
      <c r="R3" s="35">
        <v>1739879</v>
      </c>
      <c r="S3" s="36">
        <v>1751062</v>
      </c>
      <c r="T3" s="35">
        <v>1762245</v>
      </c>
      <c r="U3" s="35">
        <v>1773428</v>
      </c>
    </row>
    <row r="4" spans="1:23" x14ac:dyDescent="0.55000000000000004">
      <c r="A4" s="1" t="str">
        <f>'Population Definitions'!$A$4</f>
        <v>Gen 15-64</v>
      </c>
      <c r="B4" s="1" t="s">
        <v>14</v>
      </c>
      <c r="C4" s="2" t="str">
        <f t="shared" si="0"/>
        <v>N.A.</v>
      </c>
      <c r="D4" s="1" t="s">
        <v>16</v>
      </c>
      <c r="E4" s="35">
        <v>5314247.6959407311</v>
      </c>
      <c r="F4" s="35">
        <v>5487593.7674726155</v>
      </c>
      <c r="G4" s="35">
        <v>5660922.0336391255</v>
      </c>
      <c r="H4" s="35">
        <v>5832652.6291825864</v>
      </c>
      <c r="I4" s="35">
        <v>6005903.4056092892</v>
      </c>
      <c r="J4" s="35">
        <v>6179133.9332063766</v>
      </c>
      <c r="K4" s="35">
        <v>6215891.9568936471</v>
      </c>
      <c r="L4" s="35">
        <v>6253564.8179152869</v>
      </c>
      <c r="M4" s="35">
        <v>6290512.6328891115</v>
      </c>
      <c r="N4" s="35">
        <v>6545241.3798601972</v>
      </c>
      <c r="O4" s="35">
        <v>6799051.1646909984</v>
      </c>
      <c r="P4" s="35">
        <v>7052527.0912585156</v>
      </c>
      <c r="Q4" s="35">
        <v>7307518.9776996542</v>
      </c>
      <c r="R4" s="35">
        <v>7562995.0011701565</v>
      </c>
      <c r="S4" s="36">
        <v>7817950.3472758839</v>
      </c>
      <c r="T4" s="35">
        <v>8069344.0803972362</v>
      </c>
      <c r="U4" s="35">
        <v>8320711.7478936473</v>
      </c>
      <c r="W4" s="9"/>
    </row>
    <row r="5" spans="1:23" x14ac:dyDescent="0.55000000000000004">
      <c r="A5" s="1" t="str">
        <f>'Population Definitions'!$A$5</f>
        <v>Gen 65+</v>
      </c>
      <c r="B5" s="1" t="s">
        <v>14</v>
      </c>
      <c r="C5" s="2" t="str">
        <f t="shared" si="0"/>
        <v>N.A.</v>
      </c>
      <c r="D5" s="1" t="s">
        <v>16</v>
      </c>
      <c r="E5" s="31">
        <v>342441.36333332956</v>
      </c>
      <c r="F5" s="31">
        <v>359970.88000000268</v>
      </c>
      <c r="G5" s="31">
        <v>377500.39666666667</v>
      </c>
      <c r="H5" s="31">
        <v>395029.91333333339</v>
      </c>
      <c r="I5" s="31">
        <v>412559.43000000011</v>
      </c>
      <c r="J5" s="31">
        <v>430088.94666666677</v>
      </c>
      <c r="K5" s="31">
        <v>446065.35861111118</v>
      </c>
      <c r="L5" s="31">
        <v>462041.77055555559</v>
      </c>
      <c r="M5" s="31">
        <v>478018.1825</v>
      </c>
      <c r="N5" s="31">
        <v>490888.38500000001</v>
      </c>
      <c r="O5" s="31">
        <v>503758.58750000002</v>
      </c>
      <c r="P5" s="31">
        <v>516628.79000000004</v>
      </c>
      <c r="Q5" s="31">
        <v>529498.99250000005</v>
      </c>
      <c r="R5" s="31">
        <v>542369.19499999657</v>
      </c>
      <c r="S5" s="31">
        <v>555239.39749999717</v>
      </c>
      <c r="T5" s="31">
        <v>568109.59999999404</v>
      </c>
      <c r="U5" s="31">
        <v>580979.80249999091</v>
      </c>
      <c r="W5" s="9"/>
    </row>
    <row r="6" spans="1:23" x14ac:dyDescent="0.55000000000000004">
      <c r="A6" s="1" t="str">
        <f>'Population Definitions'!$A$6</f>
        <v>PLHIV 15-64</v>
      </c>
      <c r="B6" s="1" t="s">
        <v>14</v>
      </c>
      <c r="C6" s="2" t="str">
        <f t="shared" si="0"/>
        <v>N.A.</v>
      </c>
      <c r="D6" s="1" t="s">
        <v>16</v>
      </c>
      <c r="E6" s="35">
        <v>1178059.6869170007</v>
      </c>
      <c r="F6" s="35">
        <v>1124974.8658070792</v>
      </c>
      <c r="G6" s="35">
        <v>1071883.7887579813</v>
      </c>
      <c r="H6" s="35">
        <v>1020365.7040708576</v>
      </c>
      <c r="I6" s="35">
        <v>967302.1274634744</v>
      </c>
      <c r="J6" s="35">
        <v>914232.83964773885</v>
      </c>
      <c r="K6" s="35">
        <v>1070212.5133951891</v>
      </c>
      <c r="L6" s="35">
        <v>1225250.0414185626</v>
      </c>
      <c r="M6" s="35">
        <v>1380281.6876349219</v>
      </c>
      <c r="N6" s="35">
        <v>1462709.8417465037</v>
      </c>
      <c r="O6" s="35">
        <v>1546027.4946402332</v>
      </c>
      <c r="P6" s="35">
        <v>1629648.7869683877</v>
      </c>
      <c r="Q6" s="35">
        <v>1713204.3757522993</v>
      </c>
      <c r="R6" s="35">
        <v>1796244.0391267487</v>
      </c>
      <c r="S6" s="36">
        <v>1879771.7763991763</v>
      </c>
      <c r="T6" s="35">
        <v>1963819.1872028238</v>
      </c>
      <c r="U6" s="35">
        <v>2047858.3667564699</v>
      </c>
    </row>
    <row r="7" spans="1:23" x14ac:dyDescent="0.55000000000000004">
      <c r="A7" s="1" t="str">
        <f>'Population Definitions'!$A$7</f>
        <v>PLHIV 65+</v>
      </c>
      <c r="B7" s="1" t="s">
        <v>14</v>
      </c>
      <c r="C7" s="2" t="str">
        <f t="shared" si="0"/>
        <v>N.A.</v>
      </c>
      <c r="D7" s="1" t="s">
        <v>16</v>
      </c>
      <c r="E7" s="31">
        <v>10590.970000000205</v>
      </c>
      <c r="F7" s="31">
        <v>11133.120000000112</v>
      </c>
      <c r="G7" s="31">
        <v>11675.27</v>
      </c>
      <c r="H7" s="31">
        <v>12217.42</v>
      </c>
      <c r="I7" s="31">
        <v>12759.57</v>
      </c>
      <c r="J7" s="31">
        <v>13301.720000000001</v>
      </c>
      <c r="K7" s="31">
        <v>13795.835833333334</v>
      </c>
      <c r="L7" s="31">
        <v>14289.951666666668</v>
      </c>
      <c r="M7" s="31">
        <v>14784.067499999999</v>
      </c>
      <c r="N7" s="31">
        <v>15182.115</v>
      </c>
      <c r="O7" s="31">
        <v>15580.1625</v>
      </c>
      <c r="P7" s="31">
        <v>15978.210000000001</v>
      </c>
      <c r="Q7" s="31">
        <v>16376.2575</v>
      </c>
      <c r="R7" s="31">
        <v>16774.305000000051</v>
      </c>
      <c r="S7" s="31">
        <v>17172.352500000037</v>
      </c>
      <c r="T7" s="31">
        <v>17570.40000000014</v>
      </c>
      <c r="U7" s="31">
        <v>17968.447500000242</v>
      </c>
    </row>
    <row r="8" spans="1:23" x14ac:dyDescent="0.55000000000000004">
      <c r="A8" s="1" t="str">
        <f>'Population Definitions'!$A$8</f>
        <v>Prisoners</v>
      </c>
      <c r="B8" s="1" t="s">
        <v>14</v>
      </c>
      <c r="C8" s="2" t="str">
        <f t="shared" ref="C8:C13" si="1">IF(SUMPRODUCT(--(E8:U8&lt;&gt;""))=0,0,"N.A.")</f>
        <v>N.A.</v>
      </c>
      <c r="D8" s="1" t="s">
        <v>16</v>
      </c>
      <c r="E8" s="31">
        <v>18482.498319999973</v>
      </c>
      <c r="F8" s="31">
        <v>18853.592538366669</v>
      </c>
      <c r="G8" s="31">
        <v>19224.686756733339</v>
      </c>
      <c r="H8" s="31">
        <v>19595.780975100002</v>
      </c>
      <c r="I8" s="31">
        <v>19966.875193466672</v>
      </c>
      <c r="J8" s="31">
        <v>20337.969411833335</v>
      </c>
      <c r="K8" s="31">
        <v>20709.063630200002</v>
      </c>
      <c r="L8" s="31">
        <v>20559.107493787498</v>
      </c>
      <c r="M8" s="31">
        <v>21112.070607374997</v>
      </c>
      <c r="N8" s="31">
        <v>21665.0337209625</v>
      </c>
      <c r="O8" s="31">
        <v>22217.996834549998</v>
      </c>
      <c r="P8" s="31">
        <v>23081.549713199998</v>
      </c>
      <c r="Q8" s="31">
        <v>23945.102591849998</v>
      </c>
      <c r="R8" s="31">
        <v>24808.655470500002</v>
      </c>
      <c r="S8" s="31">
        <v>25672.208349149998</v>
      </c>
      <c r="T8" s="31">
        <v>26535.761227800002</v>
      </c>
      <c r="U8" s="31">
        <v>27399.314106449998</v>
      </c>
    </row>
    <row r="9" spans="1:23" x14ac:dyDescent="0.55000000000000004">
      <c r="A9" s="1" t="str">
        <f>'Population Definitions'!$A$9</f>
        <v>PLHIV Prisoners</v>
      </c>
      <c r="B9" s="1" t="s">
        <v>14</v>
      </c>
      <c r="C9" s="2" t="str">
        <f t="shared" si="1"/>
        <v>N.A.</v>
      </c>
      <c r="D9" s="1" t="s">
        <v>16</v>
      </c>
      <c r="E9" s="31">
        <v>4620.6245799999933</v>
      </c>
      <c r="F9" s="31">
        <v>4702.6390616333283</v>
      </c>
      <c r="G9" s="31">
        <v>4784.6535432666624</v>
      </c>
      <c r="H9" s="31">
        <v>4866.6680248999965</v>
      </c>
      <c r="I9" s="31">
        <v>4948.6825065333305</v>
      </c>
      <c r="J9" s="31">
        <v>5030.6969881666646</v>
      </c>
      <c r="K9" s="31">
        <v>5112.7114698000005</v>
      </c>
      <c r="L9" s="31">
        <v>5715.7763062125005</v>
      </c>
      <c r="M9" s="31">
        <v>6318.8411426250004</v>
      </c>
      <c r="N9" s="31">
        <v>6921.9059790375004</v>
      </c>
      <c r="O9" s="31">
        <v>7524.9708154499995</v>
      </c>
      <c r="P9" s="31">
        <v>7817.4458867999992</v>
      </c>
      <c r="Q9" s="31">
        <v>8109.9209581499999</v>
      </c>
      <c r="R9" s="31">
        <v>8402.3960294999997</v>
      </c>
      <c r="S9" s="31">
        <v>8694.8711008499995</v>
      </c>
      <c r="T9" s="31">
        <v>8987.3461722000011</v>
      </c>
      <c r="U9" s="31">
        <v>9279.8212435499991</v>
      </c>
    </row>
    <row r="10" spans="1:23" x14ac:dyDescent="0.55000000000000004">
      <c r="A10" s="1" t="str">
        <f>'Population Definitions'!$A$10</f>
        <v>HCW</v>
      </c>
      <c r="B10" s="1" t="s">
        <v>14</v>
      </c>
      <c r="C10" s="2" t="str">
        <f t="shared" si="1"/>
        <v>N.A.</v>
      </c>
      <c r="D10" s="1" t="s">
        <v>16</v>
      </c>
      <c r="E10" s="32">
        <v>27081.9607393111</v>
      </c>
      <c r="F10" s="31">
        <v>27776.369989037026</v>
      </c>
      <c r="G10" s="31">
        <v>28488.584604140538</v>
      </c>
      <c r="H10" s="31">
        <v>30798.469842314094</v>
      </c>
      <c r="I10" s="31">
        <v>31588.174197245229</v>
      </c>
      <c r="J10" s="31">
        <v>32398.127381789978</v>
      </c>
      <c r="K10" s="31">
        <v>33654.85947615264</v>
      </c>
      <c r="L10" s="32">
        <v>34517.804590925785</v>
      </c>
      <c r="M10" s="31">
        <v>35402.876503513631</v>
      </c>
      <c r="N10" s="31">
        <v>35391.385793840309</v>
      </c>
      <c r="O10" s="31">
        <v>36298.857224451596</v>
      </c>
      <c r="P10" s="31">
        <v>37229.597153283685</v>
      </c>
      <c r="Q10" s="31">
        <v>38184.202208496092</v>
      </c>
      <c r="R10" s="31">
        <v>38654.670234375</v>
      </c>
      <c r="S10" s="31">
        <v>39645.815625000003</v>
      </c>
      <c r="T10" s="31">
        <v>40662.375</v>
      </c>
      <c r="U10" s="31">
        <v>41705</v>
      </c>
    </row>
    <row r="11" spans="1:23" x14ac:dyDescent="0.55000000000000004">
      <c r="A11" s="1" t="str">
        <f>'Population Definitions'!$A$11</f>
        <v>PLHIV HCW</v>
      </c>
      <c r="B11" s="1" t="s">
        <v>14</v>
      </c>
      <c r="C11" s="2" t="str">
        <f t="shared" si="1"/>
        <v>N.A.</v>
      </c>
      <c r="D11" s="1" t="s">
        <v>16</v>
      </c>
      <c r="E11" s="32">
        <v>8000</v>
      </c>
      <c r="F11" s="31">
        <v>9759.2651312832804</v>
      </c>
      <c r="G11" s="31">
        <v>10009.502698752081</v>
      </c>
      <c r="H11" s="31">
        <v>8686.7479042424366</v>
      </c>
      <c r="I11" s="31">
        <v>8909.4850299922418</v>
      </c>
      <c r="J11" s="31">
        <v>9137.9333640946079</v>
      </c>
      <c r="K11" s="31">
        <v>8946.2284683443722</v>
      </c>
      <c r="L11" s="32">
        <v>9175.6189418916638</v>
      </c>
      <c r="M11" s="31">
        <v>9410.8912224529886</v>
      </c>
      <c r="N11" s="31">
        <v>10571.452899458793</v>
      </c>
      <c r="O11" s="31">
        <v>10842.515794316711</v>
      </c>
      <c r="P11" s="31">
        <v>11120.529019812011</v>
      </c>
      <c r="Q11" s="31">
        <v>11405.670789550781</v>
      </c>
      <c r="R11" s="31">
        <v>12206.73796875</v>
      </c>
      <c r="S11" s="31">
        <v>12519.731249999999</v>
      </c>
      <c r="T11" s="31">
        <v>12840.75</v>
      </c>
      <c r="U11" s="31">
        <v>13170</v>
      </c>
    </row>
    <row r="12" spans="1:23" x14ac:dyDescent="0.55000000000000004">
      <c r="A12" s="1" t="str">
        <f>'Population Definitions'!$A$12</f>
        <v>Miners</v>
      </c>
      <c r="B12" s="1" t="s">
        <v>14</v>
      </c>
      <c r="C12" s="2" t="str">
        <f>IF(SUMPRODUCT(--(E12:U12&lt;&gt;""))=0,0,"N.A.")</f>
        <v>N.A.</v>
      </c>
      <c r="D12" s="1" t="s">
        <v>16</v>
      </c>
      <c r="E12" s="32">
        <v>79553.925000000279</v>
      </c>
      <c r="F12" s="32">
        <v>77739.75</v>
      </c>
      <c r="G12" s="32">
        <v>75925.575000000186</v>
      </c>
      <c r="H12" s="33">
        <v>74111.399999999994</v>
      </c>
      <c r="I12" s="33">
        <v>72297.224999999991</v>
      </c>
      <c r="J12" s="33">
        <v>70483.049999999988</v>
      </c>
      <c r="K12" s="33">
        <v>68668.874999999985</v>
      </c>
      <c r="L12" s="32">
        <v>66854.699999999983</v>
      </c>
      <c r="M12" s="32">
        <v>65040.52499999998</v>
      </c>
      <c r="N12" s="32">
        <v>63226.349999999977</v>
      </c>
      <c r="O12" s="32">
        <v>61412.174999999974</v>
      </c>
      <c r="P12" s="32">
        <v>59598</v>
      </c>
      <c r="Q12" s="32">
        <v>56244</v>
      </c>
      <c r="R12" s="32">
        <v>52890</v>
      </c>
      <c r="S12" s="32">
        <v>49536</v>
      </c>
      <c r="T12" s="32">
        <v>49718.199000000001</v>
      </c>
      <c r="U12" s="32">
        <v>49900.398000000001</v>
      </c>
    </row>
    <row r="13" spans="1:23" x14ac:dyDescent="0.55000000000000004">
      <c r="A13" s="1" t="str">
        <f>'Population Definitions'!$A$13</f>
        <v>PLHIV Miners</v>
      </c>
      <c r="B13" s="1" t="s">
        <v>14</v>
      </c>
      <c r="C13" s="2" t="str">
        <f t="shared" si="1"/>
        <v>N.A.</v>
      </c>
      <c r="D13" s="1" t="s">
        <v>16</v>
      </c>
      <c r="E13" s="32">
        <v>16352.324999999953</v>
      </c>
      <c r="F13" s="32">
        <v>15747.75</v>
      </c>
      <c r="G13" s="32">
        <v>15143.175000000047</v>
      </c>
      <c r="H13" s="34">
        <v>14538.6</v>
      </c>
      <c r="I13" s="34">
        <v>13934.025000000001</v>
      </c>
      <c r="J13" s="34">
        <v>13329.45</v>
      </c>
      <c r="K13" s="34">
        <v>12724.875</v>
      </c>
      <c r="L13" s="32">
        <v>12120.3</v>
      </c>
      <c r="M13" s="32">
        <v>11515.724999999999</v>
      </c>
      <c r="N13" s="32">
        <v>10911.149999999998</v>
      </c>
      <c r="O13" s="32">
        <v>10306.574999999997</v>
      </c>
      <c r="P13" s="32">
        <v>9702.0000000000018</v>
      </c>
      <c r="Q13" s="32">
        <v>9156.0000000000018</v>
      </c>
      <c r="R13" s="32">
        <v>8610.0000000000018</v>
      </c>
      <c r="S13" s="32">
        <v>8064.0000000000009</v>
      </c>
      <c r="T13" s="32">
        <v>6990.3010000000004</v>
      </c>
      <c r="U13" s="32">
        <v>5916.6019999999999</v>
      </c>
    </row>
    <row r="14" spans="1:23" x14ac:dyDescent="0.55000000000000004">
      <c r="E14" s="7"/>
      <c r="F14" s="7"/>
      <c r="G14" s="7"/>
      <c r="H14" s="7"/>
      <c r="I14" s="7"/>
      <c r="J14" s="7"/>
      <c r="K14" s="7"/>
      <c r="L14" s="7"/>
      <c r="M14" s="7"/>
      <c r="N14" s="7"/>
      <c r="O14" s="7"/>
      <c r="P14" s="7"/>
      <c r="Q14" s="7"/>
      <c r="R14" s="7"/>
      <c r="S14" s="7"/>
      <c r="T14" s="7"/>
    </row>
    <row r="15" spans="1:23" x14ac:dyDescent="0.55000000000000004">
      <c r="A15" s="1" t="s">
        <v>30</v>
      </c>
      <c r="B15" s="1" t="s">
        <v>8</v>
      </c>
      <c r="C15" s="1" t="s">
        <v>9</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row>
    <row r="16" spans="1:23" x14ac:dyDescent="0.55000000000000004">
      <c r="A16" s="1" t="str">
        <f>'Population Definitions'!$A$2</f>
        <v>Gen 0-4</v>
      </c>
      <c r="B16" s="1" t="s">
        <v>14</v>
      </c>
      <c r="C16" s="2" t="str">
        <f t="shared" ref="C16:C27" si="2">IF(SUMPRODUCT(--(E16:U16&lt;&gt;""))=0,0,"N.A.")</f>
        <v>N.A.</v>
      </c>
      <c r="D16" s="1" t="s">
        <v>16</v>
      </c>
      <c r="E16" s="2">
        <f>23.9/1000*SUM(E2:E7)</f>
        <v>215581.31930029966</v>
      </c>
      <c r="F16" s="2">
        <f>23.9/1000*SUM(F2:F7)</f>
        <v>220699.1637353847</v>
      </c>
      <c r="G16" s="2">
        <f>23.9/1000*SUM(G2:G7)</f>
        <v>225816.43310529081</v>
      </c>
      <c r="H16" s="2">
        <f>23.9/1000*SUM(H2:H7)</f>
        <v>230933.11266475727</v>
      </c>
      <c r="I16" s="2">
        <f>23.9/1000*SUM(I2:I7)</f>
        <v>236049.18729043903</v>
      </c>
      <c r="J16" s="2">
        <f>22.1/1000*SUM(J2:J7)</f>
        <v>223001.61408007599</v>
      </c>
      <c r="K16" s="2">
        <f>22.1/1000*SUM(K2:K7)</f>
        <v>229300.3584739388</v>
      </c>
      <c r="L16" s="2">
        <f>22.1/1000*SUM(L2:L7)</f>
        <v>235598.49935238922</v>
      </c>
      <c r="M16" s="2">
        <f>22.1/1000*SUM(M2:M7)</f>
        <v>241329.64790858116</v>
      </c>
      <c r="N16" s="2">
        <f>22.1/1000*SUM(N2:N7)</f>
        <v>250198.44754750808</v>
      </c>
      <c r="O16" s="2">
        <f>21/1000*SUM(O2:O7)</f>
        <v>246171.87859595584</v>
      </c>
      <c r="P16" s="2">
        <f>21/1000*SUM(P2:P7)</f>
        <v>254597.99144276496</v>
      </c>
      <c r="Q16" s="2">
        <f>21/1000*SUM(Q2:Q7)</f>
        <v>263054.55967249104</v>
      </c>
      <c r="R16" s="2">
        <f>21/1000*SUM(R2:R7)</f>
        <v>271510.46034623496</v>
      </c>
      <c r="S16" s="2">
        <f>21/1000*SUM(S2:S7)</f>
        <v>279965.6763471762</v>
      </c>
      <c r="T16" s="2">
        <f>19.8/1000*SUM(T2:T7)</f>
        <v>271879.46809848113</v>
      </c>
      <c r="U16" s="2">
        <f>19.8/1000*SUM(U2:U7)</f>
        <v>279790.61942007212</v>
      </c>
    </row>
    <row r="17" spans="1:21" x14ac:dyDescent="0.55000000000000004">
      <c r="A17" s="1" t="str">
        <f>'Population Definitions'!$A$3</f>
        <v>Gen 5-14</v>
      </c>
      <c r="B17" s="1" t="s">
        <v>10</v>
      </c>
      <c r="C17" s="2">
        <f t="shared" si="2"/>
        <v>0</v>
      </c>
      <c r="D17" s="1" t="s">
        <v>16</v>
      </c>
      <c r="E17" s="2"/>
      <c r="F17" s="2"/>
      <c r="G17" s="2"/>
      <c r="H17" s="2"/>
      <c r="I17" s="2"/>
      <c r="J17" s="2"/>
      <c r="K17" s="2"/>
      <c r="L17" s="2"/>
      <c r="M17" s="2"/>
      <c r="N17" s="2"/>
      <c r="O17" s="2"/>
      <c r="P17" s="2"/>
      <c r="Q17" s="2"/>
      <c r="R17" s="2"/>
      <c r="S17" s="2"/>
      <c r="T17" s="2"/>
      <c r="U17" s="2"/>
    </row>
    <row r="18" spans="1:21" x14ac:dyDescent="0.55000000000000004">
      <c r="A18" s="1" t="str">
        <f>'Population Definitions'!$A$4</f>
        <v>Gen 15-64</v>
      </c>
      <c r="B18" s="1" t="s">
        <v>14</v>
      </c>
      <c r="C18" s="2" t="str">
        <f t="shared" si="2"/>
        <v>N.A.</v>
      </c>
      <c r="D18" s="1" t="s">
        <v>16</v>
      </c>
      <c r="E18" s="2">
        <v>350000</v>
      </c>
      <c r="F18" s="2">
        <f>E18+($J$18-$E$18)/6</f>
        <v>341666.66666666669</v>
      </c>
      <c r="G18" s="2">
        <f t="shared" ref="G18:I18" si="3">F18+($J$18-$E$18)/6</f>
        <v>333333.33333333337</v>
      </c>
      <c r="H18" s="2">
        <f t="shared" si="3"/>
        <v>325000.00000000006</v>
      </c>
      <c r="I18" s="2">
        <f t="shared" si="3"/>
        <v>316666.66666666674</v>
      </c>
      <c r="J18" s="2">
        <v>300000</v>
      </c>
      <c r="K18" s="2">
        <f>J18-(J18-L18)/2</f>
        <v>250000</v>
      </c>
      <c r="L18" s="2">
        <v>200000</v>
      </c>
      <c r="M18" s="2">
        <v>300000</v>
      </c>
      <c r="N18" s="2">
        <v>300000</v>
      </c>
      <c r="O18" s="2">
        <v>300000</v>
      </c>
      <c r="P18" s="2">
        <v>300000</v>
      </c>
      <c r="Q18" s="2">
        <v>500000</v>
      </c>
      <c r="R18" s="2"/>
      <c r="S18" s="2"/>
      <c r="T18" s="2">
        <v>300000</v>
      </c>
      <c r="U18" s="2">
        <v>200000</v>
      </c>
    </row>
    <row r="19" spans="1:21" x14ac:dyDescent="0.55000000000000004">
      <c r="A19" s="1" t="str">
        <f>'Population Definitions'!$A$5</f>
        <v>Gen 65+</v>
      </c>
      <c r="B19" s="1" t="s">
        <v>10</v>
      </c>
      <c r="C19" s="2">
        <f t="shared" si="2"/>
        <v>0</v>
      </c>
      <c r="D19" s="1" t="s">
        <v>16</v>
      </c>
      <c r="E19" s="2"/>
      <c r="F19" s="2"/>
      <c r="G19" s="2"/>
      <c r="H19" s="2"/>
      <c r="I19" s="2"/>
      <c r="J19" s="2"/>
      <c r="K19" s="2"/>
      <c r="L19" s="2"/>
      <c r="M19" s="2"/>
      <c r="N19" s="2"/>
      <c r="O19" s="2"/>
      <c r="P19" s="2"/>
      <c r="Q19" s="2"/>
      <c r="R19" s="2"/>
      <c r="S19" s="2"/>
      <c r="T19" s="2"/>
      <c r="U19" s="2"/>
    </row>
    <row r="20" spans="1:21" x14ac:dyDescent="0.55000000000000004">
      <c r="A20" s="1" t="str">
        <f>'Population Definitions'!$A$6</f>
        <v>PLHIV 15-64</v>
      </c>
      <c r="B20" s="1" t="s">
        <v>14</v>
      </c>
      <c r="C20" s="2" t="str">
        <f t="shared" si="2"/>
        <v>N.A.</v>
      </c>
      <c r="D20" s="1" t="s">
        <v>16</v>
      </c>
      <c r="E20" s="2">
        <v>22681.837470210241</v>
      </c>
      <c r="F20" s="2">
        <v>20556.983298072439</v>
      </c>
      <c r="G20" s="2">
        <v>18573.698987788179</v>
      </c>
      <c r="H20" s="2">
        <v>16750.450112027473</v>
      </c>
      <c r="I20" s="2">
        <v>15027.674619876898</v>
      </c>
      <c r="J20" s="2">
        <v>13425.583437720401</v>
      </c>
      <c r="K20" s="2">
        <v>14688.404726548804</v>
      </c>
      <c r="L20" s="2">
        <v>16382.943881668674</v>
      </c>
      <c r="M20" s="2">
        <v>33738.724520235563</v>
      </c>
      <c r="N20" s="2">
        <v>54797.156024123295</v>
      </c>
      <c r="O20" s="2">
        <v>55578.65507636081</v>
      </c>
      <c r="P20" s="2">
        <v>56310.151158831359</v>
      </c>
      <c r="Q20" s="2">
        <v>56975.620755403448</v>
      </c>
      <c r="R20" s="2">
        <v>51179.204673738604</v>
      </c>
      <c r="S20" s="2">
        <v>45228.498909280264</v>
      </c>
      <c r="T20" s="2">
        <v>39146.560956394584</v>
      </c>
      <c r="U20" s="2"/>
    </row>
    <row r="21" spans="1:21" x14ac:dyDescent="0.55000000000000004">
      <c r="A21" s="1" t="str">
        <f>'Population Definitions'!$A$7</f>
        <v>PLHIV 65+</v>
      </c>
      <c r="B21" s="1" t="s">
        <v>10</v>
      </c>
      <c r="C21" s="2">
        <f t="shared" si="2"/>
        <v>0</v>
      </c>
      <c r="D21" s="1" t="s">
        <v>16</v>
      </c>
      <c r="E21" s="2"/>
      <c r="F21" s="2"/>
      <c r="G21" s="2"/>
      <c r="H21" s="2"/>
      <c r="I21" s="2"/>
      <c r="J21" s="2"/>
      <c r="K21" s="2"/>
      <c r="L21" s="2"/>
      <c r="M21" s="2"/>
      <c r="N21" s="2"/>
      <c r="O21" s="2"/>
      <c r="P21" s="2"/>
      <c r="Q21" s="2"/>
      <c r="R21" s="2"/>
      <c r="S21" s="2"/>
      <c r="T21" s="2"/>
      <c r="U21" s="2"/>
    </row>
    <row r="22" spans="1:21" x14ac:dyDescent="0.55000000000000004">
      <c r="A22" s="1" t="str">
        <f>'Population Definitions'!$A$8</f>
        <v>Prisoners</v>
      </c>
      <c r="B22" s="1" t="s">
        <v>10</v>
      </c>
      <c r="C22" s="2">
        <f t="shared" si="2"/>
        <v>0</v>
      </c>
      <c r="D22" s="1" t="s">
        <v>16</v>
      </c>
      <c r="E22" s="2"/>
      <c r="F22" s="2"/>
      <c r="G22" s="2"/>
      <c r="H22" s="2"/>
      <c r="I22" s="2"/>
      <c r="J22" s="2"/>
      <c r="K22" s="2"/>
      <c r="L22" s="2"/>
      <c r="M22" s="2"/>
      <c r="N22" s="2"/>
      <c r="O22" s="2"/>
      <c r="P22" s="2"/>
      <c r="Q22" s="2"/>
      <c r="R22" s="2"/>
      <c r="S22" s="2"/>
      <c r="T22" s="2"/>
      <c r="U22" s="2"/>
    </row>
    <row r="23" spans="1:21" x14ac:dyDescent="0.55000000000000004">
      <c r="A23" s="1" t="str">
        <f>'Population Definitions'!$A$9</f>
        <v>PLHIV Prisoners</v>
      </c>
      <c r="B23" s="1" t="s">
        <v>10</v>
      </c>
      <c r="C23" s="2">
        <f t="shared" si="2"/>
        <v>0</v>
      </c>
      <c r="D23" s="1" t="s">
        <v>16</v>
      </c>
      <c r="E23" s="2"/>
      <c r="F23" s="2"/>
      <c r="G23" s="2"/>
      <c r="H23" s="2"/>
      <c r="I23" s="2"/>
      <c r="J23" s="2"/>
      <c r="K23" s="2"/>
      <c r="L23" s="2"/>
      <c r="M23" s="2"/>
      <c r="N23" s="2"/>
      <c r="O23" s="2"/>
      <c r="P23" s="2"/>
      <c r="Q23" s="2"/>
      <c r="R23" s="2"/>
      <c r="S23" s="2"/>
      <c r="T23" s="2"/>
      <c r="U23" s="2"/>
    </row>
    <row r="24" spans="1:21" x14ac:dyDescent="0.55000000000000004">
      <c r="A24" s="1" t="str">
        <f>'Population Definitions'!$A$10</f>
        <v>HCW</v>
      </c>
      <c r="B24" s="1" t="s">
        <v>10</v>
      </c>
      <c r="C24" s="2">
        <f t="shared" si="2"/>
        <v>0</v>
      </c>
      <c r="D24" s="1" t="s">
        <v>16</v>
      </c>
      <c r="E24" s="2"/>
      <c r="F24" s="2"/>
      <c r="G24" s="2"/>
      <c r="H24" s="2"/>
      <c r="I24" s="2"/>
      <c r="J24" s="2"/>
      <c r="K24" s="2"/>
      <c r="L24" s="2"/>
      <c r="M24" s="2"/>
      <c r="N24" s="2"/>
      <c r="O24" s="2"/>
      <c r="P24" s="2"/>
      <c r="Q24" s="2"/>
      <c r="R24" s="2"/>
      <c r="S24" s="2"/>
      <c r="T24" s="2"/>
      <c r="U24" s="2"/>
    </row>
    <row r="25" spans="1:21" x14ac:dyDescent="0.55000000000000004">
      <c r="A25" s="1" t="str">
        <f>'Population Definitions'!$A$11</f>
        <v>PLHIV HCW</v>
      </c>
      <c r="B25" s="1" t="s">
        <v>10</v>
      </c>
      <c r="C25" s="2">
        <f t="shared" si="2"/>
        <v>0</v>
      </c>
      <c r="D25" s="1" t="s">
        <v>16</v>
      </c>
      <c r="E25" s="2"/>
      <c r="F25" s="2"/>
      <c r="G25" s="2"/>
      <c r="H25" s="2"/>
      <c r="I25" s="2"/>
      <c r="J25" s="2"/>
      <c r="K25" s="2"/>
      <c r="L25" s="2"/>
      <c r="M25" s="2"/>
      <c r="N25" s="2"/>
      <c r="O25" s="2"/>
      <c r="P25" s="2"/>
      <c r="Q25" s="2"/>
      <c r="R25" s="2"/>
      <c r="S25" s="2"/>
      <c r="T25" s="2"/>
      <c r="U25" s="2"/>
    </row>
    <row r="26" spans="1:21" x14ac:dyDescent="0.55000000000000004">
      <c r="A26" s="1" t="str">
        <f>'Population Definitions'!$A$12</f>
        <v>Miners</v>
      </c>
      <c r="B26" s="1" t="s">
        <v>10</v>
      </c>
      <c r="C26" s="2">
        <f t="shared" si="2"/>
        <v>0</v>
      </c>
      <c r="D26" s="1" t="s">
        <v>16</v>
      </c>
      <c r="E26" s="8"/>
      <c r="F26" s="8"/>
      <c r="G26" s="8"/>
      <c r="H26" s="8"/>
      <c r="I26" s="8"/>
      <c r="J26" s="8"/>
      <c r="K26" s="8"/>
      <c r="L26" s="8"/>
      <c r="M26" s="8"/>
      <c r="N26" s="8"/>
      <c r="O26" s="8"/>
      <c r="P26" s="8"/>
      <c r="Q26" s="8"/>
      <c r="R26" s="8"/>
      <c r="S26" s="8"/>
      <c r="T26" s="8"/>
      <c r="U26" s="2"/>
    </row>
    <row r="27" spans="1:21" x14ac:dyDescent="0.55000000000000004">
      <c r="A27" s="1" t="str">
        <f>'Population Definitions'!$A$13</f>
        <v>PLHIV Miners</v>
      </c>
      <c r="B27" s="1" t="s">
        <v>10</v>
      </c>
      <c r="C27" s="2">
        <f t="shared" si="2"/>
        <v>0</v>
      </c>
      <c r="D27" s="1" t="s">
        <v>16</v>
      </c>
      <c r="E27" s="2"/>
      <c r="F27" s="2"/>
      <c r="G27" s="2"/>
      <c r="H27" s="2"/>
      <c r="I27" s="2"/>
      <c r="J27" s="2"/>
      <c r="K27" s="2"/>
      <c r="L27" s="2"/>
      <c r="M27" s="2"/>
      <c r="N27" s="2"/>
      <c r="O27" s="2"/>
      <c r="P27" s="2"/>
      <c r="Q27" s="2"/>
      <c r="R27" s="2"/>
      <c r="S27" s="2"/>
      <c r="T27" s="2"/>
      <c r="U27" s="2"/>
    </row>
    <row r="29" spans="1:21" x14ac:dyDescent="0.55000000000000004">
      <c r="A29" s="38" t="s">
        <v>142</v>
      </c>
      <c r="B29" s="38" t="s">
        <v>8</v>
      </c>
      <c r="C29" s="38" t="s">
        <v>9</v>
      </c>
      <c r="D29" s="38"/>
      <c r="E29" s="38">
        <v>2000</v>
      </c>
      <c r="F29" s="38">
        <v>2001</v>
      </c>
      <c r="G29" s="38">
        <v>2002</v>
      </c>
      <c r="H29" s="38">
        <v>2003</v>
      </c>
      <c r="I29" s="38">
        <v>2004</v>
      </c>
      <c r="J29" s="38">
        <v>2005</v>
      </c>
      <c r="K29" s="38">
        <v>2006</v>
      </c>
      <c r="L29" s="38">
        <v>2007</v>
      </c>
      <c r="M29" s="38">
        <v>2008</v>
      </c>
      <c r="N29" s="38">
        <v>2009</v>
      </c>
      <c r="O29" s="38">
        <v>2010</v>
      </c>
      <c r="P29" s="38">
        <v>2011</v>
      </c>
      <c r="Q29" s="38">
        <v>2012</v>
      </c>
      <c r="R29" s="38">
        <v>2013</v>
      </c>
      <c r="S29" s="38">
        <v>2014</v>
      </c>
      <c r="T29" s="38">
        <v>2015</v>
      </c>
      <c r="U29" s="38">
        <v>2016</v>
      </c>
    </row>
    <row r="30" spans="1:21" x14ac:dyDescent="0.55000000000000004">
      <c r="A30" s="38" t="str">
        <f>'Population Definitions'!$A$2</f>
        <v>Gen 0-4</v>
      </c>
      <c r="B30" s="38" t="s">
        <v>10</v>
      </c>
      <c r="C30" s="39" t="str">
        <f t="shared" ref="C30:C41" si="4">IF(SUMPRODUCT(--(E30:U30&lt;&gt;""))=0,0,"N.A.")</f>
        <v>N.A.</v>
      </c>
      <c r="D30" s="38" t="s">
        <v>16</v>
      </c>
      <c r="E30" s="40">
        <v>7.2537396121883655E-3</v>
      </c>
      <c r="F30" s="40">
        <v>7.5417201540436459E-3</v>
      </c>
      <c r="G30" s="40">
        <v>8.5990757855822549E-3</v>
      </c>
      <c r="H30" s="40">
        <v>9.7751223184042151E-3</v>
      </c>
      <c r="I30" s="40">
        <v>1.0997512913717238E-2</v>
      </c>
      <c r="J30" s="40">
        <v>1.1946325509811466E-2</v>
      </c>
      <c r="K30" s="40">
        <v>1.2481596280511429E-2</v>
      </c>
      <c r="L30" s="40">
        <v>1.1825405921680993E-2</v>
      </c>
      <c r="M30" s="40">
        <v>1.1405505952380952E-2</v>
      </c>
      <c r="N30" s="40">
        <v>9.4443435627383325E-3</v>
      </c>
      <c r="O30" s="40">
        <v>8.6111210762331841E-3</v>
      </c>
      <c r="P30" s="40">
        <v>6.7926315789473687E-3</v>
      </c>
      <c r="Q30" s="40">
        <v>6.616995073891626E-3</v>
      </c>
      <c r="R30" s="40">
        <v>6.2982770997846377E-3</v>
      </c>
      <c r="S30" s="40"/>
      <c r="T30" s="40"/>
      <c r="U30" s="40"/>
    </row>
    <row r="31" spans="1:21" x14ac:dyDescent="0.55000000000000004">
      <c r="A31" s="38" t="str">
        <f>'Population Definitions'!$A$3</f>
        <v>Gen 5-14</v>
      </c>
      <c r="B31" s="38" t="s">
        <v>10</v>
      </c>
      <c r="C31" s="39" t="str">
        <f t="shared" si="4"/>
        <v>N.A.</v>
      </c>
      <c r="D31" s="38" t="s">
        <v>16</v>
      </c>
      <c r="E31" s="40">
        <v>6.5641175896083599E-4</v>
      </c>
      <c r="F31" s="40">
        <v>6.8852459016393447E-4</v>
      </c>
      <c r="G31" s="40">
        <v>7.4768786127167629E-4</v>
      </c>
      <c r="H31" s="40">
        <v>8.2996842407425124E-4</v>
      </c>
      <c r="I31" s="40">
        <v>9.4574528840662476E-4</v>
      </c>
      <c r="J31" s="40">
        <v>9.6942070275403609E-4</v>
      </c>
      <c r="K31" s="40">
        <v>9.3937671687032299E-4</v>
      </c>
      <c r="L31" s="40">
        <v>9.0507349454717876E-4</v>
      </c>
      <c r="M31" s="40">
        <v>8.7392877547133878E-4</v>
      </c>
      <c r="N31" s="40">
        <v>8.4799463960945722E-4</v>
      </c>
      <c r="O31" s="40">
        <v>8.8803385917660637E-4</v>
      </c>
      <c r="P31" s="40">
        <v>8.0144787644787646E-4</v>
      </c>
      <c r="Q31" s="40">
        <v>8.6946454413892914E-4</v>
      </c>
      <c r="R31" s="40">
        <v>6.3795255930087396E-4</v>
      </c>
      <c r="S31" s="40"/>
      <c r="T31" s="40"/>
      <c r="U31" s="40"/>
    </row>
    <row r="32" spans="1:21" x14ac:dyDescent="0.55000000000000004">
      <c r="A32" s="38" t="str">
        <f>'Population Definitions'!$A$4</f>
        <v>Gen 15-64</v>
      </c>
      <c r="B32" s="38" t="s">
        <v>10</v>
      </c>
      <c r="C32" s="39" t="str">
        <f t="shared" si="4"/>
        <v>N.A.</v>
      </c>
      <c r="D32" s="38" t="s">
        <v>16</v>
      </c>
      <c r="E32" s="40">
        <v>9.1568384629393557E-3</v>
      </c>
      <c r="F32" s="40">
        <v>1.0059301410063703E-2</v>
      </c>
      <c r="G32" s="40">
        <v>1.1169197320896308E-2</v>
      </c>
      <c r="H32" s="40">
        <v>1.228640043913819E-2</v>
      </c>
      <c r="I32" s="40">
        <v>1.2673504330893709E-2</v>
      </c>
      <c r="J32" s="40">
        <v>1.2773204356266245E-2</v>
      </c>
      <c r="K32" s="40">
        <v>1.2702324080051647E-2</v>
      </c>
      <c r="L32" s="40">
        <v>1.2266814791302968E-2</v>
      </c>
      <c r="M32" s="40">
        <v>1.1832598705805121E-2</v>
      </c>
      <c r="N32" s="40">
        <v>1.1220994645165261E-2</v>
      </c>
      <c r="O32" s="40">
        <v>1.033619828708047E-2</v>
      </c>
      <c r="P32" s="40">
        <v>9.3090291233195212E-3</v>
      </c>
      <c r="Q32" s="40">
        <v>8.5349954589400284E-3</v>
      </c>
      <c r="R32" s="40">
        <v>7.7427765626798661E-3</v>
      </c>
      <c r="S32" s="40"/>
      <c r="T32" s="40"/>
      <c r="U32" s="40"/>
    </row>
    <row r="33" spans="1:21" x14ac:dyDescent="0.55000000000000004">
      <c r="A33" s="38" t="str">
        <f>'Population Definitions'!$A$5</f>
        <v>Gen 65+</v>
      </c>
      <c r="B33" s="38" t="s">
        <v>10</v>
      </c>
      <c r="C33" s="39" t="str">
        <f t="shared" si="4"/>
        <v>N.A.</v>
      </c>
      <c r="D33" s="38" t="s">
        <v>16</v>
      </c>
      <c r="E33" s="40">
        <v>6.6788031319910512E-2</v>
      </c>
      <c r="F33" s="40">
        <v>6.7353944562899781E-2</v>
      </c>
      <c r="G33" s="40">
        <v>6.6125635808748723E-2</v>
      </c>
      <c r="H33" s="40">
        <v>6.7565111758989313E-2</v>
      </c>
      <c r="I33" s="40">
        <v>6.1876163873370575E-2</v>
      </c>
      <c r="J33" s="40">
        <v>6.1941334527541421E-2</v>
      </c>
      <c r="K33" s="40">
        <v>6.2693895098882207E-2</v>
      </c>
      <c r="L33" s="40">
        <v>6.1216597510373442E-2</v>
      </c>
      <c r="M33" s="40">
        <v>5.9705123033481244E-2</v>
      </c>
      <c r="N33" s="40">
        <v>6.1533018867924526E-2</v>
      </c>
      <c r="O33" s="40">
        <v>5.7977368622938244E-2</v>
      </c>
      <c r="P33" s="40">
        <v>5.9001901140684411E-2</v>
      </c>
      <c r="Q33" s="40">
        <v>5.7662650602409639E-2</v>
      </c>
      <c r="R33" s="40">
        <v>5.519746646795827E-2</v>
      </c>
      <c r="S33" s="40"/>
      <c r="T33" s="40"/>
      <c r="U33" s="40"/>
    </row>
    <row r="34" spans="1:21" x14ac:dyDescent="0.55000000000000004">
      <c r="A34" s="38" t="str">
        <f>'Population Definitions'!$A$6</f>
        <v>PLHIV 15-64</v>
      </c>
      <c r="B34" s="38" t="s">
        <v>10</v>
      </c>
      <c r="C34" s="39" t="str">
        <f t="shared" si="4"/>
        <v>N.A.</v>
      </c>
      <c r="D34" s="38" t="s">
        <v>16</v>
      </c>
      <c r="E34" s="40">
        <v>0.22</v>
      </c>
      <c r="F34" s="40"/>
      <c r="G34" s="40"/>
      <c r="H34" s="40"/>
      <c r="I34" s="40">
        <v>0.22</v>
      </c>
      <c r="J34" s="40">
        <v>0.1</v>
      </c>
      <c r="K34" s="40"/>
      <c r="L34" s="40"/>
      <c r="M34" s="40"/>
      <c r="N34" s="40">
        <v>9.5000000000000001E-2</v>
      </c>
      <c r="O34" s="40"/>
      <c r="P34" s="40"/>
      <c r="Q34" s="40"/>
      <c r="R34" s="40"/>
      <c r="S34" s="40"/>
      <c r="T34" s="40"/>
      <c r="U34" s="40">
        <v>5.1700000000000003E-2</v>
      </c>
    </row>
    <row r="35" spans="1:21" x14ac:dyDescent="0.55000000000000004">
      <c r="A35" s="38" t="str">
        <f>'Population Definitions'!$A$7</f>
        <v>PLHIV 65+</v>
      </c>
      <c r="B35" s="38" t="s">
        <v>10</v>
      </c>
      <c r="C35" s="39" t="str">
        <f t="shared" si="4"/>
        <v>N.A.</v>
      </c>
      <c r="D35" s="38" t="s">
        <v>16</v>
      </c>
      <c r="E35" s="40">
        <v>0.13078803131991051</v>
      </c>
      <c r="F35" s="40">
        <v>0.13130259600088778</v>
      </c>
      <c r="G35" s="40">
        <v>0.1300244534356424</v>
      </c>
      <c r="H35" s="40">
        <v>0.13141013821384154</v>
      </c>
      <c r="I35" s="40">
        <v>0.12558004395123723</v>
      </c>
      <c r="J35" s="40">
        <v>0.12529630652387946</v>
      </c>
      <c r="K35" s="40">
        <v>0.12555678154720334</v>
      </c>
      <c r="L35" s="40">
        <v>0.12337864175214185</v>
      </c>
      <c r="M35" s="40">
        <v>0.12107593695795471</v>
      </c>
      <c r="N35" s="40">
        <v>0.12196882723285346</v>
      </c>
      <c r="O35" s="40">
        <v>0.11716909489440178</v>
      </c>
      <c r="P35" s="40">
        <v>0.11650175033566476</v>
      </c>
      <c r="Q35" s="40">
        <v>0.11359781206949608</v>
      </c>
      <c r="R35" s="40">
        <v>0.10968359763968305</v>
      </c>
      <c r="S35" s="40"/>
      <c r="T35" s="40"/>
      <c r="U35" s="40">
        <f>5.17*2%</f>
        <v>0.10340000000000001</v>
      </c>
    </row>
    <row r="36" spans="1:21" x14ac:dyDescent="0.55000000000000004">
      <c r="A36" s="38" t="str">
        <f>'Population Definitions'!$A$8</f>
        <v>Prisoners</v>
      </c>
      <c r="B36" s="38" t="s">
        <v>10</v>
      </c>
      <c r="C36" s="39" t="str">
        <f t="shared" si="4"/>
        <v>N.A.</v>
      </c>
      <c r="D36" s="38" t="s">
        <v>16</v>
      </c>
      <c r="E36" s="40">
        <v>9.1568384629393557E-3</v>
      </c>
      <c r="F36" s="40">
        <v>1.0059301410063703E-2</v>
      </c>
      <c r="G36" s="40">
        <v>1.1169197320896308E-2</v>
      </c>
      <c r="H36" s="40">
        <v>1.228640043913819E-2</v>
      </c>
      <c r="I36" s="40">
        <v>1.2673504330893709E-2</v>
      </c>
      <c r="J36" s="40">
        <v>1.2773204356266245E-2</v>
      </c>
      <c r="K36" s="40">
        <v>1.2702324080051647E-2</v>
      </c>
      <c r="L36" s="40">
        <v>1.2266814791302968E-2</v>
      </c>
      <c r="M36" s="40">
        <v>1.1832598705805121E-2</v>
      </c>
      <c r="N36" s="40">
        <v>1.1220994645165261E-2</v>
      </c>
      <c r="O36" s="40">
        <v>1.033619828708047E-2</v>
      </c>
      <c r="P36" s="40">
        <v>9.3090291233195212E-3</v>
      </c>
      <c r="Q36" s="40">
        <v>8.5349954589400284E-3</v>
      </c>
      <c r="R36" s="40">
        <v>7.7427765626798661E-3</v>
      </c>
      <c r="S36" s="40"/>
      <c r="T36" s="40"/>
      <c r="U36" s="40"/>
    </row>
    <row r="37" spans="1:21" x14ac:dyDescent="0.55000000000000004">
      <c r="A37" s="38" t="str">
        <f>'Population Definitions'!$A$9</f>
        <v>PLHIV Prisoners</v>
      </c>
      <c r="B37" s="38" t="s">
        <v>10</v>
      </c>
      <c r="C37" s="39" t="str">
        <f t="shared" si="4"/>
        <v>N.A.</v>
      </c>
      <c r="D37" s="38" t="s">
        <v>16</v>
      </c>
      <c r="E37" s="40">
        <v>6.4000000000000001E-2</v>
      </c>
      <c r="F37" s="40">
        <v>6.3948651437987988E-2</v>
      </c>
      <c r="G37" s="40">
        <v>6.3898817626893673E-2</v>
      </c>
      <c r="H37" s="40">
        <v>6.3845026454852224E-2</v>
      </c>
      <c r="I37" s="40">
        <v>6.3703880077866662E-2</v>
      </c>
      <c r="J37" s="40">
        <v>6.335497199633805E-2</v>
      </c>
      <c r="K37" s="40">
        <v>6.2862886448321123E-2</v>
      </c>
      <c r="L37" s="40">
        <v>6.2162044241768404E-2</v>
      </c>
      <c r="M37" s="40">
        <v>6.1370813924473459E-2</v>
      </c>
      <c r="N37" s="40">
        <v>6.0435808364928928E-2</v>
      </c>
      <c r="O37" s="40">
        <v>5.9191726271463532E-2</v>
      </c>
      <c r="P37" s="40">
        <v>5.749984919498035E-2</v>
      </c>
      <c r="Q37" s="40">
        <v>5.5935161467086443E-2</v>
      </c>
      <c r="R37" s="40">
        <v>5.4486131171724773E-2</v>
      </c>
      <c r="S37" s="40">
        <v>5.3535149309928476E-2</v>
      </c>
      <c r="T37" s="40">
        <v>5.2902882675074106E-2</v>
      </c>
      <c r="U37" s="40">
        <v>5.1688791647076265E-2</v>
      </c>
    </row>
    <row r="38" spans="1:21" x14ac:dyDescent="0.55000000000000004">
      <c r="A38" s="38" t="str">
        <f>'Population Definitions'!$A$10</f>
        <v>HCW</v>
      </c>
      <c r="B38" s="38" t="s">
        <v>10</v>
      </c>
      <c r="C38" s="39" t="str">
        <f t="shared" si="4"/>
        <v>N.A.</v>
      </c>
      <c r="D38" s="38" t="s">
        <v>16</v>
      </c>
      <c r="E38" s="40">
        <v>9.1568384629393557E-3</v>
      </c>
      <c r="F38" s="40">
        <v>1.0059301410063703E-2</v>
      </c>
      <c r="G38" s="40">
        <v>1.1169197320896308E-2</v>
      </c>
      <c r="H38" s="40">
        <v>1.228640043913819E-2</v>
      </c>
      <c r="I38" s="40">
        <v>1.2673504330893709E-2</v>
      </c>
      <c r="J38" s="40">
        <v>1.2773204356266245E-2</v>
      </c>
      <c r="K38" s="40">
        <v>1.2702324080051647E-2</v>
      </c>
      <c r="L38" s="40">
        <v>1.2266814791302968E-2</v>
      </c>
      <c r="M38" s="40">
        <v>1.1832598705805121E-2</v>
      </c>
      <c r="N38" s="40">
        <v>1.1220994645165261E-2</v>
      </c>
      <c r="O38" s="40">
        <v>1.033619828708047E-2</v>
      </c>
      <c r="P38" s="40">
        <v>9.3090291233195212E-3</v>
      </c>
      <c r="Q38" s="40">
        <v>8.5349954589400284E-3</v>
      </c>
      <c r="R38" s="40">
        <v>7.7427765626798661E-3</v>
      </c>
      <c r="S38" s="40"/>
      <c r="T38" s="40"/>
      <c r="U38" s="40"/>
    </row>
    <row r="39" spans="1:21" x14ac:dyDescent="0.55000000000000004">
      <c r="A39" s="38" t="str">
        <f>'Population Definitions'!$A$11</f>
        <v>PLHIV HCW</v>
      </c>
      <c r="B39" s="38" t="s">
        <v>10</v>
      </c>
      <c r="C39" s="39" t="str">
        <f t="shared" si="4"/>
        <v>N.A.</v>
      </c>
      <c r="D39" s="38" t="s">
        <v>16</v>
      </c>
      <c r="E39" s="40">
        <v>6.4000000000000001E-2</v>
      </c>
      <c r="F39" s="40">
        <v>6.3948651437987988E-2</v>
      </c>
      <c r="G39" s="40">
        <v>6.3898817626893673E-2</v>
      </c>
      <c r="H39" s="40">
        <v>6.3845026454852224E-2</v>
      </c>
      <c r="I39" s="40">
        <v>6.3703880077866662E-2</v>
      </c>
      <c r="J39" s="40">
        <v>6.335497199633805E-2</v>
      </c>
      <c r="K39" s="40">
        <v>6.2862886448321123E-2</v>
      </c>
      <c r="L39" s="40">
        <v>6.2162044241768404E-2</v>
      </c>
      <c r="M39" s="40">
        <v>6.1370813924473459E-2</v>
      </c>
      <c r="N39" s="40">
        <v>6.0435808364928928E-2</v>
      </c>
      <c r="O39" s="40">
        <v>5.9191726271463532E-2</v>
      </c>
      <c r="P39" s="40">
        <v>5.749984919498035E-2</v>
      </c>
      <c r="Q39" s="40">
        <v>5.5935161467086443E-2</v>
      </c>
      <c r="R39" s="40">
        <v>5.4486131171724773E-2</v>
      </c>
      <c r="S39" s="40">
        <v>5.3535149309928476E-2</v>
      </c>
      <c r="T39" s="40">
        <v>5.2902882675074106E-2</v>
      </c>
      <c r="U39" s="40">
        <v>5.1688791647076265E-2</v>
      </c>
    </row>
    <row r="40" spans="1:21" x14ac:dyDescent="0.55000000000000004">
      <c r="A40" s="38" t="str">
        <f>'Population Definitions'!$A$12</f>
        <v>Miners</v>
      </c>
      <c r="B40" s="38" t="s">
        <v>10</v>
      </c>
      <c r="C40" s="39" t="str">
        <f t="shared" si="4"/>
        <v>N.A.</v>
      </c>
      <c r="D40" s="38" t="s">
        <v>16</v>
      </c>
      <c r="E40" s="40">
        <v>9.1568384629393557E-3</v>
      </c>
      <c r="F40" s="40">
        <v>1.0059301410063703E-2</v>
      </c>
      <c r="G40" s="40">
        <v>1.1169197320896308E-2</v>
      </c>
      <c r="H40" s="40">
        <v>1.228640043913819E-2</v>
      </c>
      <c r="I40" s="40">
        <v>1.2673504330893709E-2</v>
      </c>
      <c r="J40" s="40">
        <v>1.2773204356266245E-2</v>
      </c>
      <c r="K40" s="40">
        <v>1.2702324080051647E-2</v>
      </c>
      <c r="L40" s="40">
        <v>1.2266814791302968E-2</v>
      </c>
      <c r="M40" s="40">
        <v>1.1832598705805121E-2</v>
      </c>
      <c r="N40" s="40">
        <v>1.1220994645165261E-2</v>
      </c>
      <c r="O40" s="40">
        <v>1.033619828708047E-2</v>
      </c>
      <c r="P40" s="40">
        <v>9.3090291233195212E-3</v>
      </c>
      <c r="Q40" s="40">
        <v>8.5349954589400284E-3</v>
      </c>
      <c r="R40" s="40">
        <v>7.7427765626798661E-3</v>
      </c>
      <c r="S40" s="40"/>
      <c r="T40" s="40"/>
      <c r="U40" s="40"/>
    </row>
    <row r="41" spans="1:21" x14ac:dyDescent="0.55000000000000004">
      <c r="A41" s="38" t="str">
        <f>'Population Definitions'!$A$13</f>
        <v>PLHIV Miners</v>
      </c>
      <c r="B41" s="38" t="s">
        <v>10</v>
      </c>
      <c r="C41" s="39" t="str">
        <f t="shared" si="4"/>
        <v>N.A.</v>
      </c>
      <c r="D41" s="38" t="s">
        <v>16</v>
      </c>
      <c r="E41" s="40">
        <v>6.4000000000000001E-2</v>
      </c>
      <c r="F41" s="40">
        <v>6.3948651437987988E-2</v>
      </c>
      <c r="G41" s="40">
        <v>6.3898817626893673E-2</v>
      </c>
      <c r="H41" s="40">
        <v>6.3845026454852224E-2</v>
      </c>
      <c r="I41" s="40">
        <v>6.3703880077866662E-2</v>
      </c>
      <c r="J41" s="40">
        <v>6.335497199633805E-2</v>
      </c>
      <c r="K41" s="40">
        <v>6.2862886448321123E-2</v>
      </c>
      <c r="L41" s="40">
        <v>6.2162044241768404E-2</v>
      </c>
      <c r="M41" s="40">
        <v>6.1370813924473459E-2</v>
      </c>
      <c r="N41" s="40">
        <v>6.0435808364928928E-2</v>
      </c>
      <c r="O41" s="40">
        <v>5.9191726271463532E-2</v>
      </c>
      <c r="P41" s="40">
        <v>5.749984919498035E-2</v>
      </c>
      <c r="Q41" s="40">
        <v>5.5935161467086443E-2</v>
      </c>
      <c r="R41" s="40">
        <v>5.4486131171724773E-2</v>
      </c>
      <c r="S41" s="40">
        <v>5.3535149309928476E-2</v>
      </c>
      <c r="T41" s="40">
        <v>5.2902882675074106E-2</v>
      </c>
      <c r="U41" s="40">
        <v>5.1688791647076265E-2</v>
      </c>
    </row>
    <row r="43" spans="1:21" x14ac:dyDescent="0.55000000000000004">
      <c r="A43" s="38" t="s">
        <v>143</v>
      </c>
      <c r="B43" s="38" t="s">
        <v>8</v>
      </c>
      <c r="C43" s="38" t="s">
        <v>9</v>
      </c>
      <c r="D43" s="38"/>
      <c r="E43" s="38">
        <v>2000</v>
      </c>
      <c r="F43" s="38">
        <v>2001</v>
      </c>
      <c r="G43" s="38">
        <v>2002</v>
      </c>
      <c r="H43" s="38">
        <v>2003</v>
      </c>
      <c r="I43" s="38">
        <v>2004</v>
      </c>
      <c r="J43" s="38">
        <v>2005</v>
      </c>
      <c r="K43" s="38">
        <v>2006</v>
      </c>
      <c r="L43" s="38">
        <v>2007</v>
      </c>
      <c r="M43" s="38">
        <v>2008</v>
      </c>
      <c r="N43" s="38">
        <v>2009</v>
      </c>
      <c r="O43" s="38">
        <v>2010</v>
      </c>
      <c r="P43" s="38">
        <v>2011</v>
      </c>
      <c r="Q43" s="38">
        <v>2012</v>
      </c>
      <c r="R43" s="38">
        <v>2013</v>
      </c>
      <c r="S43" s="38">
        <v>2014</v>
      </c>
      <c r="T43" s="38">
        <v>2015</v>
      </c>
      <c r="U43" s="38">
        <v>2016</v>
      </c>
    </row>
    <row r="44" spans="1:21" x14ac:dyDescent="0.55000000000000004">
      <c r="A44" s="38" t="str">
        <f>'Population Definitions'!$A$2</f>
        <v>Gen 0-4</v>
      </c>
      <c r="B44" s="38" t="s">
        <v>10</v>
      </c>
      <c r="C44" s="39" t="str">
        <f t="shared" ref="C44:C55" si="5">IF(SUMPRODUCT(--(E44:U44&lt;&gt;""))=0,0,"N.A.")</f>
        <v>N.A.</v>
      </c>
      <c r="D44" s="38" t="s">
        <v>16</v>
      </c>
      <c r="E44" s="40">
        <v>7.2537396121883655E-3</v>
      </c>
      <c r="F44" s="40">
        <v>7.5417201540436459E-3</v>
      </c>
      <c r="G44" s="40">
        <v>8.5990757855822549E-3</v>
      </c>
      <c r="H44" s="40">
        <v>9.7751223184042151E-3</v>
      </c>
      <c r="I44" s="40">
        <v>1.0997512913717238E-2</v>
      </c>
      <c r="J44" s="40">
        <v>1.1946325509811466E-2</v>
      </c>
      <c r="K44" s="40">
        <v>1.2481596280511429E-2</v>
      </c>
      <c r="L44" s="40">
        <v>1.1825405921680993E-2</v>
      </c>
      <c r="M44" s="40">
        <v>1.1405505952380952E-2</v>
      </c>
      <c r="N44" s="40">
        <v>9.4443435627383325E-3</v>
      </c>
      <c r="O44" s="40">
        <v>8.6111210762331841E-3</v>
      </c>
      <c r="P44" s="40">
        <v>6.7926315789473687E-3</v>
      </c>
      <c r="Q44" s="40">
        <v>6.616995073891626E-3</v>
      </c>
      <c r="R44" s="40">
        <v>6.2982770997846377E-3</v>
      </c>
      <c r="S44" s="40"/>
      <c r="T44" s="40"/>
      <c r="U44" s="40"/>
    </row>
    <row r="45" spans="1:21" x14ac:dyDescent="0.55000000000000004">
      <c r="A45" s="38" t="str">
        <f>'Population Definitions'!$A$3</f>
        <v>Gen 5-14</v>
      </c>
      <c r="B45" s="38" t="s">
        <v>10</v>
      </c>
      <c r="C45" s="39" t="str">
        <f t="shared" si="5"/>
        <v>N.A.</v>
      </c>
      <c r="D45" s="38" t="s">
        <v>16</v>
      </c>
      <c r="E45" s="40">
        <v>6.5641175896083599E-4</v>
      </c>
      <c r="F45" s="40">
        <v>6.8852459016393447E-4</v>
      </c>
      <c r="G45" s="40">
        <v>7.4768786127167629E-4</v>
      </c>
      <c r="H45" s="40">
        <v>8.2996842407425124E-4</v>
      </c>
      <c r="I45" s="40">
        <v>9.4574528840662476E-4</v>
      </c>
      <c r="J45" s="40">
        <v>9.6942070275403609E-4</v>
      </c>
      <c r="K45" s="40">
        <v>9.3937671687032299E-4</v>
      </c>
      <c r="L45" s="40">
        <v>9.0507349454717876E-4</v>
      </c>
      <c r="M45" s="40">
        <v>8.7392877547133878E-4</v>
      </c>
      <c r="N45" s="40">
        <v>8.4799463960945722E-4</v>
      </c>
      <c r="O45" s="40">
        <v>8.8803385917660637E-4</v>
      </c>
      <c r="P45" s="40">
        <v>8.0144787644787646E-4</v>
      </c>
      <c r="Q45" s="40">
        <v>8.6946454413892914E-4</v>
      </c>
      <c r="R45" s="40">
        <v>6.3795255930087396E-4</v>
      </c>
      <c r="S45" s="40"/>
      <c r="T45" s="40"/>
      <c r="U45" s="40"/>
    </row>
    <row r="46" spans="1:21" x14ac:dyDescent="0.55000000000000004">
      <c r="A46" s="38" t="str">
        <f>'Population Definitions'!$A$4</f>
        <v>Gen 15-64</v>
      </c>
      <c r="B46" s="38" t="s">
        <v>10</v>
      </c>
      <c r="C46" s="39" t="str">
        <f t="shared" si="5"/>
        <v>N.A.</v>
      </c>
      <c r="D46" s="38" t="s">
        <v>16</v>
      </c>
      <c r="E46" s="40">
        <v>9.1568384629393557E-3</v>
      </c>
      <c r="F46" s="40">
        <v>1.0059301410063703E-2</v>
      </c>
      <c r="G46" s="40">
        <v>1.1169197320896308E-2</v>
      </c>
      <c r="H46" s="40">
        <v>1.228640043913819E-2</v>
      </c>
      <c r="I46" s="40">
        <v>1.2673504330893709E-2</v>
      </c>
      <c r="J46" s="40">
        <v>1.2773204356266245E-2</v>
      </c>
      <c r="K46" s="40">
        <v>1.2702324080051647E-2</v>
      </c>
      <c r="L46" s="40">
        <v>1.2266814791302968E-2</v>
      </c>
      <c r="M46" s="40">
        <v>1.1832598705805121E-2</v>
      </c>
      <c r="N46" s="40">
        <v>1.1220994645165261E-2</v>
      </c>
      <c r="O46" s="40">
        <v>1.033619828708047E-2</v>
      </c>
      <c r="P46" s="40">
        <v>9.3090291233195212E-3</v>
      </c>
      <c r="Q46" s="40">
        <v>8.5349954589400284E-3</v>
      </c>
      <c r="R46" s="40">
        <v>7.7427765626798661E-3</v>
      </c>
      <c r="S46" s="40"/>
      <c r="T46" s="40"/>
      <c r="U46" s="40"/>
    </row>
    <row r="47" spans="1:21" x14ac:dyDescent="0.55000000000000004">
      <c r="A47" s="38" t="str">
        <f>'Population Definitions'!$A$5</f>
        <v>Gen 65+</v>
      </c>
      <c r="B47" s="38" t="s">
        <v>10</v>
      </c>
      <c r="C47" s="39" t="str">
        <f t="shared" si="5"/>
        <v>N.A.</v>
      </c>
      <c r="D47" s="38" t="s">
        <v>16</v>
      </c>
      <c r="E47" s="40">
        <v>6.6788031319910512E-2</v>
      </c>
      <c r="F47" s="40">
        <v>6.7353944562899781E-2</v>
      </c>
      <c r="G47" s="40">
        <v>6.6125635808748723E-2</v>
      </c>
      <c r="H47" s="40">
        <v>6.7565111758989313E-2</v>
      </c>
      <c r="I47" s="40">
        <v>6.1876163873370575E-2</v>
      </c>
      <c r="J47" s="40">
        <v>6.1941334527541421E-2</v>
      </c>
      <c r="K47" s="40">
        <v>6.2693895098882207E-2</v>
      </c>
      <c r="L47" s="40">
        <v>6.1216597510373442E-2</v>
      </c>
      <c r="M47" s="40">
        <v>5.9705123033481244E-2</v>
      </c>
      <c r="N47" s="40">
        <v>6.1533018867924526E-2</v>
      </c>
      <c r="O47" s="40">
        <v>5.7977368622938244E-2</v>
      </c>
      <c r="P47" s="40">
        <v>5.9001901140684411E-2</v>
      </c>
      <c r="Q47" s="40">
        <v>5.7662650602409639E-2</v>
      </c>
      <c r="R47" s="40">
        <v>5.519746646795827E-2</v>
      </c>
      <c r="S47" s="40"/>
      <c r="T47" s="40"/>
      <c r="U47" s="40"/>
    </row>
    <row r="48" spans="1:21" x14ac:dyDescent="0.55000000000000004">
      <c r="A48" s="38" t="str">
        <f>'Population Definitions'!$A$6</f>
        <v>PLHIV 15-64</v>
      </c>
      <c r="B48" s="38" t="s">
        <v>10</v>
      </c>
      <c r="C48" s="39" t="str">
        <f t="shared" si="5"/>
        <v>N.A.</v>
      </c>
      <c r="D48" s="38" t="s">
        <v>16</v>
      </c>
      <c r="E48" s="40">
        <v>0.22</v>
      </c>
      <c r="F48" s="40"/>
      <c r="G48" s="40"/>
      <c r="H48" s="40"/>
      <c r="I48" s="40">
        <v>0.22</v>
      </c>
      <c r="J48" s="40">
        <v>0.1</v>
      </c>
      <c r="K48" s="40"/>
      <c r="L48" s="40"/>
      <c r="M48" s="40"/>
      <c r="N48" s="40">
        <v>9.5000000000000001E-2</v>
      </c>
      <c r="O48" s="40"/>
      <c r="P48" s="40"/>
      <c r="Q48" s="40"/>
      <c r="R48" s="40"/>
      <c r="S48" s="40"/>
      <c r="T48" s="40"/>
      <c r="U48" s="40">
        <v>5.1700000000000003E-2</v>
      </c>
    </row>
    <row r="49" spans="1:21" x14ac:dyDescent="0.55000000000000004">
      <c r="A49" s="38" t="str">
        <f>'Population Definitions'!$A$7</f>
        <v>PLHIV 65+</v>
      </c>
      <c r="B49" s="38" t="s">
        <v>10</v>
      </c>
      <c r="C49" s="39" t="str">
        <f t="shared" si="5"/>
        <v>N.A.</v>
      </c>
      <c r="D49" s="38" t="s">
        <v>16</v>
      </c>
      <c r="E49" s="40">
        <v>0.13078803131991051</v>
      </c>
      <c r="F49" s="40">
        <v>0.13130259600088778</v>
      </c>
      <c r="G49" s="40">
        <v>0.1300244534356424</v>
      </c>
      <c r="H49" s="40">
        <v>0.13141013821384154</v>
      </c>
      <c r="I49" s="40">
        <v>0.12558004395123723</v>
      </c>
      <c r="J49" s="40">
        <v>0.12529630652387946</v>
      </c>
      <c r="K49" s="40">
        <v>0.12555678154720334</v>
      </c>
      <c r="L49" s="40">
        <v>0.12337864175214185</v>
      </c>
      <c r="M49" s="40">
        <v>0.12107593695795471</v>
      </c>
      <c r="N49" s="40">
        <v>0.12196882723285346</v>
      </c>
      <c r="O49" s="40">
        <v>0.11716909489440178</v>
      </c>
      <c r="P49" s="40">
        <v>0.11650175033566476</v>
      </c>
      <c r="Q49" s="40">
        <v>0.11359781206949608</v>
      </c>
      <c r="R49" s="40">
        <v>0.10968359763968305</v>
      </c>
      <c r="S49" s="40"/>
      <c r="T49" s="40"/>
      <c r="U49" s="40">
        <f>5.17*2%</f>
        <v>0.10340000000000001</v>
      </c>
    </row>
    <row r="50" spans="1:21" x14ac:dyDescent="0.55000000000000004">
      <c r="A50" s="38" t="str">
        <f>'Population Definitions'!$A$8</f>
        <v>Prisoners</v>
      </c>
      <c r="B50" s="38" t="s">
        <v>10</v>
      </c>
      <c r="C50" s="39" t="str">
        <f t="shared" si="5"/>
        <v>N.A.</v>
      </c>
      <c r="D50" s="38" t="s">
        <v>16</v>
      </c>
      <c r="E50" s="40">
        <v>9.1568384629393557E-3</v>
      </c>
      <c r="F50" s="40">
        <v>1.0059301410063703E-2</v>
      </c>
      <c r="G50" s="40">
        <v>1.1169197320896308E-2</v>
      </c>
      <c r="H50" s="40">
        <v>1.228640043913819E-2</v>
      </c>
      <c r="I50" s="40">
        <v>1.2673504330893709E-2</v>
      </c>
      <c r="J50" s="40">
        <v>1.2773204356266245E-2</v>
      </c>
      <c r="K50" s="40">
        <v>1.2702324080051647E-2</v>
      </c>
      <c r="L50" s="40">
        <v>1.2266814791302968E-2</v>
      </c>
      <c r="M50" s="40">
        <v>1.1832598705805121E-2</v>
      </c>
      <c r="N50" s="40">
        <v>1.1220994645165261E-2</v>
      </c>
      <c r="O50" s="40">
        <v>1.033619828708047E-2</v>
      </c>
      <c r="P50" s="40">
        <v>9.3090291233195212E-3</v>
      </c>
      <c r="Q50" s="40">
        <v>8.5349954589400284E-3</v>
      </c>
      <c r="R50" s="40">
        <v>7.7427765626798661E-3</v>
      </c>
      <c r="S50" s="40"/>
      <c r="T50" s="40"/>
      <c r="U50" s="40"/>
    </row>
    <row r="51" spans="1:21" x14ac:dyDescent="0.55000000000000004">
      <c r="A51" s="38" t="str">
        <f>'Population Definitions'!$A$9</f>
        <v>PLHIV Prisoners</v>
      </c>
      <c r="B51" s="38" t="s">
        <v>10</v>
      </c>
      <c r="C51" s="39" t="str">
        <f t="shared" si="5"/>
        <v>N.A.</v>
      </c>
      <c r="D51" s="38" t="s">
        <v>16</v>
      </c>
      <c r="E51" s="40">
        <v>6.4000000000000001E-2</v>
      </c>
      <c r="F51" s="40">
        <v>6.3948651437987988E-2</v>
      </c>
      <c r="G51" s="40">
        <v>6.3898817626893673E-2</v>
      </c>
      <c r="H51" s="40">
        <v>6.3845026454852224E-2</v>
      </c>
      <c r="I51" s="40">
        <v>6.3703880077866662E-2</v>
      </c>
      <c r="J51" s="40">
        <v>6.335497199633805E-2</v>
      </c>
      <c r="K51" s="40">
        <v>6.2862886448321123E-2</v>
      </c>
      <c r="L51" s="40">
        <v>6.2162044241768404E-2</v>
      </c>
      <c r="M51" s="40">
        <v>6.1370813924473459E-2</v>
      </c>
      <c r="N51" s="40">
        <v>6.0435808364928928E-2</v>
      </c>
      <c r="O51" s="40">
        <v>5.9191726271463532E-2</v>
      </c>
      <c r="P51" s="40">
        <v>5.749984919498035E-2</v>
      </c>
      <c r="Q51" s="40">
        <v>5.5935161467086443E-2</v>
      </c>
      <c r="R51" s="40">
        <v>5.4486131171724773E-2</v>
      </c>
      <c r="S51" s="40">
        <v>5.3535149309928476E-2</v>
      </c>
      <c r="T51" s="40">
        <v>5.2902882675074106E-2</v>
      </c>
      <c r="U51" s="40">
        <v>5.1688791647076265E-2</v>
      </c>
    </row>
    <row r="52" spans="1:21" x14ac:dyDescent="0.55000000000000004">
      <c r="A52" s="38" t="str">
        <f>'Population Definitions'!$A$10</f>
        <v>HCW</v>
      </c>
      <c r="B52" s="38" t="s">
        <v>10</v>
      </c>
      <c r="C52" s="39" t="str">
        <f t="shared" si="5"/>
        <v>N.A.</v>
      </c>
      <c r="D52" s="38" t="s">
        <v>16</v>
      </c>
      <c r="E52" s="40">
        <v>9.1568384629393557E-3</v>
      </c>
      <c r="F52" s="40">
        <v>1.0059301410063703E-2</v>
      </c>
      <c r="G52" s="40">
        <v>1.1169197320896308E-2</v>
      </c>
      <c r="H52" s="40">
        <v>1.228640043913819E-2</v>
      </c>
      <c r="I52" s="40">
        <v>1.2673504330893709E-2</v>
      </c>
      <c r="J52" s="40">
        <v>1.2773204356266245E-2</v>
      </c>
      <c r="K52" s="40">
        <v>1.2702324080051647E-2</v>
      </c>
      <c r="L52" s="40">
        <v>1.2266814791302968E-2</v>
      </c>
      <c r="M52" s="40">
        <v>1.1832598705805121E-2</v>
      </c>
      <c r="N52" s="40">
        <v>1.1220994645165261E-2</v>
      </c>
      <c r="O52" s="40">
        <v>1.033619828708047E-2</v>
      </c>
      <c r="P52" s="40">
        <v>9.3090291233195212E-3</v>
      </c>
      <c r="Q52" s="40">
        <v>8.5349954589400284E-3</v>
      </c>
      <c r="R52" s="40">
        <v>7.7427765626798661E-3</v>
      </c>
      <c r="S52" s="40"/>
      <c r="T52" s="40"/>
      <c r="U52" s="40"/>
    </row>
    <row r="53" spans="1:21" x14ac:dyDescent="0.55000000000000004">
      <c r="A53" s="38" t="str">
        <f>'Population Definitions'!$A$11</f>
        <v>PLHIV HCW</v>
      </c>
      <c r="B53" s="38" t="s">
        <v>10</v>
      </c>
      <c r="C53" s="39" t="str">
        <f t="shared" si="5"/>
        <v>N.A.</v>
      </c>
      <c r="D53" s="38" t="s">
        <v>16</v>
      </c>
      <c r="E53" s="40">
        <v>6.4000000000000001E-2</v>
      </c>
      <c r="F53" s="40">
        <v>6.3948651437987988E-2</v>
      </c>
      <c r="G53" s="40">
        <v>6.3898817626893673E-2</v>
      </c>
      <c r="H53" s="40">
        <v>6.3845026454852224E-2</v>
      </c>
      <c r="I53" s="40">
        <v>6.3703880077866662E-2</v>
      </c>
      <c r="J53" s="40">
        <v>6.335497199633805E-2</v>
      </c>
      <c r="K53" s="40">
        <v>6.2862886448321123E-2</v>
      </c>
      <c r="L53" s="40">
        <v>6.2162044241768404E-2</v>
      </c>
      <c r="M53" s="40">
        <v>6.1370813924473459E-2</v>
      </c>
      <c r="N53" s="40">
        <v>6.0435808364928928E-2</v>
      </c>
      <c r="O53" s="40">
        <v>5.9191726271463532E-2</v>
      </c>
      <c r="P53" s="40">
        <v>5.749984919498035E-2</v>
      </c>
      <c r="Q53" s="40">
        <v>5.5935161467086443E-2</v>
      </c>
      <c r="R53" s="40">
        <v>5.4486131171724773E-2</v>
      </c>
      <c r="S53" s="40">
        <v>5.3535149309928476E-2</v>
      </c>
      <c r="T53" s="40">
        <v>5.2902882675074106E-2</v>
      </c>
      <c r="U53" s="40">
        <v>5.1688791647076265E-2</v>
      </c>
    </row>
    <row r="54" spans="1:21" x14ac:dyDescent="0.55000000000000004">
      <c r="A54" s="38" t="str">
        <f>'Population Definitions'!$A$12</f>
        <v>Miners</v>
      </c>
      <c r="B54" s="38" t="s">
        <v>10</v>
      </c>
      <c r="C54" s="39" t="str">
        <f t="shared" si="5"/>
        <v>N.A.</v>
      </c>
      <c r="D54" s="38" t="s">
        <v>16</v>
      </c>
      <c r="E54" s="40">
        <v>9.1568384629393557E-3</v>
      </c>
      <c r="F54" s="40">
        <v>1.0059301410063703E-2</v>
      </c>
      <c r="G54" s="40">
        <v>1.1169197320896308E-2</v>
      </c>
      <c r="H54" s="40">
        <v>1.228640043913819E-2</v>
      </c>
      <c r="I54" s="40">
        <v>1.2673504330893709E-2</v>
      </c>
      <c r="J54" s="40">
        <v>1.2773204356266245E-2</v>
      </c>
      <c r="K54" s="40">
        <v>1.2702324080051647E-2</v>
      </c>
      <c r="L54" s="40">
        <v>1.2266814791302968E-2</v>
      </c>
      <c r="M54" s="40">
        <v>1.1832598705805121E-2</v>
      </c>
      <c r="N54" s="40">
        <v>1.1220994645165261E-2</v>
      </c>
      <c r="O54" s="40">
        <v>1.033619828708047E-2</v>
      </c>
      <c r="P54" s="40">
        <v>9.3090291233195212E-3</v>
      </c>
      <c r="Q54" s="40">
        <v>8.5349954589400284E-3</v>
      </c>
      <c r="R54" s="40">
        <v>7.7427765626798661E-3</v>
      </c>
      <c r="S54" s="40"/>
      <c r="T54" s="40"/>
      <c r="U54" s="40"/>
    </row>
    <row r="55" spans="1:21" x14ac:dyDescent="0.55000000000000004">
      <c r="A55" s="38" t="str">
        <f>'Population Definitions'!$A$13</f>
        <v>PLHIV Miners</v>
      </c>
      <c r="B55" s="38" t="s">
        <v>10</v>
      </c>
      <c r="C55" s="39" t="str">
        <f t="shared" si="5"/>
        <v>N.A.</v>
      </c>
      <c r="D55" s="38" t="s">
        <v>16</v>
      </c>
      <c r="E55" s="40">
        <v>6.4000000000000001E-2</v>
      </c>
      <c r="F55" s="40">
        <v>6.3948651437987988E-2</v>
      </c>
      <c r="G55" s="40">
        <v>6.3898817626893673E-2</v>
      </c>
      <c r="H55" s="40">
        <v>6.3845026454852224E-2</v>
      </c>
      <c r="I55" s="40">
        <v>6.3703880077866662E-2</v>
      </c>
      <c r="J55" s="40">
        <v>6.335497199633805E-2</v>
      </c>
      <c r="K55" s="40">
        <v>6.2862886448321123E-2</v>
      </c>
      <c r="L55" s="40">
        <v>6.2162044241768404E-2</v>
      </c>
      <c r="M55" s="40">
        <v>6.1370813924473459E-2</v>
      </c>
      <c r="N55" s="40">
        <v>6.0435808364928928E-2</v>
      </c>
      <c r="O55" s="40">
        <v>5.9191726271463532E-2</v>
      </c>
      <c r="P55" s="40">
        <v>5.749984919498035E-2</v>
      </c>
      <c r="Q55" s="40">
        <v>5.5935161467086443E-2</v>
      </c>
      <c r="R55" s="40">
        <v>5.4486131171724773E-2</v>
      </c>
      <c r="S55" s="40">
        <v>5.3535149309928476E-2</v>
      </c>
      <c r="T55" s="40">
        <v>5.2902882675074106E-2</v>
      </c>
      <c r="U55" s="40">
        <v>5.1688791647076265E-2</v>
      </c>
    </row>
    <row r="56" spans="1:21" x14ac:dyDescent="0.55000000000000004">
      <c r="A56" s="37"/>
      <c r="B56" s="37"/>
      <c r="C56" s="37"/>
      <c r="D56" s="37"/>
      <c r="E56" s="37"/>
      <c r="F56" s="37"/>
      <c r="G56" s="37"/>
      <c r="H56" s="37"/>
      <c r="I56" s="37"/>
      <c r="J56" s="37"/>
      <c r="K56" s="37"/>
      <c r="L56" s="37"/>
      <c r="M56" s="37"/>
      <c r="N56" s="37"/>
      <c r="O56" s="37"/>
      <c r="P56" s="37"/>
      <c r="Q56" s="37"/>
      <c r="R56" s="37"/>
      <c r="S56" s="37"/>
      <c r="T56" s="37"/>
      <c r="U56" s="37"/>
    </row>
    <row r="57" spans="1:21" x14ac:dyDescent="0.55000000000000004">
      <c r="A57" s="38" t="s">
        <v>198</v>
      </c>
      <c r="B57" s="38" t="s">
        <v>8</v>
      </c>
      <c r="C57" s="38" t="s">
        <v>9</v>
      </c>
      <c r="D57" s="38"/>
      <c r="E57" s="38">
        <v>2000</v>
      </c>
      <c r="F57" s="38">
        <v>2001</v>
      </c>
      <c r="G57" s="38">
        <v>2002</v>
      </c>
      <c r="H57" s="38">
        <v>2003</v>
      </c>
      <c r="I57" s="38">
        <v>2004</v>
      </c>
      <c r="J57" s="38">
        <v>2005</v>
      </c>
      <c r="K57" s="38">
        <v>2006</v>
      </c>
      <c r="L57" s="38">
        <v>2007</v>
      </c>
      <c r="M57" s="38">
        <v>2008</v>
      </c>
      <c r="N57" s="38">
        <v>2009</v>
      </c>
      <c r="O57" s="38">
        <v>2010</v>
      </c>
      <c r="P57" s="38">
        <v>2011</v>
      </c>
      <c r="Q57" s="38">
        <v>2012</v>
      </c>
      <c r="R57" s="38">
        <v>2013</v>
      </c>
      <c r="S57" s="38">
        <v>2014</v>
      </c>
      <c r="T57" s="38">
        <v>2015</v>
      </c>
      <c r="U57" s="38">
        <v>2016</v>
      </c>
    </row>
    <row r="58" spans="1:21" x14ac:dyDescent="0.55000000000000004">
      <c r="A58" s="38" t="str">
        <f>'Population Definitions'!$A$2</f>
        <v>Gen 0-4</v>
      </c>
      <c r="B58" s="41" t="s">
        <v>10</v>
      </c>
      <c r="C58" s="39">
        <f t="shared" ref="C58:C69" si="6">IF(SUMPRODUCT(--(E58:U58&lt;&gt;""))=0,0,"N.A.")</f>
        <v>0</v>
      </c>
      <c r="D58" s="38" t="s">
        <v>16</v>
      </c>
      <c r="E58" s="40"/>
      <c r="F58" s="40"/>
      <c r="G58" s="40"/>
      <c r="H58" s="40"/>
      <c r="I58" s="40"/>
      <c r="J58" s="40"/>
      <c r="K58" s="40"/>
      <c r="L58" s="40"/>
      <c r="M58" s="40"/>
      <c r="N58" s="40"/>
      <c r="O58" s="40"/>
      <c r="P58" s="40"/>
      <c r="Q58" s="40"/>
      <c r="R58" s="40"/>
      <c r="S58" s="40"/>
      <c r="T58" s="40"/>
      <c r="U58" s="40"/>
    </row>
    <row r="59" spans="1:21" x14ac:dyDescent="0.55000000000000004">
      <c r="A59" s="38" t="str">
        <f>'Population Definitions'!$A$3</f>
        <v>Gen 5-14</v>
      </c>
      <c r="B59" s="41" t="s">
        <v>10</v>
      </c>
      <c r="C59" s="39">
        <f t="shared" si="6"/>
        <v>0</v>
      </c>
      <c r="D59" s="38" t="s">
        <v>16</v>
      </c>
      <c r="E59" s="40"/>
      <c r="F59" s="40"/>
      <c r="G59" s="40"/>
      <c r="H59" s="40"/>
      <c r="I59" s="40"/>
      <c r="J59" s="40"/>
      <c r="K59" s="40"/>
      <c r="L59" s="40"/>
      <c r="M59" s="40"/>
      <c r="N59" s="40"/>
      <c r="O59" s="40"/>
      <c r="P59" s="40"/>
      <c r="Q59" s="40"/>
      <c r="R59" s="40"/>
      <c r="S59" s="40"/>
      <c r="T59" s="40"/>
      <c r="U59" s="40"/>
    </row>
    <row r="60" spans="1:21" x14ac:dyDescent="0.55000000000000004">
      <c r="A60" s="38" t="str">
        <f>'Population Definitions'!$A$4</f>
        <v>Gen 15-64</v>
      </c>
      <c r="B60" s="41" t="s">
        <v>10</v>
      </c>
      <c r="C60" s="39">
        <f t="shared" si="6"/>
        <v>0</v>
      </c>
      <c r="D60" s="38" t="s">
        <v>16</v>
      </c>
      <c r="E60" s="40"/>
      <c r="F60" s="40"/>
      <c r="G60" s="40"/>
      <c r="H60" s="40"/>
      <c r="I60" s="40"/>
      <c r="J60" s="40"/>
      <c r="K60" s="40"/>
      <c r="L60" s="40"/>
      <c r="M60" s="40"/>
      <c r="N60" s="40"/>
      <c r="O60" s="40"/>
      <c r="P60" s="40"/>
      <c r="Q60" s="40"/>
      <c r="R60" s="40"/>
      <c r="S60" s="40"/>
      <c r="T60" s="40"/>
      <c r="U60" s="40"/>
    </row>
    <row r="61" spans="1:21" x14ac:dyDescent="0.55000000000000004">
      <c r="A61" s="38" t="str">
        <f>'Population Definitions'!$A$5</f>
        <v>Gen 65+</v>
      </c>
      <c r="B61" s="41" t="s">
        <v>10</v>
      </c>
      <c r="C61" s="39">
        <f t="shared" si="6"/>
        <v>0</v>
      </c>
      <c r="D61" s="38" t="s">
        <v>16</v>
      </c>
      <c r="E61" s="40"/>
      <c r="F61" s="40"/>
      <c r="G61" s="40"/>
      <c r="H61" s="40"/>
      <c r="I61" s="40"/>
      <c r="J61" s="40"/>
      <c r="K61" s="40"/>
      <c r="L61" s="40"/>
      <c r="M61" s="40"/>
      <c r="N61" s="40"/>
      <c r="O61" s="40"/>
      <c r="P61" s="40"/>
      <c r="Q61" s="40"/>
      <c r="R61" s="40"/>
      <c r="S61" s="40"/>
      <c r="T61" s="40"/>
      <c r="U61" s="40"/>
    </row>
    <row r="62" spans="1:21" x14ac:dyDescent="0.55000000000000004">
      <c r="A62" s="38" t="str">
        <f>'Population Definitions'!$A$6</f>
        <v>PLHIV 15-64</v>
      </c>
      <c r="B62" s="38" t="s">
        <v>10</v>
      </c>
      <c r="C62" s="39" t="str">
        <f t="shared" si="6"/>
        <v>N.A.</v>
      </c>
      <c r="D62" s="38" t="s">
        <v>16</v>
      </c>
      <c r="E62" s="40">
        <v>0</v>
      </c>
      <c r="F62" s="40">
        <v>1.9749446927699345E-3</v>
      </c>
      <c r="G62" s="40">
        <v>3.891629734858969E-3</v>
      </c>
      <c r="H62" s="40">
        <v>5.9605209672221127E-3</v>
      </c>
      <c r="I62" s="40">
        <v>1.1389227774359464E-2</v>
      </c>
      <c r="J62" s="40">
        <v>2.4808769371613651E-2</v>
      </c>
      <c r="K62" s="40">
        <v>4.3735136603033395E-2</v>
      </c>
      <c r="L62" s="40">
        <v>7.0690606085830734E-2</v>
      </c>
      <c r="M62" s="40">
        <v>0.10112254136640522</v>
      </c>
      <c r="N62" s="40">
        <v>0.13708429365657976</v>
      </c>
      <c r="O62" s="40">
        <v>0.18493360494371022</v>
      </c>
      <c r="P62" s="40">
        <v>0.25000580019306412</v>
      </c>
      <c r="Q62" s="40">
        <v>0.3101860974197525</v>
      </c>
      <c r="R62" s="40">
        <v>0.36591803185673949</v>
      </c>
      <c r="S62" s="40">
        <v>0.40249425731044319</v>
      </c>
      <c r="T62" s="40">
        <v>0.426812204804842</v>
      </c>
      <c r="U62" s="40">
        <v>0.47350801357398981</v>
      </c>
    </row>
    <row r="63" spans="1:21" x14ac:dyDescent="0.55000000000000004">
      <c r="A63" s="38" t="str">
        <f>'Population Definitions'!$A$7</f>
        <v>PLHIV 65+</v>
      </c>
      <c r="B63" s="41" t="s">
        <v>10</v>
      </c>
      <c r="C63" s="39" t="str">
        <f t="shared" si="6"/>
        <v>N.A.</v>
      </c>
      <c r="D63" s="38" t="s">
        <v>16</v>
      </c>
      <c r="E63" s="40">
        <v>0</v>
      </c>
      <c r="F63" s="40">
        <v>1.9749446927699314E-3</v>
      </c>
      <c r="G63" s="40">
        <v>3.8916297348589712E-3</v>
      </c>
      <c r="H63" s="40">
        <v>5.9605209672221136E-3</v>
      </c>
      <c r="I63" s="40">
        <v>1.1389227774359481E-2</v>
      </c>
      <c r="J63" s="40">
        <v>2.4808769371613668E-2</v>
      </c>
      <c r="K63" s="40">
        <v>4.3735136603033437E-2</v>
      </c>
      <c r="L63" s="40">
        <v>7.0690606085830471E-2</v>
      </c>
      <c r="M63" s="40">
        <v>0.10112254136640543</v>
      </c>
      <c r="N63" s="40">
        <v>0.13708429365658015</v>
      </c>
      <c r="O63" s="40">
        <v>0.18493360494371033</v>
      </c>
      <c r="P63" s="40">
        <v>0.25000580019306418</v>
      </c>
      <c r="Q63" s="40">
        <v>0.31018609741975234</v>
      </c>
      <c r="R63" s="40">
        <v>0.36591803185673932</v>
      </c>
      <c r="S63" s="40">
        <v>0.40249425731044336</v>
      </c>
      <c r="T63" s="40">
        <v>0.42681220480484228</v>
      </c>
      <c r="U63" s="40">
        <v>0.47350801357398992</v>
      </c>
    </row>
    <row r="64" spans="1:21" x14ac:dyDescent="0.55000000000000004">
      <c r="A64" s="38" t="str">
        <f>'Population Definitions'!$A$8</f>
        <v>Prisoners</v>
      </c>
      <c r="B64" s="41" t="s">
        <v>10</v>
      </c>
      <c r="C64" s="39">
        <f t="shared" si="6"/>
        <v>0</v>
      </c>
      <c r="D64" s="38" t="s">
        <v>16</v>
      </c>
      <c r="E64" s="40"/>
      <c r="F64" s="40"/>
      <c r="G64" s="40"/>
      <c r="H64" s="40"/>
      <c r="I64" s="40"/>
      <c r="J64" s="40"/>
      <c r="K64" s="40"/>
      <c r="L64" s="40"/>
      <c r="M64" s="40"/>
      <c r="N64" s="40"/>
      <c r="O64" s="40"/>
      <c r="P64" s="40"/>
      <c r="Q64" s="40"/>
      <c r="R64" s="40"/>
      <c r="S64" s="40"/>
      <c r="T64" s="40"/>
      <c r="U64" s="40"/>
    </row>
    <row r="65" spans="1:21" x14ac:dyDescent="0.55000000000000004">
      <c r="A65" s="41" t="str">
        <f>'[2]Population Definitions'!$A$9</f>
        <v>PLHIV Prisoners</v>
      </c>
      <c r="B65" s="41" t="s">
        <v>10</v>
      </c>
      <c r="C65" s="39" t="str">
        <f t="shared" si="6"/>
        <v>N.A.</v>
      </c>
      <c r="D65" s="38" t="s">
        <v>16</v>
      </c>
      <c r="E65" s="40"/>
      <c r="F65" s="40"/>
      <c r="G65" s="40"/>
      <c r="H65" s="40"/>
      <c r="I65" s="40">
        <v>0</v>
      </c>
      <c r="J65" s="40"/>
      <c r="K65" s="40"/>
      <c r="L65" s="40"/>
      <c r="M65" s="40"/>
      <c r="N65" s="40"/>
      <c r="O65" s="40"/>
      <c r="P65" s="40"/>
      <c r="Q65" s="40"/>
      <c r="R65" s="40">
        <v>0.43</v>
      </c>
      <c r="S65" s="40">
        <v>0.97</v>
      </c>
      <c r="T65" s="40">
        <v>0.97499999999999998</v>
      </c>
      <c r="U65" s="40">
        <v>0.98</v>
      </c>
    </row>
    <row r="66" spans="1:21" x14ac:dyDescent="0.55000000000000004">
      <c r="A66" s="38" t="str">
        <f>'Population Definitions'!$A$10</f>
        <v>HCW</v>
      </c>
      <c r="B66" s="41" t="s">
        <v>10</v>
      </c>
      <c r="C66" s="39">
        <f t="shared" si="6"/>
        <v>0</v>
      </c>
      <c r="D66" s="38" t="s">
        <v>16</v>
      </c>
      <c r="E66" s="40"/>
      <c r="F66" s="40"/>
      <c r="G66" s="40"/>
      <c r="H66" s="40"/>
      <c r="I66" s="40"/>
      <c r="J66" s="40"/>
      <c r="K66" s="40"/>
      <c r="L66" s="40"/>
      <c r="M66" s="40"/>
      <c r="N66" s="40"/>
      <c r="O66" s="40"/>
      <c r="P66" s="40"/>
      <c r="Q66" s="40"/>
      <c r="R66" s="40"/>
      <c r="S66" s="40"/>
      <c r="T66" s="40"/>
      <c r="U66" s="40"/>
    </row>
    <row r="67" spans="1:21" x14ac:dyDescent="0.55000000000000004">
      <c r="A67" s="38" t="str">
        <f>'Population Definitions'!$A$11</f>
        <v>PLHIV HCW</v>
      </c>
      <c r="B67" s="41" t="s">
        <v>10</v>
      </c>
      <c r="C67" s="39">
        <f t="shared" si="6"/>
        <v>0</v>
      </c>
      <c r="D67" s="38" t="s">
        <v>16</v>
      </c>
      <c r="E67" s="40"/>
      <c r="F67" s="40"/>
      <c r="G67" s="40"/>
      <c r="H67" s="40"/>
      <c r="I67" s="40"/>
      <c r="J67" s="40"/>
      <c r="K67" s="40"/>
      <c r="L67" s="40"/>
      <c r="M67" s="40"/>
      <c r="N67" s="40"/>
      <c r="O67" s="40"/>
      <c r="P67" s="40"/>
      <c r="Q67" s="40"/>
      <c r="R67" s="40"/>
      <c r="S67" s="40"/>
      <c r="T67" s="40"/>
      <c r="U67" s="40"/>
    </row>
    <row r="68" spans="1:21" x14ac:dyDescent="0.55000000000000004">
      <c r="A68" s="38" t="str">
        <f>'Population Definitions'!$A$12</f>
        <v>Miners</v>
      </c>
      <c r="B68" s="41" t="s">
        <v>10</v>
      </c>
      <c r="C68" s="39">
        <f t="shared" si="6"/>
        <v>0</v>
      </c>
      <c r="D68" s="38" t="s">
        <v>16</v>
      </c>
      <c r="E68" s="40"/>
      <c r="F68" s="40"/>
      <c r="G68" s="40"/>
      <c r="H68" s="40"/>
      <c r="I68" s="40"/>
      <c r="J68" s="40"/>
      <c r="K68" s="40"/>
      <c r="L68" s="40"/>
      <c r="M68" s="40"/>
      <c r="N68" s="40"/>
      <c r="O68" s="40"/>
      <c r="P68" s="40"/>
      <c r="Q68" s="40"/>
      <c r="R68" s="40"/>
      <c r="S68" s="40"/>
      <c r="T68" s="40"/>
      <c r="U68" s="40"/>
    </row>
    <row r="69" spans="1:21" x14ac:dyDescent="0.55000000000000004">
      <c r="A69" s="38" t="str">
        <f>'Population Definitions'!$A$13</f>
        <v>PLHIV Miners</v>
      </c>
      <c r="B69" s="41" t="s">
        <v>10</v>
      </c>
      <c r="C69" s="39">
        <f t="shared" si="6"/>
        <v>0</v>
      </c>
      <c r="D69" s="38" t="s">
        <v>16</v>
      </c>
      <c r="E69" s="40"/>
      <c r="F69" s="40"/>
      <c r="G69" s="40"/>
      <c r="H69" s="40"/>
      <c r="I69" s="40"/>
      <c r="J69" s="40"/>
      <c r="K69" s="40"/>
      <c r="L69" s="40"/>
      <c r="M69" s="40"/>
      <c r="N69" s="40"/>
      <c r="O69" s="40"/>
      <c r="P69" s="40"/>
      <c r="Q69" s="40"/>
      <c r="R69" s="40"/>
      <c r="S69" s="40"/>
      <c r="T69" s="40"/>
      <c r="U69" s="40"/>
    </row>
    <row r="70" spans="1:21" x14ac:dyDescent="0.55000000000000004">
      <c r="A70" s="37"/>
      <c r="B70" s="37"/>
      <c r="C70" s="37"/>
      <c r="D70" s="37"/>
      <c r="E70" s="37"/>
      <c r="F70" s="37"/>
      <c r="G70" s="37"/>
      <c r="H70" s="37"/>
      <c r="I70" s="37"/>
      <c r="J70" s="37"/>
      <c r="K70" s="37"/>
      <c r="L70" s="37"/>
      <c r="M70" s="37"/>
      <c r="N70" s="37"/>
      <c r="O70" s="37"/>
      <c r="P70" s="37"/>
      <c r="Q70" s="37"/>
      <c r="R70" s="37"/>
      <c r="S70" s="37"/>
      <c r="T70" s="37"/>
      <c r="U70" s="37"/>
    </row>
  </sheetData>
  <dataValidations count="2">
    <dataValidation type="list" showInputMessage="1" showErrorMessage="1" sqref="B2:B13">
      <formula1>"Number"</formula1>
    </dataValidation>
    <dataValidation type="list" showInputMessage="1" showErrorMessage="1" sqref="B30:B41 B16:B27 B44:B55 B58:B69">
      <formula1>"Fraction,Number"</formula1>
    </dataValidation>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W41"/>
  <sheetViews>
    <sheetView workbookViewId="0">
      <selection activeCell="L25" sqref="L25"/>
    </sheetView>
  </sheetViews>
  <sheetFormatPr defaultColWidth="8.83984375" defaultRowHeight="14.4" x14ac:dyDescent="0.55000000000000004"/>
  <cols>
    <col min="1" max="1" width="24" customWidth="1"/>
    <col min="2" max="3" width="10.68359375" hidden="1" customWidth="1"/>
    <col min="4" max="4" width="0" hidden="1" customWidth="1"/>
    <col min="8" max="8" width="9.68359375" bestFit="1" customWidth="1"/>
    <col min="13" max="13" width="12.15625" bestFit="1" customWidth="1"/>
    <col min="19" max="19" width="12.15625" bestFit="1" customWidth="1"/>
    <col min="20" max="20" width="10.15625" bestFit="1" customWidth="1"/>
    <col min="21" max="21" width="9.15625" bestFit="1" customWidth="1"/>
  </cols>
  <sheetData>
    <row r="1" spans="1:23" x14ac:dyDescent="0.55000000000000004">
      <c r="A1" s="1" t="s">
        <v>21</v>
      </c>
      <c r="B1" s="1" t="s">
        <v>8</v>
      </c>
      <c r="C1" s="1" t="s">
        <v>9</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row>
    <row r="2" spans="1:23" x14ac:dyDescent="0.55000000000000004">
      <c r="A2" s="1" t="str">
        <f>'Population Definitions'!$A$2</f>
        <v>Gen 0-4</v>
      </c>
      <c r="B2" s="1" t="s">
        <v>14</v>
      </c>
      <c r="C2" s="2" t="str">
        <f t="shared" ref="C2:C7" si="0">IF(SUMPRODUCT(--(E2:U2&lt;&gt;""))=0,1000000,"N.A.")</f>
        <v>N.A.</v>
      </c>
      <c r="D2" s="1" t="s">
        <v>16</v>
      </c>
      <c r="E2" s="10">
        <v>734406.5</v>
      </c>
      <c r="F2" s="10">
        <v>777011</v>
      </c>
      <c r="G2" s="10">
        <v>819615.5</v>
      </c>
      <c r="H2" s="10">
        <v>862220</v>
      </c>
      <c r="I2" s="10">
        <v>904824.5</v>
      </c>
      <c r="J2" s="10">
        <v>947429</v>
      </c>
      <c r="K2" s="10">
        <v>990033.5</v>
      </c>
      <c r="L2" s="10">
        <v>1032638</v>
      </c>
      <c r="M2" s="10">
        <v>1072333</v>
      </c>
      <c r="N2" s="10">
        <v>1112028</v>
      </c>
      <c r="O2" s="10">
        <v>1151723</v>
      </c>
      <c r="P2" s="10">
        <v>1191418</v>
      </c>
      <c r="Q2" s="10">
        <v>1231113</v>
      </c>
      <c r="R2" s="10">
        <v>1270808</v>
      </c>
      <c r="S2" s="11">
        <v>1310503</v>
      </c>
      <c r="T2" s="10">
        <v>1350198</v>
      </c>
      <c r="U2" s="10">
        <v>1389893</v>
      </c>
    </row>
    <row r="3" spans="1:23" x14ac:dyDescent="0.55000000000000004">
      <c r="A3" s="1" t="str">
        <f>'Population Definitions'!$A$3</f>
        <v>Gen 5-14</v>
      </c>
      <c r="B3" s="1" t="s">
        <v>14</v>
      </c>
      <c r="C3" s="2" t="str">
        <f t="shared" si="0"/>
        <v>N.A.</v>
      </c>
      <c r="D3" s="1" t="s">
        <v>16</v>
      </c>
      <c r="E3" s="10">
        <v>1440392.6666666642</v>
      </c>
      <c r="F3" s="10">
        <v>1473591</v>
      </c>
      <c r="G3" s="10">
        <v>1506789.3333333333</v>
      </c>
      <c r="H3" s="10">
        <v>1539987.6666666665</v>
      </c>
      <c r="I3" s="10">
        <v>1573185.9999999998</v>
      </c>
      <c r="J3" s="10">
        <v>1606384.333333333</v>
      </c>
      <c r="K3" s="10">
        <v>1639582.6666666663</v>
      </c>
      <c r="L3" s="10">
        <v>1672781</v>
      </c>
      <c r="M3" s="10">
        <v>1683964</v>
      </c>
      <c r="N3" s="10">
        <v>1695147</v>
      </c>
      <c r="O3" s="10">
        <v>1706330</v>
      </c>
      <c r="P3" s="10">
        <v>1717513</v>
      </c>
      <c r="Q3" s="10">
        <v>1728696</v>
      </c>
      <c r="R3" s="10">
        <v>1739879</v>
      </c>
      <c r="S3" s="11">
        <v>1751062</v>
      </c>
      <c r="T3" s="10">
        <v>1762245</v>
      </c>
      <c r="U3" s="10">
        <v>1773428</v>
      </c>
    </row>
    <row r="4" spans="1:23" x14ac:dyDescent="0.55000000000000004">
      <c r="A4" s="1" t="str">
        <f>'Population Definitions'!$A$4</f>
        <v>Gen 15-64</v>
      </c>
      <c r="B4" s="1" t="s">
        <v>14</v>
      </c>
      <c r="C4" s="2" t="str">
        <f t="shared" si="0"/>
        <v>N.A.</v>
      </c>
      <c r="D4" s="1" t="s">
        <v>16</v>
      </c>
      <c r="E4" s="10">
        <v>5314247.6959407311</v>
      </c>
      <c r="F4" s="10">
        <v>5487593.7674726155</v>
      </c>
      <c r="G4" s="10">
        <v>5660922.0336391255</v>
      </c>
      <c r="H4" s="10">
        <v>5832652.6291825864</v>
      </c>
      <c r="I4" s="10">
        <v>6005903.4056092892</v>
      </c>
      <c r="J4" s="10">
        <v>6179133.9332063766</v>
      </c>
      <c r="K4" s="10">
        <v>6215891.9568936471</v>
      </c>
      <c r="L4" s="10">
        <v>6253564.8179152869</v>
      </c>
      <c r="M4" s="10">
        <v>6290512.6328891115</v>
      </c>
      <c r="N4" s="10">
        <v>6545241.3798601972</v>
      </c>
      <c r="O4" s="10">
        <v>6799051.1646909984</v>
      </c>
      <c r="P4" s="10">
        <v>7052527.0912585156</v>
      </c>
      <c r="Q4" s="10">
        <v>7307518.9776996542</v>
      </c>
      <c r="R4" s="10">
        <v>7562995.0011701565</v>
      </c>
      <c r="S4" s="11">
        <v>7817950.3472758839</v>
      </c>
      <c r="T4" s="10">
        <v>8069344.0803972362</v>
      </c>
      <c r="U4" s="10">
        <v>8320711.7478936473</v>
      </c>
      <c r="V4" t="s">
        <v>119</v>
      </c>
      <c r="W4" s="9">
        <f>S4+S6+SUM(S8:S13)</f>
        <v>9841854.7500000596</v>
      </c>
    </row>
    <row r="5" spans="1:23" x14ac:dyDescent="0.55000000000000004">
      <c r="A5" s="1" t="str">
        <f>'Population Definitions'!$A$5</f>
        <v>Gen 65+</v>
      </c>
      <c r="B5" s="1" t="s">
        <v>14</v>
      </c>
      <c r="C5" s="2" t="str">
        <f t="shared" si="0"/>
        <v>N.A.</v>
      </c>
      <c r="D5" s="1" t="s">
        <v>16</v>
      </c>
      <c r="E5" s="14">
        <v>342441.36333332956</v>
      </c>
      <c r="F5" s="14">
        <v>359970.88000000268</v>
      </c>
      <c r="G5" s="14">
        <v>377500.39666666667</v>
      </c>
      <c r="H5" s="14">
        <v>395029.91333333339</v>
      </c>
      <c r="I5" s="14">
        <v>412559.43000000011</v>
      </c>
      <c r="J5" s="14">
        <v>430088.94666666677</v>
      </c>
      <c r="K5" s="14">
        <v>446065.35861111118</v>
      </c>
      <c r="L5" s="14">
        <v>462041.77055555559</v>
      </c>
      <c r="M5" s="14">
        <v>478018.1825</v>
      </c>
      <c r="N5" s="14">
        <v>490888.38500000001</v>
      </c>
      <c r="O5" s="14">
        <v>503758.58750000002</v>
      </c>
      <c r="P5" s="14">
        <v>516628.79000000004</v>
      </c>
      <c r="Q5" s="14">
        <v>529498.99250000005</v>
      </c>
      <c r="R5" s="14">
        <v>542369.19499999657</v>
      </c>
      <c r="S5" s="14">
        <v>555239.39749999717</v>
      </c>
      <c r="T5" s="14">
        <v>568109.59999999404</v>
      </c>
      <c r="U5" s="14">
        <v>580979.80249999091</v>
      </c>
      <c r="V5" t="s">
        <v>121</v>
      </c>
      <c r="W5" s="9">
        <f>S5+S7</f>
        <v>572411.74999999721</v>
      </c>
    </row>
    <row r="6" spans="1:23" x14ac:dyDescent="0.55000000000000004">
      <c r="A6" s="1" t="str">
        <f>'Population Definitions'!$A$6</f>
        <v>PLHIV 15-64</v>
      </c>
      <c r="B6" s="1" t="s">
        <v>14</v>
      </c>
      <c r="C6" s="2" t="str">
        <f t="shared" si="0"/>
        <v>N.A.</v>
      </c>
      <c r="D6" s="1" t="s">
        <v>16</v>
      </c>
      <c r="E6" s="10">
        <v>1178059.6869170007</v>
      </c>
      <c r="F6" s="10">
        <v>1124974.8658070792</v>
      </c>
      <c r="G6" s="10">
        <v>1071883.7887579813</v>
      </c>
      <c r="H6" s="10">
        <v>1020365.7040708576</v>
      </c>
      <c r="I6" s="10">
        <v>967302.1274634744</v>
      </c>
      <c r="J6" s="10">
        <v>914232.83964773885</v>
      </c>
      <c r="K6" s="10">
        <v>1070212.5133951891</v>
      </c>
      <c r="L6" s="10">
        <v>1225250.0414185626</v>
      </c>
      <c r="M6" s="10">
        <v>1380281.6876349219</v>
      </c>
      <c r="N6" s="10">
        <v>1462709.8417465037</v>
      </c>
      <c r="O6" s="10">
        <v>1546027.4946402332</v>
      </c>
      <c r="P6" s="10">
        <v>1629648.7869683877</v>
      </c>
      <c r="Q6" s="10">
        <v>1713204.3757522993</v>
      </c>
      <c r="R6" s="10">
        <v>1796244.0391267487</v>
      </c>
      <c r="S6" s="11">
        <v>1879771.7763991763</v>
      </c>
      <c r="T6" s="10">
        <v>1963819.1872028238</v>
      </c>
      <c r="U6" s="10">
        <v>2047858.3667564716</v>
      </c>
    </row>
    <row r="7" spans="1:23" x14ac:dyDescent="0.55000000000000004">
      <c r="A7" s="1" t="str">
        <f>'Population Definitions'!$A$7</f>
        <v>PLHIV 65+</v>
      </c>
      <c r="B7" s="1" t="s">
        <v>14</v>
      </c>
      <c r="C7" s="2" t="str">
        <f t="shared" si="0"/>
        <v>N.A.</v>
      </c>
      <c r="D7" s="1" t="s">
        <v>16</v>
      </c>
      <c r="E7" s="14">
        <v>10590.970000000205</v>
      </c>
      <c r="F7" s="14">
        <v>11133.120000000112</v>
      </c>
      <c r="G7" s="14">
        <v>11675.27</v>
      </c>
      <c r="H7" s="14">
        <v>12217.42</v>
      </c>
      <c r="I7" s="14">
        <v>12759.57</v>
      </c>
      <c r="J7" s="14">
        <v>13301.720000000001</v>
      </c>
      <c r="K7" s="14">
        <v>13795.835833333334</v>
      </c>
      <c r="L7" s="14">
        <v>14289.951666666668</v>
      </c>
      <c r="M7" s="14">
        <v>14784.067499999999</v>
      </c>
      <c r="N7" s="14">
        <v>15182.115</v>
      </c>
      <c r="O7" s="14">
        <v>15580.1625</v>
      </c>
      <c r="P7" s="14">
        <v>15978.210000000001</v>
      </c>
      <c r="Q7" s="14">
        <v>16376.2575</v>
      </c>
      <c r="R7" s="14">
        <v>16774.305000000051</v>
      </c>
      <c r="S7" s="14">
        <v>17172.352500000037</v>
      </c>
      <c r="T7" s="14">
        <v>17570.40000000014</v>
      </c>
      <c r="U7" s="14">
        <v>17968.447500000242</v>
      </c>
    </row>
    <row r="8" spans="1:23" x14ac:dyDescent="0.55000000000000004">
      <c r="A8" s="1" t="str">
        <f>'Population Definitions'!$A$8</f>
        <v>Prisoners</v>
      </c>
      <c r="B8" s="1" t="s">
        <v>14</v>
      </c>
      <c r="C8" s="2" t="str">
        <f t="shared" ref="C8:C13" si="1">IF(SUMPRODUCT(--(E8:U8&lt;&gt;""))=0,0,"N.A.")</f>
        <v>N.A.</v>
      </c>
      <c r="D8" s="1" t="s">
        <v>16</v>
      </c>
      <c r="E8" s="14">
        <v>18482.498319999973</v>
      </c>
      <c r="F8" s="14">
        <v>18853.592538366669</v>
      </c>
      <c r="G8" s="14">
        <v>19224.686756733339</v>
      </c>
      <c r="H8" s="14">
        <v>19595.780975100002</v>
      </c>
      <c r="I8" s="14">
        <v>19966.875193466672</v>
      </c>
      <c r="J8" s="14">
        <v>20337.969411833335</v>
      </c>
      <c r="K8" s="14">
        <v>20709.063630200002</v>
      </c>
      <c r="L8" s="14">
        <v>20559.107493787498</v>
      </c>
      <c r="M8" s="14">
        <v>21112.070607374997</v>
      </c>
      <c r="N8" s="14">
        <v>21665.0337209625</v>
      </c>
      <c r="O8" s="14">
        <v>22217.996834549998</v>
      </c>
      <c r="P8" s="14">
        <v>23081.549713199998</v>
      </c>
      <c r="Q8" s="14">
        <v>23945.102591849998</v>
      </c>
      <c r="R8" s="14">
        <v>24808.655470500002</v>
      </c>
      <c r="S8" s="14">
        <v>25672.208349149998</v>
      </c>
      <c r="T8" s="14">
        <v>26535.761227800002</v>
      </c>
      <c r="U8" s="14">
        <v>27399.314106449998</v>
      </c>
    </row>
    <row r="9" spans="1:23" x14ac:dyDescent="0.55000000000000004">
      <c r="A9" s="1" t="str">
        <f>'Population Definitions'!$A$9</f>
        <v>PLHIV Prisoners</v>
      </c>
      <c r="B9" s="1" t="s">
        <v>14</v>
      </c>
      <c r="C9" s="2" t="str">
        <f t="shared" si="1"/>
        <v>N.A.</v>
      </c>
      <c r="D9" s="1" t="s">
        <v>16</v>
      </c>
      <c r="E9" s="14">
        <v>4620.6245799999933</v>
      </c>
      <c r="F9" s="14">
        <v>4702.6390616333283</v>
      </c>
      <c r="G9" s="14">
        <v>4784.6535432666624</v>
      </c>
      <c r="H9" s="14">
        <v>4866.6680248999965</v>
      </c>
      <c r="I9" s="14">
        <v>4948.6825065333305</v>
      </c>
      <c r="J9" s="14">
        <v>5030.6969881666646</v>
      </c>
      <c r="K9" s="14">
        <v>5112.7114698000005</v>
      </c>
      <c r="L9" s="14">
        <v>5715.7763062125005</v>
      </c>
      <c r="M9" s="14">
        <v>6318.8411426250004</v>
      </c>
      <c r="N9" s="14">
        <v>6921.9059790375004</v>
      </c>
      <c r="O9" s="14">
        <v>7524.9708154499995</v>
      </c>
      <c r="P9" s="14">
        <v>7817.4458867999992</v>
      </c>
      <c r="Q9" s="14">
        <v>8109.9209581499999</v>
      </c>
      <c r="R9" s="14">
        <v>8402.3960294999997</v>
      </c>
      <c r="S9" s="14">
        <v>8694.8711008499995</v>
      </c>
      <c r="T9" s="14">
        <v>8987.3461722000011</v>
      </c>
      <c r="U9" s="14">
        <v>9279.8212435499991</v>
      </c>
    </row>
    <row r="10" spans="1:23" x14ac:dyDescent="0.55000000000000004">
      <c r="A10" s="1" t="str">
        <f>'Population Definitions'!$A$10</f>
        <v>HCW</v>
      </c>
      <c r="B10" s="1" t="s">
        <v>14</v>
      </c>
      <c r="C10" s="2" t="str">
        <f t="shared" si="1"/>
        <v>N.A.</v>
      </c>
      <c r="D10" s="1" t="s">
        <v>16</v>
      </c>
      <c r="E10" s="15">
        <v>27081.9607393111</v>
      </c>
      <c r="F10" s="14">
        <v>27776.369989037026</v>
      </c>
      <c r="G10" s="14">
        <v>28488.584604140538</v>
      </c>
      <c r="H10" s="14">
        <v>30798.469842314094</v>
      </c>
      <c r="I10" s="14">
        <v>31588.174197245229</v>
      </c>
      <c r="J10" s="14">
        <v>32398.127381789978</v>
      </c>
      <c r="K10" s="14">
        <v>33654.85947615264</v>
      </c>
      <c r="L10" s="15">
        <v>34517.804590925785</v>
      </c>
      <c r="M10" s="14">
        <v>35402.876503513631</v>
      </c>
      <c r="N10" s="14">
        <v>35391.385793840309</v>
      </c>
      <c r="O10" s="14">
        <v>36298.857224451596</v>
      </c>
      <c r="P10" s="14">
        <v>37229.597153283685</v>
      </c>
      <c r="Q10" s="14">
        <v>38184.202208496092</v>
      </c>
      <c r="R10" s="14">
        <v>38654.670234375</v>
      </c>
      <c r="S10" s="14">
        <v>39645.815625000003</v>
      </c>
      <c r="T10" s="14">
        <v>40662.375</v>
      </c>
      <c r="U10" s="14">
        <v>41705</v>
      </c>
    </row>
    <row r="11" spans="1:23" x14ac:dyDescent="0.55000000000000004">
      <c r="A11" s="1" t="str">
        <f>'Population Definitions'!$A$11</f>
        <v>PLHIV HCW</v>
      </c>
      <c r="B11" s="1" t="s">
        <v>14</v>
      </c>
      <c r="C11" s="2" t="str">
        <f t="shared" si="1"/>
        <v>N.A.</v>
      </c>
      <c r="D11" s="1" t="s">
        <v>16</v>
      </c>
      <c r="E11" s="15">
        <v>9515.2835030011975</v>
      </c>
      <c r="F11" s="14">
        <v>9759.2651312832804</v>
      </c>
      <c r="G11" s="14">
        <v>10009.502698752081</v>
      </c>
      <c r="H11" s="14">
        <v>8686.7479042424366</v>
      </c>
      <c r="I11" s="14">
        <v>8909.4850299922418</v>
      </c>
      <c r="J11" s="14">
        <v>9137.9333640946079</v>
      </c>
      <c r="K11" s="14">
        <v>8946.2284683443722</v>
      </c>
      <c r="L11" s="15">
        <v>9175.6189418916638</v>
      </c>
      <c r="M11" s="14">
        <v>9410.8912224529886</v>
      </c>
      <c r="N11" s="14">
        <v>10571.452899458793</v>
      </c>
      <c r="O11" s="14">
        <v>10842.515794316711</v>
      </c>
      <c r="P11" s="14">
        <v>11120.529019812011</v>
      </c>
      <c r="Q11" s="14">
        <v>11405.670789550781</v>
      </c>
      <c r="R11" s="14">
        <v>12206.73796875</v>
      </c>
      <c r="S11" s="14">
        <v>12519.731249999999</v>
      </c>
      <c r="T11" s="14">
        <v>12840.75</v>
      </c>
      <c r="U11" s="14">
        <v>13170</v>
      </c>
    </row>
    <row r="12" spans="1:23" x14ac:dyDescent="0.55000000000000004">
      <c r="A12" s="1" t="str">
        <f>'Population Definitions'!$A$12</f>
        <v>Miners</v>
      </c>
      <c r="B12" s="1" t="s">
        <v>14</v>
      </c>
      <c r="C12" s="2" t="str">
        <f>IF(SUMPRODUCT(--(E12:U12&lt;&gt;""))=0,0,"N.A.")</f>
        <v>N.A.</v>
      </c>
      <c r="D12" s="1" t="s">
        <v>16</v>
      </c>
      <c r="E12" s="15">
        <v>79553.925000000279</v>
      </c>
      <c r="F12" s="15">
        <v>77739.75</v>
      </c>
      <c r="G12" s="15">
        <v>75925.575000000186</v>
      </c>
      <c r="H12" s="16">
        <v>74111.399999999994</v>
      </c>
      <c r="I12" s="16">
        <v>72297.224999999991</v>
      </c>
      <c r="J12" s="16">
        <v>70483.049999999988</v>
      </c>
      <c r="K12" s="16">
        <v>68668.874999999985</v>
      </c>
      <c r="L12" s="15">
        <v>66854.699999999983</v>
      </c>
      <c r="M12" s="15">
        <v>65040.52499999998</v>
      </c>
      <c r="N12" s="15">
        <v>63226.349999999977</v>
      </c>
      <c r="O12" s="15">
        <v>61412.174999999974</v>
      </c>
      <c r="P12" s="15">
        <v>59598</v>
      </c>
      <c r="Q12" s="15">
        <v>56244</v>
      </c>
      <c r="R12" s="15">
        <v>52890</v>
      </c>
      <c r="S12" s="15">
        <v>49536</v>
      </c>
      <c r="T12" s="15">
        <v>49718.199000000001</v>
      </c>
      <c r="U12" s="15">
        <v>49900.398000000001</v>
      </c>
    </row>
    <row r="13" spans="1:23" x14ac:dyDescent="0.55000000000000004">
      <c r="A13" s="1" t="str">
        <f>'Population Definitions'!$A$13</f>
        <v>PLHIV Miners</v>
      </c>
      <c r="B13" s="1" t="s">
        <v>14</v>
      </c>
      <c r="C13" s="2" t="str">
        <f t="shared" si="1"/>
        <v>N.A.</v>
      </c>
      <c r="D13" s="1" t="s">
        <v>16</v>
      </c>
      <c r="E13" s="15">
        <v>16352.324999999953</v>
      </c>
      <c r="F13" s="15">
        <v>15747.75</v>
      </c>
      <c r="G13" s="15">
        <v>15143.175000000047</v>
      </c>
      <c r="H13" s="17">
        <v>14538.6</v>
      </c>
      <c r="I13" s="17">
        <v>13934.025000000001</v>
      </c>
      <c r="J13" s="17">
        <v>13329.45</v>
      </c>
      <c r="K13" s="17">
        <v>12724.875</v>
      </c>
      <c r="L13" s="15">
        <v>12120.3</v>
      </c>
      <c r="M13" s="15">
        <v>11515.724999999999</v>
      </c>
      <c r="N13" s="15">
        <v>10911.149999999998</v>
      </c>
      <c r="O13" s="15">
        <v>10306.574999999997</v>
      </c>
      <c r="P13" s="15">
        <v>9702.0000000000018</v>
      </c>
      <c r="Q13" s="15">
        <v>9156.0000000000018</v>
      </c>
      <c r="R13" s="15">
        <v>8610.0000000000018</v>
      </c>
      <c r="S13" s="15">
        <v>8064.0000000000009</v>
      </c>
      <c r="T13" s="15">
        <v>6990.3010000000004</v>
      </c>
      <c r="U13" s="15">
        <v>5916.6019999999999</v>
      </c>
    </row>
    <row r="14" spans="1:23" x14ac:dyDescent="0.55000000000000004">
      <c r="E14" s="7">
        <v>39718.39991751319</v>
      </c>
      <c r="F14" s="7"/>
      <c r="G14" s="7"/>
      <c r="H14" s="7"/>
      <c r="I14" s="7"/>
      <c r="J14" s="7"/>
      <c r="K14" s="7"/>
      <c r="L14" s="7"/>
      <c r="M14" s="7"/>
      <c r="N14" s="7"/>
      <c r="O14" s="7"/>
      <c r="P14" s="7"/>
      <c r="Q14" s="7"/>
      <c r="R14" s="7"/>
      <c r="S14" s="7">
        <f>SUM(S2:S13)</f>
        <v>13475831.500000056</v>
      </c>
      <c r="T14" s="7"/>
      <c r="U14">
        <v>54875</v>
      </c>
    </row>
    <row r="15" spans="1:23" x14ac:dyDescent="0.55000000000000004">
      <c r="A15" s="1" t="s">
        <v>30</v>
      </c>
      <c r="B15" s="1" t="s">
        <v>8</v>
      </c>
      <c r="C15" s="1" t="s">
        <v>9</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row>
    <row r="16" spans="1:23" x14ac:dyDescent="0.55000000000000004">
      <c r="A16" s="1" t="str">
        <f>'Population Definitions'!$A$2</f>
        <v>Gen 0-4</v>
      </c>
      <c r="B16" s="1" t="s">
        <v>14</v>
      </c>
      <c r="C16" s="2" t="str">
        <f t="shared" ref="C16:C27" si="2">IF(SUMPRODUCT(--(E16:U16&lt;&gt;""))=0,0,"N.A.")</f>
        <v>N.A.</v>
      </c>
      <c r="D16" s="1" t="s">
        <v>16</v>
      </c>
      <c r="E16" s="2">
        <f>23.9/1000*SUM(E2:E7)</f>
        <v>215581.31930029966</v>
      </c>
      <c r="F16" s="2">
        <f>23.9/1000*SUM(F2:F7)</f>
        <v>220699.1637353847</v>
      </c>
      <c r="G16" s="2">
        <f>23.9/1000*SUM(G2:G7)</f>
        <v>225816.43310529081</v>
      </c>
      <c r="H16" s="2">
        <f>23.9/1000*SUM(H2:H7)</f>
        <v>230933.11266475727</v>
      </c>
      <c r="I16" s="2">
        <f>23.9/1000*SUM(I2:I7)</f>
        <v>236049.18729043903</v>
      </c>
      <c r="J16" s="2">
        <f>22.1/1000*SUM(J2:J7)</f>
        <v>223001.61408007599</v>
      </c>
      <c r="K16" s="2">
        <f>22.1/1000*SUM(K2:K7)</f>
        <v>229300.3584739388</v>
      </c>
      <c r="L16" s="2">
        <f>22.1/1000*SUM(L2:L7)</f>
        <v>235598.49935238922</v>
      </c>
      <c r="M16" s="2">
        <f>22.1/1000*SUM(M2:M7)</f>
        <v>241329.64790858116</v>
      </c>
      <c r="N16" s="2">
        <f>22.1/1000*SUM(N2:N7)</f>
        <v>250198.44754750808</v>
      </c>
      <c r="O16" s="2">
        <f>21/1000*SUM(O2:O7)</f>
        <v>246171.87859595584</v>
      </c>
      <c r="P16" s="2">
        <f>21/1000*SUM(P2:P7)</f>
        <v>254597.99144276496</v>
      </c>
      <c r="Q16" s="2">
        <f>21/1000*SUM(Q2:Q7)</f>
        <v>263054.55967249104</v>
      </c>
      <c r="R16" s="2">
        <f>21/1000*SUM(R2:R7)</f>
        <v>271510.46034623496</v>
      </c>
      <c r="S16" s="2">
        <f>21/1000*SUM(S2:S7)</f>
        <v>279965.6763471762</v>
      </c>
      <c r="T16" s="2">
        <f>19.8/1000*SUM(T2:T7)</f>
        <v>271879.46809848113</v>
      </c>
      <c r="U16" s="2">
        <f>19.8/1000*SUM(U2:U7)</f>
        <v>279790.61942007218</v>
      </c>
    </row>
    <row r="17" spans="1:21" x14ac:dyDescent="0.55000000000000004">
      <c r="A17" s="1" t="str">
        <f>'Population Definitions'!$A$3</f>
        <v>Gen 5-14</v>
      </c>
      <c r="B17" s="1" t="s">
        <v>10</v>
      </c>
      <c r="C17" s="2">
        <f t="shared" si="2"/>
        <v>0</v>
      </c>
      <c r="D17" s="1" t="s">
        <v>16</v>
      </c>
      <c r="E17" s="2"/>
      <c r="F17" s="2"/>
      <c r="G17" s="2"/>
      <c r="H17" s="2"/>
      <c r="I17" s="2"/>
      <c r="J17" s="2"/>
      <c r="K17" s="2"/>
      <c r="L17" s="2"/>
      <c r="M17" s="2"/>
      <c r="N17" s="2"/>
      <c r="O17" s="2"/>
      <c r="P17" s="2"/>
      <c r="Q17" s="2"/>
      <c r="R17" s="2"/>
      <c r="S17" s="2"/>
      <c r="T17" s="2"/>
      <c r="U17" s="2"/>
    </row>
    <row r="18" spans="1:21" x14ac:dyDescent="0.55000000000000004">
      <c r="A18" s="1" t="str">
        <f>'Population Definitions'!$A$4</f>
        <v>Gen 15-64</v>
      </c>
      <c r="B18" s="1" t="s">
        <v>14</v>
      </c>
      <c r="C18" s="2" t="str">
        <f t="shared" si="2"/>
        <v>N.A.</v>
      </c>
      <c r="D18" s="1" t="s">
        <v>16</v>
      </c>
      <c r="E18" s="2">
        <v>125000</v>
      </c>
      <c r="F18" s="2">
        <v>120833.33333333333</v>
      </c>
      <c r="G18" s="2">
        <v>116666.66666666666</v>
      </c>
      <c r="H18" s="2">
        <v>112499.99999999999</v>
      </c>
      <c r="I18" s="2">
        <v>108333.33333333331</v>
      </c>
      <c r="J18" s="2">
        <v>104166.66666666664</v>
      </c>
      <c r="K18" s="2">
        <v>100000</v>
      </c>
      <c r="L18" s="2">
        <v>100000</v>
      </c>
      <c r="M18" s="2">
        <v>187500</v>
      </c>
      <c r="N18" s="2">
        <v>300000</v>
      </c>
      <c r="O18" s="2">
        <v>300000</v>
      </c>
      <c r="P18" s="2">
        <v>300000</v>
      </c>
      <c r="Q18" s="2">
        <v>300000</v>
      </c>
      <c r="R18" s="2">
        <v>266666.66666666669</v>
      </c>
      <c r="S18" s="2">
        <v>233333.33333333334</v>
      </c>
      <c r="T18" s="2">
        <v>200000</v>
      </c>
      <c r="U18" s="2">
        <v>0</v>
      </c>
    </row>
    <row r="19" spans="1:21" x14ac:dyDescent="0.55000000000000004">
      <c r="A19" s="1" t="str">
        <f>'Population Definitions'!$A$5</f>
        <v>Gen 65+</v>
      </c>
      <c r="B19" s="1" t="s">
        <v>10</v>
      </c>
      <c r="C19" s="2">
        <f t="shared" si="2"/>
        <v>0</v>
      </c>
      <c r="D19" s="1" t="s">
        <v>16</v>
      </c>
      <c r="E19" s="2"/>
      <c r="F19" s="2"/>
      <c r="G19" s="2"/>
      <c r="H19" s="2"/>
      <c r="I19" s="2"/>
      <c r="J19" s="2"/>
      <c r="K19" s="2"/>
      <c r="L19" s="2"/>
      <c r="M19" s="2"/>
      <c r="N19" s="2"/>
      <c r="O19" s="2"/>
      <c r="P19" s="2"/>
      <c r="Q19" s="2"/>
      <c r="R19" s="2"/>
      <c r="S19" s="2"/>
      <c r="T19" s="2"/>
      <c r="U19" s="2"/>
    </row>
    <row r="20" spans="1:21" x14ac:dyDescent="0.55000000000000004">
      <c r="A20" s="1" t="str">
        <f>'Population Definitions'!$A$6</f>
        <v>PLHIV 15-64</v>
      </c>
      <c r="B20" s="1" t="s">
        <v>10</v>
      </c>
      <c r="C20" s="2">
        <f t="shared" si="2"/>
        <v>0</v>
      </c>
      <c r="D20" s="1" t="s">
        <v>16</v>
      </c>
      <c r="E20" s="2"/>
      <c r="F20" s="2"/>
      <c r="G20" s="2"/>
      <c r="H20" s="2"/>
      <c r="I20" s="2"/>
      <c r="J20" s="2"/>
      <c r="K20" s="2"/>
      <c r="L20" s="2"/>
      <c r="M20" s="2"/>
      <c r="N20" s="2"/>
      <c r="O20" s="2"/>
      <c r="P20" s="2"/>
      <c r="Q20" s="2"/>
      <c r="R20" s="2"/>
      <c r="S20" s="2"/>
      <c r="T20" s="2"/>
      <c r="U20" s="2"/>
    </row>
    <row r="21" spans="1:21" x14ac:dyDescent="0.55000000000000004">
      <c r="A21" s="1" t="str">
        <f>'Population Definitions'!$A$7</f>
        <v>PLHIV 65+</v>
      </c>
      <c r="B21" s="1" t="s">
        <v>10</v>
      </c>
      <c r="C21" s="2">
        <f t="shared" si="2"/>
        <v>0</v>
      </c>
      <c r="D21" s="1" t="s">
        <v>16</v>
      </c>
      <c r="E21" s="2"/>
      <c r="F21" s="2"/>
      <c r="G21" s="2"/>
      <c r="H21" s="2"/>
      <c r="I21" s="2"/>
      <c r="J21" s="2"/>
      <c r="K21" s="2"/>
      <c r="L21" s="2"/>
      <c r="M21" s="2"/>
      <c r="N21" s="2"/>
      <c r="O21" s="2"/>
      <c r="P21" s="2"/>
      <c r="Q21" s="2"/>
      <c r="R21" s="2"/>
      <c r="S21" s="2"/>
      <c r="T21" s="2"/>
      <c r="U21" s="2"/>
    </row>
    <row r="22" spans="1:21" x14ac:dyDescent="0.55000000000000004">
      <c r="A22" s="1" t="str">
        <f>'Population Definitions'!$A$8</f>
        <v>Prisoners</v>
      </c>
      <c r="B22" s="1" t="s">
        <v>10</v>
      </c>
      <c r="C22" s="2">
        <f t="shared" si="2"/>
        <v>0</v>
      </c>
      <c r="D22" s="1" t="s">
        <v>16</v>
      </c>
      <c r="E22" s="2"/>
      <c r="F22" s="2"/>
      <c r="G22" s="2"/>
      <c r="H22" s="2"/>
      <c r="I22" s="2"/>
      <c r="J22" s="2"/>
      <c r="K22" s="2"/>
      <c r="L22" s="2"/>
      <c r="M22" s="2"/>
      <c r="N22" s="2"/>
      <c r="O22" s="2"/>
      <c r="P22" s="2"/>
      <c r="Q22" s="2"/>
      <c r="R22" s="2"/>
      <c r="S22" s="2"/>
      <c r="T22" s="2"/>
      <c r="U22" s="2"/>
    </row>
    <row r="23" spans="1:21" x14ac:dyDescent="0.55000000000000004">
      <c r="A23" s="1" t="str">
        <f>'Population Definitions'!$A$9</f>
        <v>PLHIV Prisoners</v>
      </c>
      <c r="B23" s="1" t="s">
        <v>10</v>
      </c>
      <c r="C23" s="2">
        <f t="shared" si="2"/>
        <v>0</v>
      </c>
      <c r="D23" s="1" t="s">
        <v>16</v>
      </c>
      <c r="E23" s="2"/>
      <c r="F23" s="2"/>
      <c r="G23" s="2"/>
      <c r="H23" s="2"/>
      <c r="I23" s="2"/>
      <c r="J23" s="2"/>
      <c r="K23" s="2"/>
      <c r="L23" s="2"/>
      <c r="M23" s="2"/>
      <c r="N23" s="2"/>
      <c r="O23" s="2"/>
      <c r="P23" s="2"/>
      <c r="Q23" s="2"/>
      <c r="R23" s="2"/>
      <c r="S23" s="2"/>
      <c r="T23" s="2"/>
      <c r="U23" s="2"/>
    </row>
    <row r="24" spans="1:21" x14ac:dyDescent="0.55000000000000004">
      <c r="A24" s="1" t="str">
        <f>'Population Definitions'!$A$10</f>
        <v>HCW</v>
      </c>
      <c r="B24" s="1" t="s">
        <v>10</v>
      </c>
      <c r="C24" s="2">
        <f t="shared" si="2"/>
        <v>0</v>
      </c>
      <c r="D24" s="1" t="s">
        <v>16</v>
      </c>
      <c r="E24" s="2"/>
      <c r="F24" s="2"/>
      <c r="G24" s="2"/>
      <c r="H24" s="2"/>
      <c r="I24" s="2"/>
      <c r="J24" s="2"/>
      <c r="K24" s="2"/>
      <c r="L24" s="2"/>
      <c r="M24" s="2"/>
      <c r="N24" s="2"/>
      <c r="O24" s="2"/>
      <c r="P24" s="2"/>
      <c r="Q24" s="2"/>
      <c r="R24" s="2"/>
      <c r="S24" s="2"/>
      <c r="T24" s="2"/>
      <c r="U24" s="2"/>
    </row>
    <row r="25" spans="1:21" x14ac:dyDescent="0.55000000000000004">
      <c r="A25" s="1" t="str">
        <f>'Population Definitions'!$A$11</f>
        <v>PLHIV HCW</v>
      </c>
      <c r="B25" s="1" t="s">
        <v>10</v>
      </c>
      <c r="C25" s="2">
        <f t="shared" si="2"/>
        <v>0</v>
      </c>
      <c r="D25" s="1" t="s">
        <v>16</v>
      </c>
      <c r="E25" s="2"/>
      <c r="F25" s="2"/>
      <c r="G25" s="2"/>
      <c r="H25" s="2"/>
      <c r="I25" s="2"/>
      <c r="J25" s="2"/>
      <c r="K25" s="2"/>
      <c r="L25" s="2"/>
      <c r="M25" s="2"/>
      <c r="N25" s="2"/>
      <c r="O25" s="2"/>
      <c r="P25" s="2"/>
      <c r="Q25" s="2"/>
      <c r="R25" s="2"/>
      <c r="S25" s="2"/>
      <c r="T25" s="2"/>
      <c r="U25" s="2"/>
    </row>
    <row r="26" spans="1:21" x14ac:dyDescent="0.55000000000000004">
      <c r="A26" s="1" t="str">
        <f>'Population Definitions'!$A$12</f>
        <v>Miners</v>
      </c>
      <c r="B26" s="1" t="s">
        <v>10</v>
      </c>
      <c r="C26" s="2">
        <f t="shared" si="2"/>
        <v>0</v>
      </c>
      <c r="D26" s="1" t="s">
        <v>16</v>
      </c>
      <c r="E26" s="2"/>
      <c r="F26" s="2"/>
      <c r="G26" s="2"/>
      <c r="H26" s="2"/>
      <c r="I26" s="2"/>
      <c r="J26" s="2"/>
      <c r="K26" s="2"/>
      <c r="L26" s="2"/>
      <c r="M26" s="2"/>
      <c r="N26" s="2"/>
      <c r="O26" s="2"/>
      <c r="P26" s="2"/>
      <c r="Q26" s="2"/>
      <c r="R26" s="2"/>
      <c r="S26" s="2"/>
      <c r="T26" s="2"/>
      <c r="U26" s="2"/>
    </row>
    <row r="27" spans="1:21" x14ac:dyDescent="0.55000000000000004">
      <c r="A27" s="1" t="str">
        <f>'Population Definitions'!$A$13</f>
        <v>PLHIV Miners</v>
      </c>
      <c r="B27" s="1" t="s">
        <v>10</v>
      </c>
      <c r="C27" s="2">
        <f t="shared" si="2"/>
        <v>0</v>
      </c>
      <c r="D27" s="1" t="s">
        <v>16</v>
      </c>
      <c r="E27" s="2"/>
      <c r="F27" s="2"/>
      <c r="G27" s="2"/>
      <c r="H27" s="2"/>
      <c r="I27" s="2"/>
      <c r="J27" s="2"/>
      <c r="K27" s="2"/>
      <c r="L27" s="2"/>
      <c r="M27" s="2"/>
      <c r="N27" s="2"/>
      <c r="O27" s="2"/>
      <c r="P27" s="2"/>
      <c r="Q27" s="2"/>
      <c r="R27" s="2"/>
      <c r="S27" s="2"/>
      <c r="T27" s="2"/>
      <c r="U27" s="2"/>
    </row>
    <row r="29" spans="1:21" x14ac:dyDescent="0.55000000000000004">
      <c r="A29" s="1" t="s">
        <v>36</v>
      </c>
      <c r="B29" s="1" t="s">
        <v>8</v>
      </c>
      <c r="C29" s="1" t="s">
        <v>9</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row>
    <row r="30" spans="1:21" x14ac:dyDescent="0.55000000000000004">
      <c r="A30" s="1" t="str">
        <f>'Population Definitions'!$A$2</f>
        <v>Gen 0-4</v>
      </c>
      <c r="B30" s="1" t="s">
        <v>10</v>
      </c>
      <c r="C30" s="2" t="str">
        <f t="shared" ref="C30:C41" si="3">IF(SUMPRODUCT(--(E30:U30&lt;&gt;""))=0,0,"N.A.")</f>
        <v>N.A.</v>
      </c>
      <c r="D30" s="1" t="s">
        <v>16</v>
      </c>
      <c r="E30" s="6">
        <v>7.2537396121883655E-3</v>
      </c>
      <c r="F30" s="6">
        <v>7.5417201540436459E-3</v>
      </c>
      <c r="G30" s="6">
        <v>8.5990757855822549E-3</v>
      </c>
      <c r="H30" s="6">
        <v>9.7751223184042151E-3</v>
      </c>
      <c r="I30" s="6">
        <v>1.0997512913717238E-2</v>
      </c>
      <c r="J30" s="6">
        <v>1.1946325509811466E-2</v>
      </c>
      <c r="K30" s="6">
        <v>1.2481596280511429E-2</v>
      </c>
      <c r="L30" s="6">
        <v>1.1825405921680993E-2</v>
      </c>
      <c r="M30" s="6">
        <v>1.1405505952380952E-2</v>
      </c>
      <c r="N30" s="6">
        <v>9.4443435627383325E-3</v>
      </c>
      <c r="O30" s="6">
        <v>8.6111210762331841E-3</v>
      </c>
      <c r="P30" s="6">
        <v>6.7926315789473687E-3</v>
      </c>
      <c r="Q30" s="6">
        <v>6.616995073891626E-3</v>
      </c>
      <c r="R30" s="6">
        <v>6.2982770997846377E-3</v>
      </c>
      <c r="S30" s="2"/>
      <c r="T30" s="2"/>
      <c r="U30" s="2"/>
    </row>
    <row r="31" spans="1:21" x14ac:dyDescent="0.55000000000000004">
      <c r="A31" s="1" t="str">
        <f>'Population Definitions'!$A$3</f>
        <v>Gen 5-14</v>
      </c>
      <c r="B31" s="1" t="s">
        <v>10</v>
      </c>
      <c r="C31" s="2" t="str">
        <f t="shared" si="3"/>
        <v>N.A.</v>
      </c>
      <c r="D31" s="1" t="s">
        <v>16</v>
      </c>
      <c r="E31" s="6">
        <v>6.5641175896083599E-4</v>
      </c>
      <c r="F31" s="6">
        <v>6.8852459016393447E-4</v>
      </c>
      <c r="G31" s="6">
        <v>7.4768786127167629E-4</v>
      </c>
      <c r="H31" s="6">
        <v>8.2996842407425124E-4</v>
      </c>
      <c r="I31" s="6">
        <v>9.4574528840662476E-4</v>
      </c>
      <c r="J31" s="6">
        <v>9.6942070275403609E-4</v>
      </c>
      <c r="K31" s="6">
        <v>9.3937671687032299E-4</v>
      </c>
      <c r="L31" s="6">
        <v>9.0507349454717876E-4</v>
      </c>
      <c r="M31" s="6">
        <v>8.7392877547133878E-4</v>
      </c>
      <c r="N31" s="6">
        <v>8.4799463960945722E-4</v>
      </c>
      <c r="O31" s="6">
        <v>8.8803385917660637E-4</v>
      </c>
      <c r="P31" s="6">
        <v>8.0144787644787646E-4</v>
      </c>
      <c r="Q31" s="6">
        <v>8.6946454413892914E-4</v>
      </c>
      <c r="R31" s="6">
        <v>6.3795255930087396E-4</v>
      </c>
      <c r="S31" s="2"/>
      <c r="T31" s="2"/>
      <c r="U31" s="2"/>
    </row>
    <row r="32" spans="1:21" x14ac:dyDescent="0.55000000000000004">
      <c r="A32" s="1" t="str">
        <f>'Population Definitions'!$A$4</f>
        <v>Gen 15-64</v>
      </c>
      <c r="B32" s="1" t="s">
        <v>10</v>
      </c>
      <c r="C32" s="2" t="str">
        <f t="shared" si="3"/>
        <v>N.A.</v>
      </c>
      <c r="D32" s="1" t="s">
        <v>16</v>
      </c>
      <c r="E32" s="6">
        <v>9.1568384629393557E-3</v>
      </c>
      <c r="F32" s="6">
        <v>1.0059301410063703E-2</v>
      </c>
      <c r="G32" s="6">
        <v>1.1169197320896308E-2</v>
      </c>
      <c r="H32" s="6">
        <v>1.228640043913819E-2</v>
      </c>
      <c r="I32" s="6">
        <v>1.2673504330893709E-2</v>
      </c>
      <c r="J32" s="6">
        <v>1.2773204356266245E-2</v>
      </c>
      <c r="K32" s="6">
        <v>1.2702324080051647E-2</v>
      </c>
      <c r="L32" s="6">
        <v>1.2266814791302968E-2</v>
      </c>
      <c r="M32" s="6">
        <v>1.1832598705805121E-2</v>
      </c>
      <c r="N32" s="6">
        <v>1.1220994645165261E-2</v>
      </c>
      <c r="O32" s="6">
        <v>1.033619828708047E-2</v>
      </c>
      <c r="P32" s="6">
        <v>9.3090291233195212E-3</v>
      </c>
      <c r="Q32" s="6">
        <v>8.5349954589400284E-3</v>
      </c>
      <c r="R32" s="6">
        <v>7.7427765626798661E-3</v>
      </c>
      <c r="S32" s="2"/>
      <c r="T32" s="2"/>
      <c r="U32" s="2"/>
    </row>
    <row r="33" spans="1:21" x14ac:dyDescent="0.55000000000000004">
      <c r="A33" s="1" t="str">
        <f>'Population Definitions'!$A$5</f>
        <v>Gen 65+</v>
      </c>
      <c r="B33" s="1" t="s">
        <v>10</v>
      </c>
      <c r="C33" s="2" t="str">
        <f t="shared" si="3"/>
        <v>N.A.</v>
      </c>
      <c r="D33" s="1" t="s">
        <v>16</v>
      </c>
      <c r="E33" s="6">
        <v>6.6788031319910512E-2</v>
      </c>
      <c r="F33" s="6">
        <v>6.7353944562899781E-2</v>
      </c>
      <c r="G33" s="6">
        <v>6.6125635808748723E-2</v>
      </c>
      <c r="H33" s="6">
        <v>6.7565111758989313E-2</v>
      </c>
      <c r="I33" s="6">
        <v>6.1876163873370575E-2</v>
      </c>
      <c r="J33" s="6">
        <v>6.1941334527541421E-2</v>
      </c>
      <c r="K33" s="6">
        <v>6.2693895098882207E-2</v>
      </c>
      <c r="L33" s="6">
        <v>6.1216597510373442E-2</v>
      </c>
      <c r="M33" s="6">
        <v>5.9705123033481244E-2</v>
      </c>
      <c r="N33" s="6">
        <v>6.1533018867924526E-2</v>
      </c>
      <c r="O33" s="6">
        <v>5.7977368622938244E-2</v>
      </c>
      <c r="P33" s="6">
        <v>5.9001901140684411E-2</v>
      </c>
      <c r="Q33" s="6">
        <v>5.7662650602409639E-2</v>
      </c>
      <c r="R33" s="6">
        <v>5.519746646795827E-2</v>
      </c>
      <c r="S33" s="2"/>
      <c r="T33" s="2"/>
      <c r="U33" s="2"/>
    </row>
    <row r="34" spans="1:21" x14ac:dyDescent="0.55000000000000004">
      <c r="A34" s="1" t="str">
        <f>'Population Definitions'!$A$6</f>
        <v>PLHIV 15-64</v>
      </c>
      <c r="B34" s="1" t="s">
        <v>10</v>
      </c>
      <c r="C34" s="2" t="str">
        <f t="shared" si="3"/>
        <v>N.A.</v>
      </c>
      <c r="D34" s="1" t="s">
        <v>16</v>
      </c>
      <c r="E34" s="6">
        <v>9.1568384629393557E-3</v>
      </c>
      <c r="F34" s="6">
        <v>1.0059301410063703E-2</v>
      </c>
      <c r="G34" s="6">
        <v>1.1169197320896308E-2</v>
      </c>
      <c r="H34" s="6">
        <v>1.228640043913819E-2</v>
      </c>
      <c r="I34" s="6">
        <v>1.2673504330893709E-2</v>
      </c>
      <c r="J34" s="6">
        <v>1.2773204356266245E-2</v>
      </c>
      <c r="K34" s="6">
        <v>1.2702324080051647E-2</v>
      </c>
      <c r="L34" s="6">
        <v>1.2266814791302968E-2</v>
      </c>
      <c r="M34" s="6">
        <v>1.1832598705805121E-2</v>
      </c>
      <c r="N34" s="6">
        <v>1.1220994645165261E-2</v>
      </c>
      <c r="O34" s="6">
        <v>1.033619828708047E-2</v>
      </c>
      <c r="P34" s="6">
        <v>9.3090291233195212E-3</v>
      </c>
      <c r="Q34" s="6">
        <v>8.5349954589400284E-3</v>
      </c>
      <c r="R34" s="6">
        <v>7.7427765626798661E-3</v>
      </c>
      <c r="S34" s="2"/>
      <c r="T34" s="2"/>
      <c r="U34" s="2"/>
    </row>
    <row r="35" spans="1:21" x14ac:dyDescent="0.55000000000000004">
      <c r="A35" s="1" t="str">
        <f>'Population Definitions'!$A$7</f>
        <v>PLHIV 65+</v>
      </c>
      <c r="B35" s="1" t="s">
        <v>10</v>
      </c>
      <c r="C35" s="2" t="str">
        <f t="shared" si="3"/>
        <v>N.A.</v>
      </c>
      <c r="D35" s="1" t="s">
        <v>16</v>
      </c>
      <c r="E35" s="6">
        <v>6.6788031319910512E-2</v>
      </c>
      <c r="F35" s="6">
        <v>6.7353944562899781E-2</v>
      </c>
      <c r="G35" s="6">
        <v>6.6125635808748723E-2</v>
      </c>
      <c r="H35" s="6">
        <v>6.7565111758989313E-2</v>
      </c>
      <c r="I35" s="6">
        <v>6.1876163873370575E-2</v>
      </c>
      <c r="J35" s="6">
        <v>6.1941334527541421E-2</v>
      </c>
      <c r="K35" s="6">
        <v>6.2693895098882207E-2</v>
      </c>
      <c r="L35" s="6">
        <v>6.1216597510373442E-2</v>
      </c>
      <c r="M35" s="6">
        <v>5.9705123033481244E-2</v>
      </c>
      <c r="N35" s="6">
        <v>6.1533018867924526E-2</v>
      </c>
      <c r="O35" s="6">
        <v>5.7977368622938244E-2</v>
      </c>
      <c r="P35" s="6">
        <v>5.9001901140684411E-2</v>
      </c>
      <c r="Q35" s="6">
        <v>5.7662650602409639E-2</v>
      </c>
      <c r="R35" s="6">
        <v>5.519746646795827E-2</v>
      </c>
      <c r="S35" s="2"/>
      <c r="T35" s="2"/>
      <c r="U35" s="2"/>
    </row>
    <row r="36" spans="1:21" x14ac:dyDescent="0.55000000000000004">
      <c r="A36" s="1" t="str">
        <f>'Population Definitions'!$A$8</f>
        <v>Prisoners</v>
      </c>
      <c r="B36" s="1" t="s">
        <v>10</v>
      </c>
      <c r="C36" s="2" t="str">
        <f t="shared" si="3"/>
        <v>N.A.</v>
      </c>
      <c r="D36" s="1" t="s">
        <v>16</v>
      </c>
      <c r="E36" s="6">
        <v>9.1568384629393557E-3</v>
      </c>
      <c r="F36" s="6">
        <v>1.0059301410063703E-2</v>
      </c>
      <c r="G36" s="6">
        <v>1.1169197320896308E-2</v>
      </c>
      <c r="H36" s="6">
        <v>1.228640043913819E-2</v>
      </c>
      <c r="I36" s="6">
        <v>1.2673504330893709E-2</v>
      </c>
      <c r="J36" s="6">
        <v>1.2773204356266245E-2</v>
      </c>
      <c r="K36" s="6">
        <v>1.2702324080051647E-2</v>
      </c>
      <c r="L36" s="6">
        <v>1.2266814791302968E-2</v>
      </c>
      <c r="M36" s="6">
        <v>1.1832598705805121E-2</v>
      </c>
      <c r="N36" s="6">
        <v>1.1220994645165261E-2</v>
      </c>
      <c r="O36" s="6">
        <v>1.033619828708047E-2</v>
      </c>
      <c r="P36" s="6">
        <v>9.3090291233195212E-3</v>
      </c>
      <c r="Q36" s="6">
        <v>8.5349954589400284E-3</v>
      </c>
      <c r="R36" s="6">
        <v>7.7427765626798661E-3</v>
      </c>
      <c r="S36" s="2"/>
      <c r="T36" s="2"/>
      <c r="U36" s="2"/>
    </row>
    <row r="37" spans="1:21" x14ac:dyDescent="0.55000000000000004">
      <c r="A37" s="1" t="str">
        <f>'Population Definitions'!$A$9</f>
        <v>PLHIV Prisoners</v>
      </c>
      <c r="B37" s="1" t="s">
        <v>10</v>
      </c>
      <c r="C37" s="2" t="str">
        <f t="shared" si="3"/>
        <v>N.A.</v>
      </c>
      <c r="D37" s="1" t="s">
        <v>16</v>
      </c>
      <c r="E37" s="6">
        <v>9.1568384629393557E-3</v>
      </c>
      <c r="F37" s="6">
        <v>1.0059301410063703E-2</v>
      </c>
      <c r="G37" s="6">
        <v>1.1169197320896308E-2</v>
      </c>
      <c r="H37" s="6">
        <v>1.228640043913819E-2</v>
      </c>
      <c r="I37" s="6">
        <v>1.2673504330893709E-2</v>
      </c>
      <c r="J37" s="6">
        <v>1.2773204356266245E-2</v>
      </c>
      <c r="K37" s="6">
        <v>1.2702324080051647E-2</v>
      </c>
      <c r="L37" s="6">
        <v>1.2266814791302968E-2</v>
      </c>
      <c r="M37" s="6">
        <v>1.1832598705805121E-2</v>
      </c>
      <c r="N37" s="6">
        <v>1.1220994645165261E-2</v>
      </c>
      <c r="O37" s="6">
        <v>1.033619828708047E-2</v>
      </c>
      <c r="P37" s="6">
        <v>9.3090291233195212E-3</v>
      </c>
      <c r="Q37" s="6">
        <v>8.5349954589400284E-3</v>
      </c>
      <c r="R37" s="6">
        <v>7.7427765626798661E-3</v>
      </c>
      <c r="S37" s="2"/>
      <c r="T37" s="2"/>
      <c r="U37" s="2"/>
    </row>
    <row r="38" spans="1:21" x14ac:dyDescent="0.55000000000000004">
      <c r="A38" s="1" t="str">
        <f>'Population Definitions'!$A$10</f>
        <v>HCW</v>
      </c>
      <c r="B38" s="1" t="s">
        <v>10</v>
      </c>
      <c r="C38" s="2" t="str">
        <f t="shared" si="3"/>
        <v>N.A.</v>
      </c>
      <c r="D38" s="1" t="s">
        <v>16</v>
      </c>
      <c r="E38" s="6">
        <v>9.1568384629393557E-3</v>
      </c>
      <c r="F38" s="6">
        <v>1.0059301410063703E-2</v>
      </c>
      <c r="G38" s="6">
        <v>1.1169197320896308E-2</v>
      </c>
      <c r="H38" s="6">
        <v>1.228640043913819E-2</v>
      </c>
      <c r="I38" s="6">
        <v>1.2673504330893709E-2</v>
      </c>
      <c r="J38" s="6">
        <v>1.2773204356266245E-2</v>
      </c>
      <c r="K38" s="6">
        <v>1.2702324080051647E-2</v>
      </c>
      <c r="L38" s="6">
        <v>1.2266814791302968E-2</v>
      </c>
      <c r="M38" s="6">
        <v>1.1832598705805121E-2</v>
      </c>
      <c r="N38" s="6">
        <v>1.1220994645165261E-2</v>
      </c>
      <c r="O38" s="6">
        <v>1.033619828708047E-2</v>
      </c>
      <c r="P38" s="6">
        <v>9.3090291233195212E-3</v>
      </c>
      <c r="Q38" s="6">
        <v>8.5349954589400284E-3</v>
      </c>
      <c r="R38" s="6">
        <v>7.7427765626798661E-3</v>
      </c>
      <c r="S38" s="2"/>
      <c r="T38" s="2"/>
      <c r="U38" s="2"/>
    </row>
    <row r="39" spans="1:21" x14ac:dyDescent="0.55000000000000004">
      <c r="A39" s="1" t="str">
        <f>'Population Definitions'!$A$11</f>
        <v>PLHIV HCW</v>
      </c>
      <c r="B39" s="1" t="s">
        <v>10</v>
      </c>
      <c r="C39" s="2" t="str">
        <f t="shared" si="3"/>
        <v>N.A.</v>
      </c>
      <c r="D39" s="1" t="s">
        <v>16</v>
      </c>
      <c r="E39" s="6">
        <v>9.1568384629393557E-3</v>
      </c>
      <c r="F39" s="6">
        <v>1.0059301410063703E-2</v>
      </c>
      <c r="G39" s="6">
        <v>1.1169197320896308E-2</v>
      </c>
      <c r="H39" s="6">
        <v>1.228640043913819E-2</v>
      </c>
      <c r="I39" s="6">
        <v>1.2673504330893709E-2</v>
      </c>
      <c r="J39" s="6">
        <v>1.2773204356266245E-2</v>
      </c>
      <c r="K39" s="6">
        <v>1.2702324080051647E-2</v>
      </c>
      <c r="L39" s="6">
        <v>1.2266814791302968E-2</v>
      </c>
      <c r="M39" s="6">
        <v>1.1832598705805121E-2</v>
      </c>
      <c r="N39" s="6">
        <v>1.1220994645165261E-2</v>
      </c>
      <c r="O39" s="6">
        <v>1.033619828708047E-2</v>
      </c>
      <c r="P39" s="6">
        <v>9.3090291233195212E-3</v>
      </c>
      <c r="Q39" s="6">
        <v>8.5349954589400284E-3</v>
      </c>
      <c r="R39" s="6">
        <v>7.7427765626798661E-3</v>
      </c>
      <c r="S39" s="2"/>
      <c r="T39" s="2"/>
      <c r="U39" s="2"/>
    </row>
    <row r="40" spans="1:21" x14ac:dyDescent="0.55000000000000004">
      <c r="A40" s="1" t="str">
        <f>'Population Definitions'!$A$12</f>
        <v>Miners</v>
      </c>
      <c r="B40" s="1" t="s">
        <v>10</v>
      </c>
      <c r="C40" s="2" t="str">
        <f t="shared" si="3"/>
        <v>N.A.</v>
      </c>
      <c r="D40" s="1" t="s">
        <v>16</v>
      </c>
      <c r="E40" s="6">
        <v>9.1568384629393557E-3</v>
      </c>
      <c r="F40" s="6">
        <v>1.0059301410063703E-2</v>
      </c>
      <c r="G40" s="6">
        <v>1.1169197320896308E-2</v>
      </c>
      <c r="H40" s="6">
        <v>1.228640043913819E-2</v>
      </c>
      <c r="I40" s="6">
        <v>1.2673504330893709E-2</v>
      </c>
      <c r="J40" s="6">
        <v>1.2773204356266245E-2</v>
      </c>
      <c r="K40" s="6">
        <v>1.2702324080051647E-2</v>
      </c>
      <c r="L40" s="6">
        <v>1.2266814791302968E-2</v>
      </c>
      <c r="M40" s="6">
        <v>1.1832598705805121E-2</v>
      </c>
      <c r="N40" s="6">
        <v>1.1220994645165261E-2</v>
      </c>
      <c r="O40" s="6">
        <v>1.033619828708047E-2</v>
      </c>
      <c r="P40" s="6">
        <v>9.3090291233195212E-3</v>
      </c>
      <c r="Q40" s="6">
        <v>8.5349954589400284E-3</v>
      </c>
      <c r="R40" s="6">
        <v>7.7427765626798661E-3</v>
      </c>
      <c r="S40" s="2"/>
      <c r="T40" s="2"/>
      <c r="U40" s="2"/>
    </row>
    <row r="41" spans="1:21" x14ac:dyDescent="0.55000000000000004">
      <c r="A41" s="1" t="str">
        <f>'Population Definitions'!$A$13</f>
        <v>PLHIV Miners</v>
      </c>
      <c r="B41" s="1" t="s">
        <v>10</v>
      </c>
      <c r="C41" s="2" t="str">
        <f t="shared" si="3"/>
        <v>N.A.</v>
      </c>
      <c r="D41" s="1" t="s">
        <v>16</v>
      </c>
      <c r="E41" s="6">
        <v>9.1568384629393557E-3</v>
      </c>
      <c r="F41" s="6">
        <v>1.0059301410063703E-2</v>
      </c>
      <c r="G41" s="6">
        <v>1.1169197320896308E-2</v>
      </c>
      <c r="H41" s="6">
        <v>1.228640043913819E-2</v>
      </c>
      <c r="I41" s="6">
        <v>1.2673504330893709E-2</v>
      </c>
      <c r="J41" s="6">
        <v>1.2773204356266245E-2</v>
      </c>
      <c r="K41" s="6">
        <v>1.2702324080051647E-2</v>
      </c>
      <c r="L41" s="6">
        <v>1.2266814791302968E-2</v>
      </c>
      <c r="M41" s="6">
        <v>1.1832598705805121E-2</v>
      </c>
      <c r="N41" s="6">
        <v>1.1220994645165261E-2</v>
      </c>
      <c r="O41" s="6">
        <v>1.033619828708047E-2</v>
      </c>
      <c r="P41" s="6">
        <v>9.3090291233195212E-3</v>
      </c>
      <c r="Q41" s="6">
        <v>8.5349954589400284E-3</v>
      </c>
      <c r="R41" s="6">
        <v>7.7427765626798661E-3</v>
      </c>
      <c r="S41" s="2"/>
      <c r="T41" s="2"/>
      <c r="U41" s="2"/>
    </row>
  </sheetData>
  <dataValidations count="2">
    <dataValidation type="list" showInputMessage="1" showErrorMessage="1" sqref="B30:B41 B16:B27">
      <formula1>"Fraction,Number"</formula1>
    </dataValidation>
    <dataValidation type="list" showInputMessage="1" showErrorMessage="1" sqref="B2:B13">
      <formula1>"Number"</formula1>
    </dataValidation>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07"/>
  <sheetViews>
    <sheetView topLeftCell="J1" zoomScale="90" zoomScaleNormal="90" zoomScalePageLayoutView="90" workbookViewId="0">
      <selection activeCell="S2" sqref="S2:S13"/>
    </sheetView>
  </sheetViews>
  <sheetFormatPr defaultColWidth="8.83984375" defaultRowHeight="14.4" x14ac:dyDescent="0.55000000000000004"/>
  <cols>
    <col min="1" max="1" width="60.68359375" customWidth="1"/>
    <col min="2" max="3" width="10.68359375" customWidth="1"/>
    <col min="5" max="5" width="10.68359375" customWidth="1"/>
    <col min="6" max="6" width="8.83984375" customWidth="1"/>
  </cols>
  <sheetData>
    <row r="1" spans="1:21" x14ac:dyDescent="0.55000000000000004">
      <c r="A1" s="19" t="s">
        <v>20</v>
      </c>
      <c r="B1" s="1" t="s">
        <v>8</v>
      </c>
      <c r="C1" s="1" t="s">
        <v>9</v>
      </c>
      <c r="D1" s="1"/>
      <c r="E1" s="41">
        <v>2000</v>
      </c>
      <c r="F1" s="41">
        <v>2001</v>
      </c>
      <c r="G1" s="41">
        <v>2002</v>
      </c>
      <c r="H1" s="41">
        <v>2003</v>
      </c>
      <c r="I1" s="41">
        <v>2004</v>
      </c>
      <c r="J1" s="41">
        <v>2005</v>
      </c>
      <c r="K1" s="41">
        <v>2006</v>
      </c>
      <c r="L1" s="41">
        <v>2007</v>
      </c>
      <c r="M1" s="41">
        <v>2008</v>
      </c>
      <c r="N1" s="41">
        <v>2009</v>
      </c>
      <c r="O1" s="41">
        <v>2010</v>
      </c>
      <c r="P1" s="41">
        <v>2011</v>
      </c>
      <c r="Q1" s="41">
        <v>2012</v>
      </c>
      <c r="R1" s="41">
        <v>2013</v>
      </c>
      <c r="S1" s="41">
        <v>2014</v>
      </c>
      <c r="T1" s="41">
        <v>2015</v>
      </c>
      <c r="U1" s="41">
        <v>2016</v>
      </c>
    </row>
    <row r="2" spans="1:21" x14ac:dyDescent="0.55000000000000004">
      <c r="A2" s="1" t="str">
        <f>'Population Definitions'!$A$2</f>
        <v>Gen 0-4</v>
      </c>
      <c r="B2" s="1" t="s">
        <v>14</v>
      </c>
      <c r="C2" s="2" t="str">
        <f t="shared" ref="C2:C13" si="0">IF(SUMPRODUCT(--(E2:U2&lt;&gt;""))=0,0,"N.A.")</f>
        <v>N.A.</v>
      </c>
      <c r="D2" s="1" t="s">
        <v>16</v>
      </c>
      <c r="E2" s="44">
        <v>3772.852343</v>
      </c>
      <c r="F2" s="44">
        <v>4363.925894</v>
      </c>
      <c r="G2" s="44">
        <v>4954.2577289999999</v>
      </c>
      <c r="H2" s="44">
        <v>5459.8629030000002</v>
      </c>
      <c r="I2" s="44">
        <v>5115.4443940000001</v>
      </c>
      <c r="J2" s="44">
        <v>5993.5594590000001</v>
      </c>
      <c r="K2" s="44">
        <v>6884.3711219999996</v>
      </c>
      <c r="L2" s="44">
        <v>6928.7058349999998</v>
      </c>
      <c r="M2" s="44">
        <v>6411.5924800000003</v>
      </c>
      <c r="N2" s="44">
        <v>5946.4228819999998</v>
      </c>
      <c r="O2" s="44">
        <v>5692.7730680000004</v>
      </c>
      <c r="P2" s="44">
        <v>5933.9793559999998</v>
      </c>
      <c r="Q2" s="44">
        <v>5810.0363479999996</v>
      </c>
      <c r="R2" s="44">
        <v>6143.5940890000002</v>
      </c>
      <c r="S2" s="44">
        <v>5287.752262</v>
      </c>
      <c r="T2" s="44"/>
      <c r="U2" s="44"/>
    </row>
    <row r="3" spans="1:21" x14ac:dyDescent="0.55000000000000004">
      <c r="A3" s="1" t="str">
        <f>'Population Definitions'!$A$3</f>
        <v>Gen 5-14</v>
      </c>
      <c r="B3" s="1" t="s">
        <v>14</v>
      </c>
      <c r="C3" s="2" t="str">
        <f t="shared" si="0"/>
        <v>N.A.</v>
      </c>
      <c r="D3" s="1" t="s">
        <v>16</v>
      </c>
      <c r="E3" s="44">
        <v>1722.6683250000001</v>
      </c>
      <c r="F3" s="44">
        <v>1992.5499930000001</v>
      </c>
      <c r="G3" s="44">
        <v>2262.0929970000002</v>
      </c>
      <c r="H3" s="44">
        <v>2658.748004</v>
      </c>
      <c r="I3" s="44">
        <v>2838.1190080000001</v>
      </c>
      <c r="J3" s="44">
        <v>3049.4442260000001</v>
      </c>
      <c r="K3" s="44">
        <v>2996.3859480000001</v>
      </c>
      <c r="L3" s="44">
        <v>3192.134759</v>
      </c>
      <c r="M3" s="44">
        <v>3178.1880660000002</v>
      </c>
      <c r="N3" s="44">
        <v>2947.9563629999998</v>
      </c>
      <c r="O3" s="44">
        <v>2795.4087479999998</v>
      </c>
      <c r="P3" s="44">
        <v>2927.884853</v>
      </c>
      <c r="Q3" s="44">
        <v>2986.0594529999998</v>
      </c>
      <c r="R3" s="44">
        <v>2630.6476670000002</v>
      </c>
      <c r="S3" s="44">
        <v>2239.080234</v>
      </c>
      <c r="T3" s="44"/>
      <c r="U3" s="44"/>
    </row>
    <row r="4" spans="1:21" x14ac:dyDescent="0.55000000000000004">
      <c r="A4" s="1" t="str">
        <f>'Population Definitions'!$A$4</f>
        <v>Gen 15-64</v>
      </c>
      <c r="B4" s="1" t="s">
        <v>14</v>
      </c>
      <c r="C4" s="2" t="str">
        <f t="shared" si="0"/>
        <v>N.A.</v>
      </c>
      <c r="D4" s="1" t="s">
        <v>16</v>
      </c>
      <c r="E4" s="44">
        <v>5746.8042960000002</v>
      </c>
      <c r="F4" s="44">
        <v>6647.1268410000002</v>
      </c>
      <c r="G4" s="44">
        <v>7546.3196049999997</v>
      </c>
      <c r="H4" s="44">
        <v>8432.0064170000005</v>
      </c>
      <c r="I4" s="44">
        <v>9282.7745589999995</v>
      </c>
      <c r="J4" s="44">
        <v>9828.3858610000007</v>
      </c>
      <c r="K4" s="44">
        <v>11752.776529999999</v>
      </c>
      <c r="L4" s="44">
        <v>13595.25373</v>
      </c>
      <c r="M4" s="44">
        <v>14179.86054</v>
      </c>
      <c r="N4" s="44">
        <v>14730.171630000001</v>
      </c>
      <c r="O4" s="44">
        <v>13935.47025</v>
      </c>
      <c r="P4" s="44">
        <v>13980.67433</v>
      </c>
      <c r="Q4" s="44">
        <v>15044.20163</v>
      </c>
      <c r="R4" s="44">
        <v>15951.70147</v>
      </c>
      <c r="S4" s="44">
        <v>17413.928189999999</v>
      </c>
      <c r="T4" s="44"/>
      <c r="U4" s="44"/>
    </row>
    <row r="5" spans="1:21" x14ac:dyDescent="0.55000000000000004">
      <c r="A5" s="1" t="str">
        <f>'Population Definitions'!$A$5</f>
        <v>Gen 65+</v>
      </c>
      <c r="B5" s="1" t="s">
        <v>14</v>
      </c>
      <c r="C5" s="2" t="str">
        <f t="shared" si="0"/>
        <v>N.A.</v>
      </c>
      <c r="D5" s="1" t="s">
        <v>16</v>
      </c>
      <c r="E5" s="44">
        <v>414.53718950000001</v>
      </c>
      <c r="F5" s="44">
        <v>479.48061860000001</v>
      </c>
      <c r="G5" s="44">
        <v>544.34255270000006</v>
      </c>
      <c r="H5" s="44">
        <v>634.8629565</v>
      </c>
      <c r="I5" s="44">
        <v>576.68750109999996</v>
      </c>
      <c r="J5" s="44">
        <v>720.3432305</v>
      </c>
      <c r="K5" s="44">
        <v>710.03734629999997</v>
      </c>
      <c r="L5" s="44">
        <v>837.75733690000004</v>
      </c>
      <c r="M5" s="44">
        <v>673.35434580000003</v>
      </c>
      <c r="N5" s="44">
        <v>941.55254279999997</v>
      </c>
      <c r="O5" s="44">
        <v>1209.9573559999999</v>
      </c>
      <c r="P5" s="44">
        <v>927.06290149999995</v>
      </c>
      <c r="Q5" s="44">
        <v>1091.432736</v>
      </c>
      <c r="R5" s="44">
        <v>1132.8985270000001</v>
      </c>
      <c r="S5" s="44">
        <v>1331.866798</v>
      </c>
      <c r="T5" s="44"/>
      <c r="U5" s="44"/>
    </row>
    <row r="6" spans="1:21" x14ac:dyDescent="0.55000000000000004">
      <c r="A6" s="1" t="str">
        <f>'Population Definitions'!$A$6</f>
        <v>PLHIV 15-64</v>
      </c>
      <c r="B6" s="1" t="s">
        <v>14</v>
      </c>
      <c r="C6" s="2" t="str">
        <f t="shared" si="0"/>
        <v>N.A.</v>
      </c>
      <c r="D6" s="1" t="s">
        <v>16</v>
      </c>
      <c r="E6" s="44">
        <v>31567.508109999999</v>
      </c>
      <c r="F6" s="44">
        <v>36513.028749999998</v>
      </c>
      <c r="G6" s="44">
        <v>41452.343430000001</v>
      </c>
      <c r="H6" s="44">
        <v>46442.111799999999</v>
      </c>
      <c r="I6" s="44">
        <v>51293.721210000003</v>
      </c>
      <c r="J6" s="44">
        <v>54519.134440000002</v>
      </c>
      <c r="K6" s="44">
        <v>56131.357550000001</v>
      </c>
      <c r="L6" s="44">
        <v>56676.046170000001</v>
      </c>
      <c r="M6" s="44">
        <v>58209.652900000001</v>
      </c>
      <c r="N6" s="44">
        <v>59567.206270000002</v>
      </c>
      <c r="O6" s="44">
        <v>61039.918440000001</v>
      </c>
      <c r="P6" s="44">
        <v>56332.643949999998</v>
      </c>
      <c r="Q6" s="44">
        <v>56982.794029999997</v>
      </c>
      <c r="R6" s="44">
        <v>58306.006399999998</v>
      </c>
      <c r="S6" s="44">
        <v>58743.592779999999</v>
      </c>
      <c r="T6" s="44"/>
      <c r="U6" s="44"/>
    </row>
    <row r="7" spans="1:21" x14ac:dyDescent="0.55000000000000004">
      <c r="A7" s="1" t="str">
        <f>'Population Definitions'!$A$7</f>
        <v>PLHIV 65+</v>
      </c>
      <c r="B7" s="1" t="s">
        <v>14</v>
      </c>
      <c r="C7" s="2" t="str">
        <f t="shared" si="0"/>
        <v>N.A.</v>
      </c>
      <c r="D7" s="1" t="s">
        <v>16</v>
      </c>
      <c r="E7" s="44">
        <v>190.72465439999999</v>
      </c>
      <c r="F7" s="44">
        <v>220.60451420000001</v>
      </c>
      <c r="G7" s="44">
        <v>250.44687880000001</v>
      </c>
      <c r="H7" s="44">
        <v>291.44632719999998</v>
      </c>
      <c r="I7" s="44">
        <v>260.90810240000002</v>
      </c>
      <c r="J7" s="44">
        <v>326.15127819999998</v>
      </c>
      <c r="K7" s="44">
        <v>321.08694939999998</v>
      </c>
      <c r="L7" s="44">
        <v>247.56848110000001</v>
      </c>
      <c r="M7" s="44">
        <v>518.66918009999995</v>
      </c>
      <c r="N7" s="44">
        <v>399.26250099999999</v>
      </c>
      <c r="O7" s="44">
        <v>1115.23838</v>
      </c>
      <c r="P7" s="44">
        <v>457.95887959999999</v>
      </c>
      <c r="Q7" s="44">
        <v>453.02703359999998</v>
      </c>
      <c r="R7" s="44">
        <v>435.09097220000001</v>
      </c>
      <c r="S7" s="44">
        <v>602.34623299999998</v>
      </c>
      <c r="T7" s="44"/>
      <c r="U7" s="44"/>
    </row>
    <row r="8" spans="1:21" x14ac:dyDescent="0.55000000000000004">
      <c r="A8" s="41" t="str">
        <f>'Population Definitions'!$A$8</f>
        <v>Prisoners</v>
      </c>
      <c r="B8" s="1" t="s">
        <v>14</v>
      </c>
      <c r="C8" s="2" t="str">
        <f t="shared" si="0"/>
        <v>N.A.</v>
      </c>
      <c r="D8" s="1" t="s">
        <v>16</v>
      </c>
      <c r="E8" s="44">
        <f>155.2362311*(2.5)</f>
        <v>388.09057774999997</v>
      </c>
      <c r="F8" s="44">
        <f>179.5563004*(2.5)</f>
        <v>448.89075100000002</v>
      </c>
      <c r="G8" s="44">
        <f>203.8458513*(2.5)</f>
        <v>509.61462825000001</v>
      </c>
      <c r="H8" s="44">
        <f>164.2539601*(2.5)</f>
        <v>410.63490024999999</v>
      </c>
      <c r="I8" s="44">
        <f>168.5935024*(2.5)</f>
        <v>421.48375600000003</v>
      </c>
      <c r="J8" s="44">
        <f>159.7677509*(2.5)</f>
        <v>399.41937725000003</v>
      </c>
      <c r="K8" s="44">
        <f>139.5009907*(2.5)</f>
        <v>348.75247674999997</v>
      </c>
      <c r="L8" s="44">
        <f>146.9160575*(2.5)</f>
        <v>367.29014374999997</v>
      </c>
      <c r="M8" s="44">
        <f>152.9036268*(2.5)</f>
        <v>382.25906700000002</v>
      </c>
      <c r="N8" s="44">
        <f>196.7865763*(2.5)</f>
        <v>491.96644075</v>
      </c>
      <c r="O8" s="44">
        <f>212.2144173*(2.5)</f>
        <v>530.53604325000003</v>
      </c>
      <c r="P8" s="44">
        <f>210.8431448*(2.5)</f>
        <v>527.10786200000007</v>
      </c>
      <c r="Q8" s="44">
        <f>174.3272789*(2.5)</f>
        <v>435.81819725000003</v>
      </c>
      <c r="R8" s="44">
        <f>217.6638482*(2.5)</f>
        <v>544.15962049999996</v>
      </c>
      <c r="S8" s="44">
        <f>225.8369335*(2.5)</f>
        <v>564.59233374999997</v>
      </c>
      <c r="T8" s="44"/>
      <c r="U8" s="44"/>
    </row>
    <row r="9" spans="1:21" x14ac:dyDescent="0.55000000000000004">
      <c r="A9" s="1" t="str">
        <f>'Population Definitions'!$A$9</f>
        <v>PLHIV Prisoners</v>
      </c>
      <c r="B9" s="1" t="s">
        <v>14</v>
      </c>
      <c r="C9" s="2" t="str">
        <f t="shared" si="0"/>
        <v>N.A.</v>
      </c>
      <c r="D9" s="1" t="s">
        <v>16</v>
      </c>
      <c r="E9" s="44">
        <v>642.68190270000002</v>
      </c>
      <c r="F9" s="44">
        <v>743.36760149999998</v>
      </c>
      <c r="G9" s="44">
        <v>843.92695360000005</v>
      </c>
      <c r="H9" s="44">
        <v>634.47979339999995</v>
      </c>
      <c r="I9" s="44">
        <v>785.83410590000005</v>
      </c>
      <c r="J9" s="44">
        <v>789.89203859999998</v>
      </c>
      <c r="K9" s="44">
        <v>716.36620519999997</v>
      </c>
      <c r="L9" s="44">
        <v>596.38963100000001</v>
      </c>
      <c r="M9" s="44">
        <v>733.80597150000006</v>
      </c>
      <c r="N9" s="44">
        <v>727.70233519999999</v>
      </c>
      <c r="O9" s="44">
        <v>632.34293449999996</v>
      </c>
      <c r="P9" s="44">
        <v>685.01283269999999</v>
      </c>
      <c r="Q9" s="44">
        <v>498.93873559999997</v>
      </c>
      <c r="R9" s="44">
        <v>417.65624930000001</v>
      </c>
      <c r="S9" s="44">
        <v>460.11427279999998</v>
      </c>
      <c r="T9" s="44"/>
      <c r="U9" s="44"/>
    </row>
    <row r="10" spans="1:21" x14ac:dyDescent="0.55000000000000004">
      <c r="A10" s="1" t="str">
        <f>'Population Definitions'!$A$10</f>
        <v>HCW</v>
      </c>
      <c r="B10" s="1" t="s">
        <v>14</v>
      </c>
      <c r="C10" s="2">
        <f t="shared" si="0"/>
        <v>0</v>
      </c>
      <c r="D10" s="1" t="s">
        <v>16</v>
      </c>
      <c r="E10" s="44"/>
      <c r="F10" s="44"/>
      <c r="G10" s="44"/>
      <c r="H10" s="44"/>
      <c r="I10" s="44"/>
      <c r="J10" s="44"/>
      <c r="K10" s="44"/>
      <c r="L10" s="44"/>
      <c r="M10" s="44"/>
      <c r="N10" s="44"/>
      <c r="O10" s="44"/>
      <c r="P10" s="44"/>
      <c r="Q10" s="44"/>
      <c r="R10" s="44"/>
      <c r="S10" s="44"/>
      <c r="T10" s="44"/>
      <c r="U10" s="44"/>
    </row>
    <row r="11" spans="1:21" x14ac:dyDescent="0.55000000000000004">
      <c r="A11" s="1" t="str">
        <f>'Population Definitions'!$A$11</f>
        <v>PLHIV HCW</v>
      </c>
      <c r="B11" s="1" t="s">
        <v>14</v>
      </c>
      <c r="C11" s="2">
        <f t="shared" si="0"/>
        <v>0</v>
      </c>
      <c r="D11" s="1" t="s">
        <v>16</v>
      </c>
      <c r="E11" s="44"/>
      <c r="F11" s="44"/>
      <c r="G11" s="44"/>
      <c r="H11" s="44"/>
      <c r="I11" s="44"/>
      <c r="J11" s="44"/>
      <c r="K11" s="44"/>
      <c r="L11" s="44"/>
      <c r="M11" s="44"/>
      <c r="N11" s="44"/>
      <c r="O11" s="44"/>
      <c r="P11" s="44"/>
      <c r="Q11" s="44"/>
      <c r="R11" s="44"/>
      <c r="S11" s="44"/>
      <c r="T11" s="44"/>
      <c r="U11" s="44"/>
    </row>
    <row r="12" spans="1:21" x14ac:dyDescent="0.55000000000000004">
      <c r="A12" s="1" t="str">
        <f>'Population Definitions'!$A$12</f>
        <v>Miners</v>
      </c>
      <c r="B12" s="1" t="s">
        <v>14</v>
      </c>
      <c r="C12" s="2" t="str">
        <f t="shared" si="0"/>
        <v>N.A.</v>
      </c>
      <c r="D12" s="1" t="s">
        <v>16</v>
      </c>
      <c r="E12" s="44"/>
      <c r="F12" s="44"/>
      <c r="G12" s="44"/>
      <c r="H12" s="44"/>
      <c r="I12" s="44"/>
      <c r="J12" s="44"/>
      <c r="K12" s="44"/>
      <c r="L12" s="44"/>
      <c r="M12" s="44"/>
      <c r="N12" s="44"/>
      <c r="O12" s="44"/>
      <c r="P12" s="44"/>
      <c r="Q12" s="44"/>
      <c r="R12" s="44"/>
      <c r="S12" s="44">
        <f>S26+S166</f>
        <v>894.11684434896597</v>
      </c>
      <c r="T12" s="44"/>
      <c r="U12" s="44"/>
    </row>
    <row r="13" spans="1:21" x14ac:dyDescent="0.55000000000000004">
      <c r="A13" s="1" t="str">
        <f>'Population Definitions'!$A$13</f>
        <v>PLHIV Miners</v>
      </c>
      <c r="B13" s="1" t="s">
        <v>14</v>
      </c>
      <c r="C13" s="2" t="str">
        <f t="shared" si="0"/>
        <v>N.A.</v>
      </c>
      <c r="D13" s="1" t="s">
        <v>16</v>
      </c>
      <c r="E13" s="44"/>
      <c r="F13" s="44"/>
      <c r="G13" s="44"/>
      <c r="H13" s="44"/>
      <c r="I13" s="44"/>
      <c r="J13" s="44"/>
      <c r="K13" s="44"/>
      <c r="L13" s="44"/>
      <c r="M13" s="44"/>
      <c r="N13" s="44"/>
      <c r="O13" s="44"/>
      <c r="P13" s="44"/>
      <c r="Q13" s="44"/>
      <c r="R13" s="44"/>
      <c r="S13" s="44">
        <f>S27+S167</f>
        <v>1430.8831556510336</v>
      </c>
      <c r="T13" s="44"/>
      <c r="U13" s="44"/>
    </row>
    <row r="14" spans="1:21" x14ac:dyDescent="0.55000000000000004">
      <c r="E14" s="37"/>
      <c r="F14" s="37"/>
      <c r="G14" s="37"/>
      <c r="H14" s="37"/>
      <c r="I14" s="37"/>
      <c r="J14" s="37"/>
      <c r="K14" s="37"/>
      <c r="L14" s="37"/>
      <c r="M14" s="37"/>
      <c r="N14" s="37"/>
      <c r="O14" s="37"/>
      <c r="P14" s="37"/>
      <c r="Q14" s="37"/>
      <c r="R14" s="37"/>
      <c r="S14" s="37"/>
      <c r="T14" s="37"/>
      <c r="U14" s="37"/>
    </row>
    <row r="15" spans="1:21" x14ac:dyDescent="0.55000000000000004">
      <c r="A15" s="21" t="s">
        <v>27</v>
      </c>
      <c r="B15" s="1" t="s">
        <v>8</v>
      </c>
      <c r="C15" s="1" t="s">
        <v>9</v>
      </c>
      <c r="D15" s="1"/>
      <c r="E15" s="41">
        <v>2000</v>
      </c>
      <c r="F15" s="41">
        <v>2001</v>
      </c>
      <c r="G15" s="41">
        <v>2002</v>
      </c>
      <c r="H15" s="41">
        <v>2003</v>
      </c>
      <c r="I15" s="41">
        <v>2004</v>
      </c>
      <c r="J15" s="41">
        <v>2005</v>
      </c>
      <c r="K15" s="41">
        <v>2006</v>
      </c>
      <c r="L15" s="41">
        <v>2007</v>
      </c>
      <c r="M15" s="41">
        <v>2008</v>
      </c>
      <c r="N15" s="41">
        <v>2009</v>
      </c>
      <c r="O15" s="41">
        <v>2010</v>
      </c>
      <c r="P15" s="41">
        <v>2011</v>
      </c>
      <c r="Q15" s="41">
        <v>2012</v>
      </c>
      <c r="R15" s="41">
        <v>2013</v>
      </c>
      <c r="S15" s="41">
        <v>2014</v>
      </c>
      <c r="T15" s="41">
        <v>2015</v>
      </c>
      <c r="U15" s="41">
        <v>2016</v>
      </c>
    </row>
    <row r="16" spans="1:21" x14ac:dyDescent="0.55000000000000004">
      <c r="A16" s="1" t="str">
        <f>'Population Definitions'!$A$2</f>
        <v>Gen 0-4</v>
      </c>
      <c r="B16" s="1" t="s">
        <v>14</v>
      </c>
      <c r="C16" s="2" t="str">
        <f t="shared" ref="C16:C27" si="1">IF(SUMPRODUCT(--(E16:U16&lt;&gt;""))=0,0,"N.A.")</f>
        <v>N.A.</v>
      </c>
      <c r="D16" s="1" t="s">
        <v>16</v>
      </c>
      <c r="E16" s="44">
        <v>3433.2956319999998</v>
      </c>
      <c r="F16" s="44">
        <v>3971.172564</v>
      </c>
      <c r="G16" s="44">
        <v>4508.3745339999996</v>
      </c>
      <c r="H16" s="44">
        <v>4927.1933520000002</v>
      </c>
      <c r="I16" s="44">
        <v>4469.2829970000003</v>
      </c>
      <c r="J16" s="44">
        <v>4838.1745030000002</v>
      </c>
      <c r="K16" s="44">
        <v>4889.7895660000004</v>
      </c>
      <c r="L16" s="44">
        <v>4249.5070180000002</v>
      </c>
      <c r="M16" s="44">
        <v>2689.0802859999999</v>
      </c>
      <c r="N16" s="44">
        <v>1844.9665669999999</v>
      </c>
      <c r="O16" s="44">
        <v>1526.0076979999999</v>
      </c>
      <c r="P16" s="44">
        <v>1768.5359539999999</v>
      </c>
      <c r="Q16" s="44">
        <v>1582.507159</v>
      </c>
      <c r="R16" s="44">
        <v>1668.025527</v>
      </c>
      <c r="S16" s="44">
        <v>1431.0677069999999</v>
      </c>
      <c r="T16" s="44"/>
      <c r="U16" s="44"/>
    </row>
    <row r="17" spans="1:21" x14ac:dyDescent="0.55000000000000004">
      <c r="A17" s="1" t="str">
        <f>'Population Definitions'!$A$3</f>
        <v>Gen 5-14</v>
      </c>
      <c r="B17" s="1" t="s">
        <v>14</v>
      </c>
      <c r="C17" s="2" t="str">
        <f t="shared" si="1"/>
        <v>N.A.</v>
      </c>
      <c r="D17" s="1" t="s">
        <v>16</v>
      </c>
      <c r="E17" s="44">
        <v>1527.314185</v>
      </c>
      <c r="F17" s="44">
        <v>1766.5907159999999</v>
      </c>
      <c r="G17" s="44">
        <v>2005.5669869999999</v>
      </c>
      <c r="H17" s="44">
        <v>2421.3597890000001</v>
      </c>
      <c r="I17" s="44">
        <v>2472.3170030000001</v>
      </c>
      <c r="J17" s="44">
        <v>2519.1061</v>
      </c>
      <c r="K17" s="44">
        <v>2282.1311580000001</v>
      </c>
      <c r="L17" s="44">
        <v>2351.5165750000001</v>
      </c>
      <c r="M17" s="44">
        <v>1923.7887069999999</v>
      </c>
      <c r="N17" s="44">
        <v>1585.3074670000001</v>
      </c>
      <c r="O17" s="44">
        <v>1166.1778440000001</v>
      </c>
      <c r="P17" s="44">
        <v>1216.5629369999999</v>
      </c>
      <c r="Q17" s="44">
        <v>1161.3392490000001</v>
      </c>
      <c r="R17" s="44">
        <v>917.90179750000004</v>
      </c>
      <c r="S17" s="44">
        <v>680.9075785</v>
      </c>
      <c r="T17" s="44"/>
      <c r="U17" s="44"/>
    </row>
    <row r="18" spans="1:21" x14ac:dyDescent="0.55000000000000004">
      <c r="A18" s="1" t="str">
        <f>'Population Definitions'!$A$4</f>
        <v>Gen 15-64</v>
      </c>
      <c r="B18" s="1" t="s">
        <v>14</v>
      </c>
      <c r="C18" s="2" t="str">
        <f t="shared" si="1"/>
        <v>N.A.</v>
      </c>
      <c r="D18" s="1" t="s">
        <v>16</v>
      </c>
      <c r="E18" s="44">
        <v>5366.92922</v>
      </c>
      <c r="F18" s="44">
        <v>6207.7386720000004</v>
      </c>
      <c r="G18" s="44">
        <v>7047.4930249999998</v>
      </c>
      <c r="H18" s="44">
        <v>7814.5535630000004</v>
      </c>
      <c r="I18" s="44">
        <v>8512.5166969999991</v>
      </c>
      <c r="J18" s="44">
        <v>8900.1841659999991</v>
      </c>
      <c r="K18" s="44">
        <v>11109.5844</v>
      </c>
      <c r="L18" s="44">
        <v>12011.0715</v>
      </c>
      <c r="M18" s="44">
        <v>12043.16387</v>
      </c>
      <c r="N18" s="44">
        <v>12007.358850000001</v>
      </c>
      <c r="O18" s="44">
        <v>10834.812470000001</v>
      </c>
      <c r="P18" s="44">
        <v>10557.664280000001</v>
      </c>
      <c r="Q18" s="44">
        <v>11216.92691</v>
      </c>
      <c r="R18" s="44">
        <v>10800.484829999999</v>
      </c>
      <c r="S18" s="44">
        <v>10234.81566</v>
      </c>
      <c r="T18" s="44"/>
      <c r="U18" s="44"/>
    </row>
    <row r="19" spans="1:21" x14ac:dyDescent="0.55000000000000004">
      <c r="A19" s="1" t="str">
        <f>'Population Definitions'!$A$5</f>
        <v>Gen 65+</v>
      </c>
      <c r="B19" s="1" t="s">
        <v>14</v>
      </c>
      <c r="C19" s="2" t="str">
        <f t="shared" si="1"/>
        <v>N.A.</v>
      </c>
      <c r="D19" s="1" t="s">
        <v>16</v>
      </c>
      <c r="E19" s="44">
        <v>368.63412899999997</v>
      </c>
      <c r="F19" s="44">
        <v>426.38615959999998</v>
      </c>
      <c r="G19" s="44">
        <v>484.06571930000001</v>
      </c>
      <c r="H19" s="44">
        <v>557.01951929999996</v>
      </c>
      <c r="I19" s="44">
        <v>461.3847887</v>
      </c>
      <c r="J19" s="44">
        <v>579.22366</v>
      </c>
      <c r="K19" s="44">
        <v>566.30354420000003</v>
      </c>
      <c r="L19" s="44">
        <v>624.83256340000003</v>
      </c>
      <c r="M19" s="44">
        <v>483.79927889999999</v>
      </c>
      <c r="N19" s="44">
        <v>578.78045329999998</v>
      </c>
      <c r="O19" s="44">
        <v>759.95232610000005</v>
      </c>
      <c r="P19" s="44">
        <v>512.6636148</v>
      </c>
      <c r="Q19" s="44">
        <v>602.47980680000001</v>
      </c>
      <c r="R19" s="44">
        <v>543.18388010000001</v>
      </c>
      <c r="S19" s="44">
        <v>490.79258390000001</v>
      </c>
      <c r="T19" s="44"/>
      <c r="U19" s="44"/>
    </row>
    <row r="20" spans="1:21" x14ac:dyDescent="0.55000000000000004">
      <c r="A20" s="1" t="str">
        <f>'Population Definitions'!$A$6</f>
        <v>PLHIV 15-64</v>
      </c>
      <c r="B20" s="1" t="s">
        <v>14</v>
      </c>
      <c r="C20" s="2" t="str">
        <f t="shared" si="1"/>
        <v>N.A.</v>
      </c>
      <c r="D20" s="1" t="s">
        <v>16</v>
      </c>
      <c r="E20" s="44">
        <v>28825.458610000001</v>
      </c>
      <c r="F20" s="44">
        <v>33341.39632</v>
      </c>
      <c r="G20" s="44">
        <v>37851.667159999997</v>
      </c>
      <c r="H20" s="44">
        <v>41980.767180000003</v>
      </c>
      <c r="I20" s="44">
        <v>45728.299099999997</v>
      </c>
      <c r="J20" s="44">
        <v>47812.504760000003</v>
      </c>
      <c r="K20" s="44">
        <v>45332.23545</v>
      </c>
      <c r="L20" s="44">
        <v>46320.47507</v>
      </c>
      <c r="M20" s="44">
        <v>43064.373440000003</v>
      </c>
      <c r="N20" s="44">
        <v>41314.145909999999</v>
      </c>
      <c r="O20" s="44">
        <v>36874.422509999997</v>
      </c>
      <c r="P20" s="44">
        <v>32961.122649999998</v>
      </c>
      <c r="Q20" s="44">
        <v>32316.595270000002</v>
      </c>
      <c r="R20" s="44">
        <v>29274.683499999999</v>
      </c>
      <c r="S20" s="44">
        <v>25243.96744</v>
      </c>
      <c r="T20" s="44"/>
      <c r="U20" s="44"/>
    </row>
    <row r="21" spans="1:21" x14ac:dyDescent="0.55000000000000004">
      <c r="A21" s="1" t="str">
        <f>'Population Definitions'!$A$7</f>
        <v>PLHIV 65+</v>
      </c>
      <c r="B21" s="1" t="s">
        <v>14</v>
      </c>
      <c r="C21" s="2" t="str">
        <f t="shared" si="1"/>
        <v>N.A.</v>
      </c>
      <c r="D21" s="1" t="s">
        <v>16</v>
      </c>
      <c r="E21" s="44">
        <v>173.11258309999999</v>
      </c>
      <c r="F21" s="44">
        <v>200.23324940000001</v>
      </c>
      <c r="G21" s="44">
        <v>227.31988290000001</v>
      </c>
      <c r="H21" s="44">
        <v>261.57938250000001</v>
      </c>
      <c r="I21" s="44">
        <v>216.66879510000001</v>
      </c>
      <c r="J21" s="44">
        <v>272.00656720000001</v>
      </c>
      <c r="K21" s="44">
        <v>265.93921080000001</v>
      </c>
      <c r="L21" s="44">
        <v>164.6977382</v>
      </c>
      <c r="M21" s="44">
        <v>346.52284880000002</v>
      </c>
      <c r="N21" s="44">
        <v>199.40660500000001</v>
      </c>
      <c r="O21" s="44">
        <v>644.46600409999996</v>
      </c>
      <c r="P21" s="44">
        <v>213.92639260000001</v>
      </c>
      <c r="Q21" s="44">
        <v>189.8454198</v>
      </c>
      <c r="R21" s="44">
        <v>178.43937149999999</v>
      </c>
      <c r="S21" s="44">
        <v>175.75911339999999</v>
      </c>
      <c r="T21" s="44"/>
      <c r="U21" s="44"/>
    </row>
    <row r="22" spans="1:21" x14ac:dyDescent="0.55000000000000004">
      <c r="A22" s="1" t="str">
        <f>'Population Definitions'!$A$8</f>
        <v>Prisoners</v>
      </c>
      <c r="B22" s="1" t="s">
        <v>14</v>
      </c>
      <c r="C22" s="2" t="str">
        <f t="shared" si="1"/>
        <v>N.A.</v>
      </c>
      <c r="D22" s="1" t="s">
        <v>16</v>
      </c>
      <c r="E22" s="44">
        <f>92.11355211*(2.5)</f>
        <v>230.283880275</v>
      </c>
      <c r="F22" s="44">
        <f>106.5445129*(2.5)</f>
        <v>266.36128224999999</v>
      </c>
      <c r="G22" s="44">
        <f>120.9573649*(2.5)</f>
        <v>302.39341224999998</v>
      </c>
      <c r="H22" s="44">
        <f>109.5968813*(2.5)</f>
        <v>273.99220324999999</v>
      </c>
      <c r="I22" s="44">
        <f>124.9453538*(2.5)</f>
        <v>312.3633845</v>
      </c>
      <c r="J22" s="44">
        <f>131.2173808*(2.5)</f>
        <v>328.043452</v>
      </c>
      <c r="K22" s="44">
        <f>122.1339821*(2.5)</f>
        <v>305.33495525000001</v>
      </c>
      <c r="L22" s="44">
        <f>127.4883546*(2.5)</f>
        <v>318.72088650000001</v>
      </c>
      <c r="M22" s="44">
        <f>131.5002214*(2.5)</f>
        <v>328.75055349999997</v>
      </c>
      <c r="N22" s="44">
        <f>175.1338227*(2.5)</f>
        <v>437.83455674999999</v>
      </c>
      <c r="O22" s="44">
        <f>175.3441967*(2.5)</f>
        <v>438.36049174999999</v>
      </c>
      <c r="P22" s="44">
        <f>160.1491899*(2.5)</f>
        <v>400.37297475000003</v>
      </c>
      <c r="Q22" s="44">
        <f>131.1361082*(2.5)</f>
        <v>327.84027049999997</v>
      </c>
      <c r="R22" s="44">
        <f>125.0353823*(2.5)</f>
        <v>312.58845574999998</v>
      </c>
      <c r="S22" s="44">
        <f>99.02677994*(2.5)</f>
        <v>247.56694984999999</v>
      </c>
      <c r="T22" s="44"/>
      <c r="U22" s="44"/>
    </row>
    <row r="23" spans="1:21" x14ac:dyDescent="0.55000000000000004">
      <c r="A23" s="1" t="str">
        <f>'Population Definitions'!$A$9</f>
        <v>PLHIV Prisoners</v>
      </c>
      <c r="B23" s="1" t="s">
        <v>14</v>
      </c>
      <c r="C23" s="2" t="str">
        <f t="shared" si="1"/>
        <v>N.A.</v>
      </c>
      <c r="D23" s="1" t="s">
        <v>16</v>
      </c>
      <c r="E23" s="44">
        <v>513.47252330000003</v>
      </c>
      <c r="F23" s="44">
        <v>593.9156471</v>
      </c>
      <c r="G23" s="44">
        <v>674.25782579999998</v>
      </c>
      <c r="H23" s="44">
        <v>534.63083600000004</v>
      </c>
      <c r="I23" s="44">
        <v>696.48824349999995</v>
      </c>
      <c r="J23" s="44">
        <v>731.45067229999995</v>
      </c>
      <c r="K23" s="44">
        <v>649.14164779999999</v>
      </c>
      <c r="L23" s="44">
        <v>507.31787839999998</v>
      </c>
      <c r="M23" s="44">
        <v>583.47688579999999</v>
      </c>
      <c r="N23" s="44">
        <v>520.29756180000004</v>
      </c>
      <c r="O23" s="44">
        <v>411.19249430000002</v>
      </c>
      <c r="P23" s="44">
        <v>429.56422199999997</v>
      </c>
      <c r="Q23" s="44">
        <v>328.31473199999999</v>
      </c>
      <c r="R23" s="44">
        <v>235.81524970000001</v>
      </c>
      <c r="S23" s="44">
        <v>207.08076829999999</v>
      </c>
      <c r="T23" s="44"/>
      <c r="U23" s="44"/>
    </row>
    <row r="24" spans="1:21" x14ac:dyDescent="0.55000000000000004">
      <c r="A24" s="1" t="str">
        <f>'Population Definitions'!$A$10</f>
        <v>HCW</v>
      </c>
      <c r="B24" s="1" t="s">
        <v>14</v>
      </c>
      <c r="C24" s="2">
        <f t="shared" si="1"/>
        <v>0</v>
      </c>
      <c r="D24" s="1" t="s">
        <v>16</v>
      </c>
      <c r="E24" s="44"/>
      <c r="F24" s="44"/>
      <c r="G24" s="44"/>
      <c r="H24" s="44"/>
      <c r="I24" s="44"/>
      <c r="J24" s="44"/>
      <c r="K24" s="44"/>
      <c r="L24" s="44"/>
      <c r="M24" s="44"/>
      <c r="N24" s="44"/>
      <c r="O24" s="44"/>
      <c r="P24" s="44"/>
      <c r="Q24" s="44"/>
      <c r="R24" s="44"/>
      <c r="S24" s="44"/>
      <c r="T24" s="44"/>
      <c r="U24" s="44"/>
    </row>
    <row r="25" spans="1:21" x14ac:dyDescent="0.55000000000000004">
      <c r="A25" s="1" t="str">
        <f>'Population Definitions'!$A$11</f>
        <v>PLHIV HCW</v>
      </c>
      <c r="B25" s="1" t="s">
        <v>14</v>
      </c>
      <c r="C25" s="2">
        <f t="shared" si="1"/>
        <v>0</v>
      </c>
      <c r="D25" s="1" t="s">
        <v>16</v>
      </c>
      <c r="E25" s="44"/>
      <c r="F25" s="44"/>
      <c r="G25" s="44"/>
      <c r="H25" s="44"/>
      <c r="I25" s="44"/>
      <c r="J25" s="44"/>
      <c r="K25" s="44"/>
      <c r="L25" s="44"/>
      <c r="M25" s="44"/>
      <c r="N25" s="44"/>
      <c r="O25" s="44"/>
      <c r="P25" s="44"/>
      <c r="Q25" s="44"/>
      <c r="R25" s="44"/>
      <c r="S25" s="44"/>
      <c r="T25" s="44"/>
      <c r="U25" s="44"/>
    </row>
    <row r="26" spans="1:21" x14ac:dyDescent="0.55000000000000004">
      <c r="A26" s="1" t="str">
        <f>'Population Definitions'!$A$12</f>
        <v>Miners</v>
      </c>
      <c r="B26" s="1" t="s">
        <v>14</v>
      </c>
      <c r="C26" s="2" t="str">
        <f t="shared" si="1"/>
        <v>N.A.</v>
      </c>
      <c r="D26" s="1" t="s">
        <v>16</v>
      </c>
      <c r="E26" s="44"/>
      <c r="F26" s="44"/>
      <c r="G26" s="44"/>
      <c r="H26" s="44"/>
      <c r="I26" s="44"/>
      <c r="J26" s="44"/>
      <c r="K26" s="44"/>
      <c r="L26" s="44"/>
      <c r="M26" s="44"/>
      <c r="N26" s="44"/>
      <c r="O26" s="44"/>
      <c r="P26" s="44"/>
      <c r="Q26" s="44"/>
      <c r="R26" s="44"/>
      <c r="S26" s="44">
        <f>S40+S54+S68</f>
        <v>461.0131171407761</v>
      </c>
      <c r="T26" s="44"/>
      <c r="U26" s="44"/>
    </row>
    <row r="27" spans="1:21" x14ac:dyDescent="0.55000000000000004">
      <c r="A27" s="1" t="str">
        <f>'Population Definitions'!$A$13</f>
        <v>PLHIV Miners</v>
      </c>
      <c r="B27" s="1" t="s">
        <v>14</v>
      </c>
      <c r="C27" s="2" t="str">
        <f t="shared" si="1"/>
        <v>N.A.</v>
      </c>
      <c r="D27" s="1" t="s">
        <v>16</v>
      </c>
      <c r="E27" s="44"/>
      <c r="F27" s="44"/>
      <c r="G27" s="44"/>
      <c r="H27" s="44"/>
      <c r="I27" s="44"/>
      <c r="J27" s="44"/>
      <c r="K27" s="44"/>
      <c r="L27" s="44"/>
      <c r="M27" s="44"/>
      <c r="N27" s="44"/>
      <c r="O27" s="44"/>
      <c r="P27" s="44"/>
      <c r="Q27" s="44"/>
      <c r="R27" s="44"/>
      <c r="S27" s="44">
        <f>S41+S55+S69</f>
        <v>547.84058650748068</v>
      </c>
      <c r="T27" s="44"/>
      <c r="U27" s="44"/>
    </row>
    <row r="28" spans="1:21" x14ac:dyDescent="0.55000000000000004">
      <c r="E28" s="37"/>
      <c r="F28" s="37"/>
      <c r="G28" s="37"/>
      <c r="H28" s="37"/>
      <c r="I28" s="37"/>
      <c r="J28" s="37"/>
      <c r="K28" s="37"/>
      <c r="L28" s="37"/>
      <c r="M28" s="37"/>
      <c r="N28" s="37"/>
      <c r="O28" s="37"/>
      <c r="P28" s="37"/>
      <c r="Q28" s="37"/>
      <c r="R28" s="37"/>
      <c r="S28" s="37"/>
      <c r="T28" s="37"/>
      <c r="U28" s="37"/>
    </row>
    <row r="29" spans="1:21" x14ac:dyDescent="0.55000000000000004">
      <c r="A29" s="21" t="s">
        <v>35</v>
      </c>
      <c r="B29" s="1" t="s">
        <v>8</v>
      </c>
      <c r="C29" s="1" t="s">
        <v>9</v>
      </c>
      <c r="D29" s="1"/>
      <c r="E29" s="41">
        <v>2000</v>
      </c>
      <c r="F29" s="41">
        <v>2001</v>
      </c>
      <c r="G29" s="41">
        <v>2002</v>
      </c>
      <c r="H29" s="41">
        <v>2003</v>
      </c>
      <c r="I29" s="41">
        <v>2004</v>
      </c>
      <c r="J29" s="41">
        <v>2005</v>
      </c>
      <c r="K29" s="41">
        <v>2006</v>
      </c>
      <c r="L29" s="41">
        <v>2007</v>
      </c>
      <c r="M29" s="41">
        <v>2008</v>
      </c>
      <c r="N29" s="41">
        <v>2009</v>
      </c>
      <c r="O29" s="41">
        <v>2010</v>
      </c>
      <c r="P29" s="41">
        <v>2011</v>
      </c>
      <c r="Q29" s="41">
        <v>2012</v>
      </c>
      <c r="R29" s="41">
        <v>2013</v>
      </c>
      <c r="S29" s="41">
        <v>2014</v>
      </c>
      <c r="T29" s="41">
        <v>2015</v>
      </c>
      <c r="U29" s="41">
        <v>2016</v>
      </c>
    </row>
    <row r="30" spans="1:21" x14ac:dyDescent="0.55000000000000004">
      <c r="A30" s="1" t="str">
        <f>'Population Definitions'!$A$2</f>
        <v>Gen 0-4</v>
      </c>
      <c r="B30" s="1" t="s">
        <v>14</v>
      </c>
      <c r="C30" s="2" t="str">
        <f t="shared" ref="C30:C41" si="2">IF(SUMPRODUCT(--(E30:U30&lt;&gt;""))=0,0,"N.A.")</f>
        <v>N.A.</v>
      </c>
      <c r="D30" s="1" t="s">
        <v>16</v>
      </c>
      <c r="E30" s="44">
        <v>3432.2587939999999</v>
      </c>
      <c r="F30" s="44">
        <v>3969.6766419999999</v>
      </c>
      <c r="G30" s="44">
        <v>4506.3394749999998</v>
      </c>
      <c r="H30" s="44">
        <v>4924.6011779999999</v>
      </c>
      <c r="I30" s="44">
        <v>4466.5978709999999</v>
      </c>
      <c r="J30" s="44">
        <v>4834.9063370000003</v>
      </c>
      <c r="K30" s="44">
        <v>4886.1212660000001</v>
      </c>
      <c r="L30" s="44">
        <v>4247.2580610000005</v>
      </c>
      <c r="M30" s="44">
        <v>2685.8322659999999</v>
      </c>
      <c r="N30" s="44">
        <v>1841.2555299999999</v>
      </c>
      <c r="O30" s="44">
        <v>1520.7903550000001</v>
      </c>
      <c r="P30" s="44">
        <v>1764.2699729999999</v>
      </c>
      <c r="Q30" s="44">
        <v>1576.2732149999999</v>
      </c>
      <c r="R30" s="44">
        <v>1662.159969</v>
      </c>
      <c r="S30" s="44">
        <v>1426.8334400000001</v>
      </c>
      <c r="T30" s="44"/>
      <c r="U30" s="44"/>
    </row>
    <row r="31" spans="1:21" x14ac:dyDescent="0.55000000000000004">
      <c r="A31" s="1" t="str">
        <f>'Population Definitions'!$A$3</f>
        <v>Gen 5-14</v>
      </c>
      <c r="B31" s="1" t="s">
        <v>14</v>
      </c>
      <c r="C31" s="2" t="str">
        <f t="shared" si="2"/>
        <v>N.A.</v>
      </c>
      <c r="D31" s="1" t="s">
        <v>16</v>
      </c>
      <c r="E31" s="44">
        <v>1526.5064219999999</v>
      </c>
      <c r="F31" s="44">
        <v>1765.171317</v>
      </c>
      <c r="G31" s="44">
        <v>2003.4048720000001</v>
      </c>
      <c r="H31" s="44">
        <v>2418.084546</v>
      </c>
      <c r="I31" s="44">
        <v>2468.29396</v>
      </c>
      <c r="J31" s="44">
        <v>2514.3152</v>
      </c>
      <c r="K31" s="44">
        <v>2277.164295</v>
      </c>
      <c r="L31" s="44">
        <v>2345.7529989999998</v>
      </c>
      <c r="M31" s="44">
        <v>1905.924595</v>
      </c>
      <c r="N31" s="44">
        <v>1571.0217660000001</v>
      </c>
      <c r="O31" s="44">
        <v>1158.569219</v>
      </c>
      <c r="P31" s="44">
        <v>1213.4345519999999</v>
      </c>
      <c r="Q31" s="44">
        <v>1144.555552</v>
      </c>
      <c r="R31" s="44">
        <v>903.81968110000003</v>
      </c>
      <c r="S31" s="44">
        <v>664.9141482</v>
      </c>
      <c r="T31" s="44"/>
      <c r="U31" s="44"/>
    </row>
    <row r="32" spans="1:21" x14ac:dyDescent="0.55000000000000004">
      <c r="A32" s="1" t="str">
        <f>'Population Definitions'!$A$4</f>
        <v>Gen 15-64</v>
      </c>
      <c r="B32" s="1" t="s">
        <v>14</v>
      </c>
      <c r="C32" s="2" t="str">
        <f t="shared" si="2"/>
        <v>N.A.</v>
      </c>
      <c r="D32" s="1" t="s">
        <v>16</v>
      </c>
      <c r="E32" s="44">
        <v>5118.5065370000002</v>
      </c>
      <c r="F32" s="44">
        <v>5924.8736349999999</v>
      </c>
      <c r="G32" s="44">
        <v>6745.0697980000004</v>
      </c>
      <c r="H32" s="44">
        <v>7507.1630180000002</v>
      </c>
      <c r="I32" s="44">
        <v>8211.0597010000001</v>
      </c>
      <c r="J32" s="44">
        <v>8631.9096769999996</v>
      </c>
      <c r="K32" s="44">
        <v>10862.721369999999</v>
      </c>
      <c r="L32" s="44">
        <v>11545.866309999999</v>
      </c>
      <c r="M32" s="44">
        <v>11718.340340000001</v>
      </c>
      <c r="N32" s="44">
        <v>11853.9329</v>
      </c>
      <c r="O32" s="44">
        <v>10694.99661</v>
      </c>
      <c r="P32" s="44">
        <v>10426.55559</v>
      </c>
      <c r="Q32" s="44">
        <v>11084.66972</v>
      </c>
      <c r="R32" s="44">
        <v>10585.970149999999</v>
      </c>
      <c r="S32" s="44">
        <v>9986.3122309999999</v>
      </c>
      <c r="T32" s="44"/>
      <c r="U32" s="44"/>
    </row>
    <row r="33" spans="1:21" x14ac:dyDescent="0.55000000000000004">
      <c r="A33" s="1" t="str">
        <f>'Population Definitions'!$A$5</f>
        <v>Gen 65+</v>
      </c>
      <c r="B33" s="1" t="s">
        <v>14</v>
      </c>
      <c r="C33" s="2" t="str">
        <f t="shared" si="2"/>
        <v>N.A.</v>
      </c>
      <c r="D33" s="1" t="s">
        <v>16</v>
      </c>
      <c r="E33" s="44">
        <v>367.84993209999999</v>
      </c>
      <c r="F33" s="44">
        <v>425.36282240000003</v>
      </c>
      <c r="G33" s="44">
        <v>482.7719353</v>
      </c>
      <c r="H33" s="44">
        <v>555.37883810000005</v>
      </c>
      <c r="I33" s="44">
        <v>459.89996730000001</v>
      </c>
      <c r="J33" s="44">
        <v>577.20164550000004</v>
      </c>
      <c r="K33" s="44">
        <v>564.17219020000005</v>
      </c>
      <c r="L33" s="44">
        <v>622.31052390000002</v>
      </c>
      <c r="M33" s="44">
        <v>481.71455650000001</v>
      </c>
      <c r="N33" s="44">
        <v>573.42331549999994</v>
      </c>
      <c r="O33" s="44">
        <v>755.65044320000004</v>
      </c>
      <c r="P33" s="44">
        <v>511.6046834</v>
      </c>
      <c r="Q33" s="44">
        <v>601.83524769999997</v>
      </c>
      <c r="R33" s="44">
        <v>529.91419350000001</v>
      </c>
      <c r="S33" s="44">
        <v>478.93663709999998</v>
      </c>
      <c r="T33" s="44"/>
      <c r="U33" s="44"/>
    </row>
    <row r="34" spans="1:21" x14ac:dyDescent="0.55000000000000004">
      <c r="A34" s="1" t="str">
        <f>'Population Definitions'!$A$6</f>
        <v>PLHIV 15-64</v>
      </c>
      <c r="B34" s="1" t="s">
        <v>14</v>
      </c>
      <c r="C34" s="2" t="str">
        <f t="shared" si="2"/>
        <v>N.A.</v>
      </c>
      <c r="D34" s="1" t="s">
        <v>16</v>
      </c>
      <c r="E34" s="44">
        <v>28667.498449999999</v>
      </c>
      <c r="F34" s="44">
        <v>33144.334999999999</v>
      </c>
      <c r="G34" s="44">
        <v>37608.35671</v>
      </c>
      <c r="H34" s="44">
        <v>41688.542959999999</v>
      </c>
      <c r="I34" s="44">
        <v>45385.329949999999</v>
      </c>
      <c r="J34" s="44">
        <v>47426.365689999999</v>
      </c>
      <c r="K34" s="44">
        <v>44946.681129999997</v>
      </c>
      <c r="L34" s="44">
        <v>45913.034050000002</v>
      </c>
      <c r="M34" s="44">
        <v>42660.382810000003</v>
      </c>
      <c r="N34" s="44">
        <v>40888.362849999998</v>
      </c>
      <c r="O34" s="44">
        <v>36484.122940000001</v>
      </c>
      <c r="P34" s="44">
        <v>32598.205720000002</v>
      </c>
      <c r="Q34" s="44">
        <v>31884.642400000001</v>
      </c>
      <c r="R34" s="44">
        <v>28405.672399999999</v>
      </c>
      <c r="S34" s="44">
        <v>24093.59333</v>
      </c>
      <c r="T34" s="44"/>
      <c r="U34" s="44"/>
    </row>
    <row r="35" spans="1:21" x14ac:dyDescent="0.55000000000000004">
      <c r="A35" s="1" t="str">
        <f>'Population Definitions'!$A$7</f>
        <v>PLHIV 65+</v>
      </c>
      <c r="B35" s="1" t="s">
        <v>14</v>
      </c>
      <c r="C35" s="2" t="str">
        <f t="shared" si="2"/>
        <v>N.A.</v>
      </c>
      <c r="D35" s="1" t="s">
        <v>16</v>
      </c>
      <c r="E35" s="44">
        <v>172.7184159</v>
      </c>
      <c r="F35" s="44">
        <v>199.75029549999999</v>
      </c>
      <c r="G35" s="44">
        <v>226.74090580000001</v>
      </c>
      <c r="H35" s="44">
        <v>260.87783020000001</v>
      </c>
      <c r="I35" s="44">
        <v>216.0584389</v>
      </c>
      <c r="J35" s="44">
        <v>271.2035995</v>
      </c>
      <c r="K35" s="44">
        <v>265.1182483</v>
      </c>
      <c r="L35" s="44">
        <v>164.16707460000001</v>
      </c>
      <c r="M35" s="44">
        <v>345.3595507</v>
      </c>
      <c r="N35" s="44">
        <v>197.4955617</v>
      </c>
      <c r="O35" s="44">
        <v>634.27684099999999</v>
      </c>
      <c r="P35" s="44">
        <v>212.1413368</v>
      </c>
      <c r="Q35" s="44">
        <v>188.28693369999999</v>
      </c>
      <c r="R35" s="44">
        <v>174.6480325</v>
      </c>
      <c r="S35" s="44">
        <v>171.2877551</v>
      </c>
      <c r="T35" s="44"/>
      <c r="U35" s="44"/>
    </row>
    <row r="36" spans="1:21" x14ac:dyDescent="0.55000000000000004">
      <c r="A36" s="1" t="str">
        <f>'Population Definitions'!$A$8</f>
        <v>Prisoners</v>
      </c>
      <c r="B36" s="1" t="s">
        <v>14</v>
      </c>
      <c r="C36" s="2" t="str">
        <f t="shared" si="2"/>
        <v>N.A.</v>
      </c>
      <c r="D36" s="1" t="s">
        <v>16</v>
      </c>
      <c r="E36" s="44">
        <f>92.11355211*(2.5)</f>
        <v>230.283880275</v>
      </c>
      <c r="F36" s="44">
        <f>106.5445129*(2.5)</f>
        <v>266.36128224999999</v>
      </c>
      <c r="G36" s="44">
        <f>120.9573649*(2.5)</f>
        <v>302.39341224999998</v>
      </c>
      <c r="H36" s="44">
        <f>109.5968813*(2.5)</f>
        <v>273.99220324999999</v>
      </c>
      <c r="I36" s="44">
        <f>124.9453538*(2.5)</f>
        <v>312.3633845</v>
      </c>
      <c r="J36" s="44">
        <f>131.2173808*(2.5)</f>
        <v>328.043452</v>
      </c>
      <c r="K36" s="44">
        <f>122.1339821*(2.5)</f>
        <v>305.33495525000001</v>
      </c>
      <c r="L36" s="44">
        <f>127.4883546*(2.5)</f>
        <v>318.72088650000001</v>
      </c>
      <c r="M36" s="44">
        <f>131.5002214*(2.5)</f>
        <v>328.75055349999997</v>
      </c>
      <c r="N36" s="44">
        <f>175.1338227*(2.5)</f>
        <v>437.83455674999999</v>
      </c>
      <c r="O36" s="44">
        <f>175.3441967*(2.5)</f>
        <v>438.36049174999999</v>
      </c>
      <c r="P36" s="44">
        <f>160.1491899*(2.5)</f>
        <v>400.37297475000003</v>
      </c>
      <c r="Q36" s="44">
        <f>131.1361082*(2.5)</f>
        <v>327.84027049999997</v>
      </c>
      <c r="R36" s="44">
        <f>125.0353823*(2.5)</f>
        <v>312.58845574999998</v>
      </c>
      <c r="S36" s="44">
        <f>99.02677994*(2.5)</f>
        <v>247.56694984999999</v>
      </c>
      <c r="T36" s="44"/>
      <c r="U36" s="44"/>
    </row>
    <row r="37" spans="1:21" x14ac:dyDescent="0.55000000000000004">
      <c r="A37" s="1" t="str">
        <f>'Population Definitions'!$A$9</f>
        <v>PLHIV Prisoners</v>
      </c>
      <c r="B37" s="1" t="s">
        <v>14</v>
      </c>
      <c r="C37" s="2" t="str">
        <f t="shared" si="2"/>
        <v>N.A.</v>
      </c>
      <c r="D37" s="1" t="s">
        <v>16</v>
      </c>
      <c r="E37" s="44">
        <v>513.47252330000003</v>
      </c>
      <c r="F37" s="44">
        <v>593.9156471</v>
      </c>
      <c r="G37" s="44">
        <v>674.25782579999998</v>
      </c>
      <c r="H37" s="44">
        <v>534.63083600000004</v>
      </c>
      <c r="I37" s="44">
        <v>696.48824349999995</v>
      </c>
      <c r="J37" s="44">
        <v>731.45067229999995</v>
      </c>
      <c r="K37" s="44">
        <v>649.14164779999999</v>
      </c>
      <c r="L37" s="44">
        <v>507.31787839999998</v>
      </c>
      <c r="M37" s="44">
        <v>583.47688579999999</v>
      </c>
      <c r="N37" s="44">
        <v>520.29756180000004</v>
      </c>
      <c r="O37" s="44">
        <v>411.19249430000002</v>
      </c>
      <c r="P37" s="44">
        <v>429.56422199999997</v>
      </c>
      <c r="Q37" s="44">
        <v>328.31473199999999</v>
      </c>
      <c r="R37" s="44">
        <v>235.81524970000001</v>
      </c>
      <c r="S37" s="44">
        <v>207.08076829999999</v>
      </c>
      <c r="T37" s="44"/>
      <c r="U37" s="44"/>
    </row>
    <row r="38" spans="1:21" x14ac:dyDescent="0.55000000000000004">
      <c r="A38" s="1" t="str">
        <f>'Population Definitions'!$A$10</f>
        <v>HCW</v>
      </c>
      <c r="B38" s="1" t="s">
        <v>14</v>
      </c>
      <c r="C38" s="2">
        <f t="shared" si="2"/>
        <v>0</v>
      </c>
      <c r="D38" s="1" t="s">
        <v>16</v>
      </c>
      <c r="E38" s="44"/>
      <c r="F38" s="44"/>
      <c r="G38" s="44"/>
      <c r="H38" s="44"/>
      <c r="I38" s="44"/>
      <c r="J38" s="44"/>
      <c r="K38" s="44"/>
      <c r="L38" s="44"/>
      <c r="M38" s="44"/>
      <c r="N38" s="44"/>
      <c r="O38" s="44"/>
      <c r="P38" s="44"/>
      <c r="Q38" s="44"/>
      <c r="R38" s="44"/>
      <c r="S38" s="44"/>
      <c r="T38" s="44"/>
      <c r="U38" s="44"/>
    </row>
    <row r="39" spans="1:21" x14ac:dyDescent="0.55000000000000004">
      <c r="A39" s="1" t="str">
        <f>'Population Definitions'!$A$11</f>
        <v>PLHIV HCW</v>
      </c>
      <c r="B39" s="1" t="s">
        <v>14</v>
      </c>
      <c r="C39" s="2">
        <f t="shared" si="2"/>
        <v>0</v>
      </c>
      <c r="D39" s="1" t="s">
        <v>16</v>
      </c>
      <c r="E39" s="44"/>
      <c r="F39" s="44"/>
      <c r="G39" s="44"/>
      <c r="H39" s="44"/>
      <c r="I39" s="44"/>
      <c r="J39" s="44"/>
      <c r="K39" s="44"/>
      <c r="L39" s="44"/>
      <c r="M39" s="44"/>
      <c r="N39" s="44"/>
      <c r="O39" s="44"/>
      <c r="P39" s="44"/>
      <c r="Q39" s="44"/>
      <c r="R39" s="44"/>
      <c r="S39" s="44"/>
      <c r="T39" s="44"/>
      <c r="U39" s="44"/>
    </row>
    <row r="40" spans="1:21" x14ac:dyDescent="0.55000000000000004">
      <c r="A40" s="1" t="str">
        <f>'Population Definitions'!$A$12</f>
        <v>Miners</v>
      </c>
      <c r="B40" s="1" t="s">
        <v>14</v>
      </c>
      <c r="C40" s="2" t="str">
        <f t="shared" si="2"/>
        <v>N.A.</v>
      </c>
      <c r="D40" s="1" t="s">
        <v>16</v>
      </c>
      <c r="E40" s="44"/>
      <c r="F40" s="44"/>
      <c r="G40" s="44"/>
      <c r="H40" s="44"/>
      <c r="I40" s="44"/>
      <c r="J40" s="44"/>
      <c r="K40" s="44"/>
      <c r="L40" s="44"/>
      <c r="M40" s="44"/>
      <c r="N40" s="44"/>
      <c r="O40" s="44"/>
      <c r="P40" s="44"/>
      <c r="Q40" s="44"/>
      <c r="R40" s="44"/>
      <c r="S40" s="44">
        <f>357.315816381004/0.8</f>
        <v>446.64477047625502</v>
      </c>
      <c r="T40" s="44"/>
      <c r="U40" s="44"/>
    </row>
    <row r="41" spans="1:21" x14ac:dyDescent="0.55000000000000004">
      <c r="A41" s="1" t="str">
        <f>'Population Definitions'!$A$13</f>
        <v>PLHIV Miners</v>
      </c>
      <c r="B41" s="1" t="s">
        <v>14</v>
      </c>
      <c r="C41" s="2" t="str">
        <f t="shared" si="2"/>
        <v>N.A.</v>
      </c>
      <c r="D41" s="1" t="s">
        <v>16</v>
      </c>
      <c r="E41" s="44"/>
      <c r="F41" s="44"/>
      <c r="G41" s="44"/>
      <c r="H41" s="44"/>
      <c r="I41" s="44"/>
      <c r="J41" s="44"/>
      <c r="K41" s="44"/>
      <c r="L41" s="44"/>
      <c r="M41" s="44"/>
      <c r="N41" s="44"/>
      <c r="O41" s="44"/>
      <c r="P41" s="44"/>
      <c r="Q41" s="44"/>
      <c r="R41" s="44"/>
      <c r="S41" s="44">
        <f>428.04737290844/0.8</f>
        <v>535.05921613554995</v>
      </c>
      <c r="T41" s="44"/>
      <c r="U41" s="44"/>
    </row>
    <row r="42" spans="1:21" x14ac:dyDescent="0.55000000000000004">
      <c r="E42" s="37"/>
      <c r="F42" s="37"/>
      <c r="G42" s="37"/>
      <c r="H42" s="37"/>
      <c r="I42" s="37"/>
      <c r="J42" s="37"/>
      <c r="K42" s="37"/>
      <c r="L42" s="37"/>
      <c r="M42" s="37"/>
      <c r="N42" s="37"/>
      <c r="O42" s="37"/>
      <c r="P42" s="37"/>
      <c r="Q42" s="37"/>
      <c r="R42" s="37"/>
      <c r="S42" s="37"/>
      <c r="T42" s="37"/>
      <c r="U42" s="37"/>
    </row>
    <row r="43" spans="1:21" x14ac:dyDescent="0.55000000000000004">
      <c r="A43" s="21" t="s">
        <v>41</v>
      </c>
      <c r="B43" s="1" t="s">
        <v>8</v>
      </c>
      <c r="C43" s="1" t="s">
        <v>9</v>
      </c>
      <c r="D43" s="1"/>
      <c r="E43" s="41">
        <v>2000</v>
      </c>
      <c r="F43" s="41">
        <v>2001</v>
      </c>
      <c r="G43" s="41">
        <v>2002</v>
      </c>
      <c r="H43" s="41">
        <v>2003</v>
      </c>
      <c r="I43" s="41">
        <v>2004</v>
      </c>
      <c r="J43" s="41">
        <v>2005</v>
      </c>
      <c r="K43" s="41">
        <v>2006</v>
      </c>
      <c r="L43" s="41">
        <v>2007</v>
      </c>
      <c r="M43" s="41">
        <v>2008</v>
      </c>
      <c r="N43" s="41">
        <v>2009</v>
      </c>
      <c r="O43" s="41">
        <v>2010</v>
      </c>
      <c r="P43" s="41">
        <v>2011</v>
      </c>
      <c r="Q43" s="41">
        <v>2012</v>
      </c>
      <c r="R43" s="41">
        <v>2013</v>
      </c>
      <c r="S43" s="41">
        <v>2014</v>
      </c>
      <c r="T43" s="41">
        <v>2015</v>
      </c>
      <c r="U43" s="41">
        <v>2016</v>
      </c>
    </row>
    <row r="44" spans="1:21" x14ac:dyDescent="0.55000000000000004">
      <c r="A44" s="1" t="str">
        <f>'Population Definitions'!$A$2</f>
        <v>Gen 0-4</v>
      </c>
      <c r="B44" s="1" t="s">
        <v>14</v>
      </c>
      <c r="C44" s="2" t="str">
        <f t="shared" ref="C44:C55" si="3">IF(SUMPRODUCT(--(E44:U44&lt;&gt;""))=0,0,"N.A.")</f>
        <v>N.A.</v>
      </c>
      <c r="D44" s="1" t="s">
        <v>16</v>
      </c>
      <c r="E44" s="44">
        <v>1.036838063</v>
      </c>
      <c r="F44" s="44">
        <v>1.495921404</v>
      </c>
      <c r="G44" s="44">
        <v>2.0350590500000001</v>
      </c>
      <c r="H44" s="44">
        <v>2.5921739979999998</v>
      </c>
      <c r="I44" s="44">
        <v>2.6851255749999998</v>
      </c>
      <c r="J44" s="44">
        <v>3.2681663539999999</v>
      </c>
      <c r="K44" s="44">
        <v>3.6683001470000001</v>
      </c>
      <c r="L44" s="44">
        <v>2.248956454</v>
      </c>
      <c r="M44" s="44">
        <v>1.624010253</v>
      </c>
      <c r="N44" s="44">
        <v>3.711036703</v>
      </c>
      <c r="O44" s="44">
        <v>5.2173427139999999</v>
      </c>
      <c r="P44" s="44">
        <v>4.2659808449999996</v>
      </c>
      <c r="Q44" s="44">
        <v>6.2339445790000001</v>
      </c>
      <c r="R44" s="44">
        <v>5.8655582290000003</v>
      </c>
      <c r="S44" s="44">
        <v>4.2342667059999997</v>
      </c>
      <c r="T44" s="44"/>
      <c r="U44" s="44"/>
    </row>
    <row r="45" spans="1:21" x14ac:dyDescent="0.55000000000000004">
      <c r="A45" s="1" t="str">
        <f>'Population Definitions'!$A$3</f>
        <v>Gen 5-14</v>
      </c>
      <c r="B45" s="1" t="s">
        <v>14</v>
      </c>
      <c r="C45" s="2" t="str">
        <f t="shared" si="3"/>
        <v>N.A.</v>
      </c>
      <c r="D45" s="1" t="s">
        <v>16</v>
      </c>
      <c r="E45" s="44">
        <v>0.80776311000000001</v>
      </c>
      <c r="F45" s="44">
        <v>1.4193983480000001</v>
      </c>
      <c r="G45" s="44">
        <v>2.1621154950000001</v>
      </c>
      <c r="H45" s="44">
        <v>3.2752435919999998</v>
      </c>
      <c r="I45" s="44">
        <v>4.023042759</v>
      </c>
      <c r="J45" s="44">
        <v>4.7908995189999999</v>
      </c>
      <c r="K45" s="44">
        <v>4.966863654</v>
      </c>
      <c r="L45" s="44">
        <v>5.7635766479999999</v>
      </c>
      <c r="M45" s="44">
        <v>17.86411279</v>
      </c>
      <c r="N45" s="44">
        <v>14.28570062</v>
      </c>
      <c r="O45" s="44">
        <v>7.6086247910000004</v>
      </c>
      <c r="P45" s="44">
        <v>3.128385953</v>
      </c>
      <c r="Q45" s="44">
        <v>16.783696939999999</v>
      </c>
      <c r="R45" s="44">
        <v>14.0821164</v>
      </c>
      <c r="S45" s="44">
        <v>15.99343024</v>
      </c>
      <c r="T45" s="44"/>
      <c r="U45" s="44"/>
    </row>
    <row r="46" spans="1:21" x14ac:dyDescent="0.55000000000000004">
      <c r="A46" s="1" t="str">
        <f>'Population Definitions'!$A$4</f>
        <v>Gen 15-64</v>
      </c>
      <c r="B46" s="1" t="s">
        <v>14</v>
      </c>
      <c r="C46" s="2" t="str">
        <f t="shared" si="3"/>
        <v>N.A.</v>
      </c>
      <c r="D46" s="1" t="s">
        <v>16</v>
      </c>
      <c r="E46" s="44">
        <v>237.47042669999999</v>
      </c>
      <c r="F46" s="44">
        <v>270.96084530000002</v>
      </c>
      <c r="G46" s="44">
        <v>288.90489980000001</v>
      </c>
      <c r="H46" s="44">
        <v>291.27271610000003</v>
      </c>
      <c r="I46" s="44">
        <v>283.77734959999998</v>
      </c>
      <c r="J46" s="44">
        <v>252.10840089999999</v>
      </c>
      <c r="K46" s="44">
        <v>227.0931569</v>
      </c>
      <c r="L46" s="44">
        <v>459.21965849999998</v>
      </c>
      <c r="M46" s="44">
        <v>294.6259063</v>
      </c>
      <c r="N46" s="44">
        <v>128.4222201</v>
      </c>
      <c r="O46" s="44">
        <v>121.859512</v>
      </c>
      <c r="P46" s="44">
        <v>124.5675212</v>
      </c>
      <c r="Q46" s="44">
        <v>126.8024848</v>
      </c>
      <c r="R46" s="44">
        <v>197.91611639999999</v>
      </c>
      <c r="S46" s="44">
        <v>242.24184600000001</v>
      </c>
      <c r="T46" s="44"/>
      <c r="U46" s="44"/>
    </row>
    <row r="47" spans="1:21" x14ac:dyDescent="0.55000000000000004">
      <c r="A47" s="1" t="str">
        <f>'Population Definitions'!$A$5</f>
        <v>Gen 65+</v>
      </c>
      <c r="B47" s="1" t="s">
        <v>14</v>
      </c>
      <c r="C47" s="2" t="str">
        <f t="shared" si="3"/>
        <v>N.A.</v>
      </c>
      <c r="D47" s="1" t="s">
        <v>16</v>
      </c>
      <c r="E47" s="44">
        <v>0.78419698100000002</v>
      </c>
      <c r="F47" s="44">
        <v>1.0233371769999999</v>
      </c>
      <c r="G47" s="44">
        <v>1.2937839499999999</v>
      </c>
      <c r="H47" s="44">
        <v>1.6406811990000001</v>
      </c>
      <c r="I47" s="44">
        <v>1.4848213779999999</v>
      </c>
      <c r="J47" s="44">
        <v>2.0220145079999998</v>
      </c>
      <c r="K47" s="44">
        <v>2.1313539439999998</v>
      </c>
      <c r="L47" s="44">
        <v>2.5220395629999999</v>
      </c>
      <c r="M47" s="44">
        <v>2.0847223819999998</v>
      </c>
      <c r="N47" s="44">
        <v>5.357137732</v>
      </c>
      <c r="O47" s="44">
        <v>4.3018829050000003</v>
      </c>
      <c r="P47" s="44">
        <v>1.058931415</v>
      </c>
      <c r="Q47" s="44">
        <v>0.64455908500000003</v>
      </c>
      <c r="R47" s="44">
        <v>13.269686610000001</v>
      </c>
      <c r="S47" s="44">
        <v>11.85594678</v>
      </c>
      <c r="T47" s="44"/>
      <c r="U47" s="44"/>
    </row>
    <row r="48" spans="1:21" x14ac:dyDescent="0.55000000000000004">
      <c r="A48" s="1" t="str">
        <f>'Population Definitions'!$A$6</f>
        <v>PLHIV 15-64</v>
      </c>
      <c r="B48" s="1" t="s">
        <v>14</v>
      </c>
      <c r="C48" s="2" t="str">
        <f t="shared" si="3"/>
        <v>N.A.</v>
      </c>
      <c r="D48" s="1" t="s">
        <v>16</v>
      </c>
      <c r="E48" s="44">
        <v>150.46652839999999</v>
      </c>
      <c r="F48" s="44">
        <v>189.42155450000001</v>
      </c>
      <c r="G48" s="44">
        <v>232.5086671</v>
      </c>
      <c r="H48" s="44">
        <v>277.24020189999999</v>
      </c>
      <c r="I48" s="44">
        <v>323.08578720000003</v>
      </c>
      <c r="J48" s="44">
        <v>359.86991230000001</v>
      </c>
      <c r="K48" s="44">
        <v>362.11592239999999</v>
      </c>
      <c r="L48" s="44">
        <v>391.38018240000002</v>
      </c>
      <c r="M48" s="44">
        <v>383.73602069999998</v>
      </c>
      <c r="N48" s="44">
        <v>387.20063979999998</v>
      </c>
      <c r="O48" s="44">
        <v>362.60325160000002</v>
      </c>
      <c r="P48" s="44">
        <v>339.3287249</v>
      </c>
      <c r="Q48" s="44">
        <v>410.7896629</v>
      </c>
      <c r="R48" s="44">
        <v>859.52635980000002</v>
      </c>
      <c r="S48" s="44">
        <v>1127.8064220000001</v>
      </c>
      <c r="T48" s="44"/>
      <c r="U48" s="44"/>
    </row>
    <row r="49" spans="1:21" x14ac:dyDescent="0.55000000000000004">
      <c r="A49" s="1" t="str">
        <f>'Population Definitions'!$A$7</f>
        <v>PLHIV 65+</v>
      </c>
      <c r="B49" s="1" t="s">
        <v>14</v>
      </c>
      <c r="C49" s="2" t="str">
        <f t="shared" si="3"/>
        <v>N.A.</v>
      </c>
      <c r="D49" s="1" t="s">
        <v>16</v>
      </c>
      <c r="E49" s="44">
        <v>0.39416720700000002</v>
      </c>
      <c r="F49" s="44">
        <v>0.48295384200000002</v>
      </c>
      <c r="G49" s="44">
        <v>0.57897718200000003</v>
      </c>
      <c r="H49" s="44">
        <v>0.70155224599999999</v>
      </c>
      <c r="I49" s="44">
        <v>0.61035618800000002</v>
      </c>
      <c r="J49" s="44">
        <v>0.80296767300000005</v>
      </c>
      <c r="K49" s="44">
        <v>0.82096248999999999</v>
      </c>
      <c r="L49" s="44">
        <v>0.53066360700000004</v>
      </c>
      <c r="M49" s="44">
        <v>1.1632981250000001</v>
      </c>
      <c r="N49" s="44">
        <v>1.9110432829999999</v>
      </c>
      <c r="O49" s="44">
        <v>10.18916308</v>
      </c>
      <c r="P49" s="44">
        <v>1.785055815</v>
      </c>
      <c r="Q49" s="44">
        <v>1.558486145</v>
      </c>
      <c r="R49" s="44">
        <v>3.7913390310000001</v>
      </c>
      <c r="S49" s="44">
        <v>4.4713582870000002</v>
      </c>
      <c r="T49" s="44"/>
      <c r="U49" s="44"/>
    </row>
    <row r="50" spans="1:21" x14ac:dyDescent="0.55000000000000004">
      <c r="A50" s="1" t="str">
        <f>'Population Definitions'!$A$8</f>
        <v>Prisoners</v>
      </c>
      <c r="B50" s="1" t="s">
        <v>14</v>
      </c>
      <c r="C50" s="2" t="str">
        <f t="shared" si="3"/>
        <v>N.A.</v>
      </c>
      <c r="D50" s="1" t="s">
        <v>16</v>
      </c>
      <c r="E50" s="44">
        <v>0</v>
      </c>
      <c r="F50" s="44">
        <v>0</v>
      </c>
      <c r="G50" s="44">
        <v>0</v>
      </c>
      <c r="H50" s="44">
        <v>0</v>
      </c>
      <c r="I50" s="44">
        <v>0</v>
      </c>
      <c r="J50" s="44">
        <v>0</v>
      </c>
      <c r="K50" s="44">
        <v>0</v>
      </c>
      <c r="L50" s="44">
        <v>0</v>
      </c>
      <c r="M50" s="44">
        <v>0</v>
      </c>
      <c r="N50" s="44">
        <v>0</v>
      </c>
      <c r="O50" s="44">
        <v>0</v>
      </c>
      <c r="P50" s="44">
        <v>0</v>
      </c>
      <c r="Q50" s="44">
        <v>0</v>
      </c>
      <c r="R50" s="44">
        <v>0</v>
      </c>
      <c r="S50" s="44">
        <v>0</v>
      </c>
      <c r="T50" s="44"/>
      <c r="U50" s="44"/>
    </row>
    <row r="51" spans="1:21" x14ac:dyDescent="0.55000000000000004">
      <c r="A51" s="1" t="str">
        <f>'Population Definitions'!$A$9</f>
        <v>PLHIV Prisoners</v>
      </c>
      <c r="B51" s="1" t="s">
        <v>14</v>
      </c>
      <c r="C51" s="2" t="str">
        <f t="shared" si="3"/>
        <v>N.A.</v>
      </c>
      <c r="D51" s="1" t="s">
        <v>16</v>
      </c>
      <c r="E51" s="44">
        <v>0</v>
      </c>
      <c r="F51" s="44">
        <v>0</v>
      </c>
      <c r="G51" s="44">
        <v>0</v>
      </c>
      <c r="H51" s="44">
        <v>0</v>
      </c>
      <c r="I51" s="44">
        <v>0</v>
      </c>
      <c r="J51" s="44">
        <v>0</v>
      </c>
      <c r="K51" s="44">
        <v>0</v>
      </c>
      <c r="L51" s="44">
        <v>0</v>
      </c>
      <c r="M51" s="44">
        <v>0</v>
      </c>
      <c r="N51" s="44">
        <v>0</v>
      </c>
      <c r="O51" s="44">
        <v>0</v>
      </c>
      <c r="P51" s="44">
        <v>0</v>
      </c>
      <c r="Q51" s="44">
        <v>0</v>
      </c>
      <c r="R51" s="44">
        <v>0</v>
      </c>
      <c r="S51" s="44">
        <v>0</v>
      </c>
      <c r="T51" s="44"/>
      <c r="U51" s="44"/>
    </row>
    <row r="52" spans="1:21" x14ac:dyDescent="0.55000000000000004">
      <c r="A52" s="1" t="str">
        <f>'Population Definitions'!$A$10</f>
        <v>HCW</v>
      </c>
      <c r="B52" s="1" t="s">
        <v>14</v>
      </c>
      <c r="C52" s="2">
        <f t="shared" si="3"/>
        <v>0</v>
      </c>
      <c r="D52" s="1" t="s">
        <v>16</v>
      </c>
      <c r="E52" s="44"/>
      <c r="F52" s="44"/>
      <c r="G52" s="44"/>
      <c r="H52" s="44"/>
      <c r="I52" s="44"/>
      <c r="J52" s="44"/>
      <c r="K52" s="44"/>
      <c r="L52" s="44"/>
      <c r="M52" s="44"/>
      <c r="N52" s="44"/>
      <c r="O52" s="44"/>
      <c r="P52" s="44"/>
      <c r="Q52" s="44"/>
      <c r="R52" s="44"/>
      <c r="S52" s="44"/>
      <c r="T52" s="44"/>
      <c r="U52" s="44"/>
    </row>
    <row r="53" spans="1:21" x14ac:dyDescent="0.55000000000000004">
      <c r="A53" s="1" t="str">
        <f>'Population Definitions'!$A$11</f>
        <v>PLHIV HCW</v>
      </c>
      <c r="B53" s="1" t="s">
        <v>14</v>
      </c>
      <c r="C53" s="2">
        <f t="shared" si="3"/>
        <v>0</v>
      </c>
      <c r="D53" s="1" t="s">
        <v>16</v>
      </c>
      <c r="E53" s="44"/>
      <c r="F53" s="44"/>
      <c r="G53" s="44"/>
      <c r="H53" s="44"/>
      <c r="I53" s="44"/>
      <c r="J53" s="44"/>
      <c r="K53" s="44"/>
      <c r="L53" s="44"/>
      <c r="M53" s="44"/>
      <c r="N53" s="44"/>
      <c r="O53" s="44"/>
      <c r="P53" s="44"/>
      <c r="Q53" s="44"/>
      <c r="R53" s="44"/>
      <c r="S53" s="44"/>
      <c r="T53" s="44"/>
      <c r="U53" s="44"/>
    </row>
    <row r="54" spans="1:21" x14ac:dyDescent="0.55000000000000004">
      <c r="A54" s="1" t="str">
        <f>'Population Definitions'!$A$12</f>
        <v>Miners</v>
      </c>
      <c r="B54" s="1" t="s">
        <v>14</v>
      </c>
      <c r="C54" s="2" t="str">
        <f t="shared" si="3"/>
        <v>N.A.</v>
      </c>
      <c r="D54" s="1" t="s">
        <v>16</v>
      </c>
      <c r="E54" s="44"/>
      <c r="F54" s="44"/>
      <c r="G54" s="44"/>
      <c r="H54" s="44"/>
      <c r="I54" s="44"/>
      <c r="J54" s="44"/>
      <c r="K54" s="44"/>
      <c r="L54" s="44"/>
      <c r="M54" s="44"/>
      <c r="N54" s="44"/>
      <c r="O54" s="44"/>
      <c r="P54" s="44"/>
      <c r="Q54" s="44"/>
      <c r="R54" s="44"/>
      <c r="S54" s="44">
        <f>10.5563363249543/0.8</f>
        <v>13.195420406192873</v>
      </c>
      <c r="T54" s="44"/>
      <c r="U54" s="44"/>
    </row>
    <row r="55" spans="1:21" x14ac:dyDescent="0.55000000000000004">
      <c r="A55" s="1" t="str">
        <f>'Population Definitions'!$A$13</f>
        <v>PLHIV Miners</v>
      </c>
      <c r="B55" s="1" t="s">
        <v>14</v>
      </c>
      <c r="C55" s="2" t="str">
        <f t="shared" si="3"/>
        <v>N.A.</v>
      </c>
      <c r="D55" s="1" t="s">
        <v>16</v>
      </c>
      <c r="E55" s="44"/>
      <c r="F55" s="44"/>
      <c r="G55" s="44"/>
      <c r="H55" s="44"/>
      <c r="I55" s="44"/>
      <c r="J55" s="44"/>
      <c r="K55" s="44"/>
      <c r="L55" s="44"/>
      <c r="M55" s="44"/>
      <c r="N55" s="44"/>
      <c r="O55" s="44"/>
      <c r="P55" s="44"/>
      <c r="Q55" s="44"/>
      <c r="R55" s="44"/>
      <c r="S55" s="44">
        <f>9.39039455896957/0.8</f>
        <v>11.737993198711962</v>
      </c>
      <c r="T55" s="44"/>
      <c r="U55" s="44"/>
    </row>
    <row r="56" spans="1:21" x14ac:dyDescent="0.55000000000000004">
      <c r="E56" s="37"/>
      <c r="F56" s="37"/>
      <c r="G56" s="37"/>
      <c r="H56" s="37"/>
      <c r="I56" s="37"/>
      <c r="J56" s="37"/>
      <c r="K56" s="37"/>
      <c r="L56" s="37"/>
      <c r="M56" s="37"/>
      <c r="N56" s="37"/>
      <c r="O56" s="37"/>
      <c r="P56" s="37"/>
      <c r="Q56" s="37"/>
      <c r="R56" s="37"/>
      <c r="S56" s="37"/>
      <c r="T56" s="37"/>
      <c r="U56" s="37"/>
    </row>
    <row r="57" spans="1:21" x14ac:dyDescent="0.55000000000000004">
      <c r="A57" s="21" t="s">
        <v>48</v>
      </c>
      <c r="B57" s="1" t="s">
        <v>8</v>
      </c>
      <c r="C57" s="1" t="s">
        <v>9</v>
      </c>
      <c r="D57" s="1"/>
      <c r="E57" s="41">
        <v>2000</v>
      </c>
      <c r="F57" s="41">
        <v>2001</v>
      </c>
      <c r="G57" s="41">
        <v>2002</v>
      </c>
      <c r="H57" s="41">
        <v>2003</v>
      </c>
      <c r="I57" s="41">
        <v>2004</v>
      </c>
      <c r="J57" s="41">
        <v>2005</v>
      </c>
      <c r="K57" s="41">
        <v>2006</v>
      </c>
      <c r="L57" s="41">
        <v>2007</v>
      </c>
      <c r="M57" s="41">
        <v>2008</v>
      </c>
      <c r="N57" s="41">
        <v>2009</v>
      </c>
      <c r="O57" s="41">
        <v>2010</v>
      </c>
      <c r="P57" s="41">
        <v>2011</v>
      </c>
      <c r="Q57" s="41">
        <v>2012</v>
      </c>
      <c r="R57" s="41">
        <v>2013</v>
      </c>
      <c r="S57" s="41">
        <v>2014</v>
      </c>
      <c r="T57" s="41">
        <v>2015</v>
      </c>
      <c r="U57" s="41">
        <v>2016</v>
      </c>
    </row>
    <row r="58" spans="1:21" x14ac:dyDescent="0.55000000000000004">
      <c r="A58" s="1" t="str">
        <f>'Population Definitions'!$A$2</f>
        <v>Gen 0-4</v>
      </c>
      <c r="B58" s="1" t="s">
        <v>14</v>
      </c>
      <c r="C58" s="2" t="str">
        <f t="shared" ref="C58:C69" si="4">IF(SUMPRODUCT(--(E58:U58&lt;&gt;""))=0,0,"N.A.")</f>
        <v>N.A.</v>
      </c>
      <c r="D58" s="1" t="s">
        <v>16</v>
      </c>
      <c r="E58" s="44">
        <v>0</v>
      </c>
      <c r="F58" s="44">
        <v>0</v>
      </c>
      <c r="G58" s="44">
        <v>0</v>
      </c>
      <c r="H58" s="44">
        <v>0</v>
      </c>
      <c r="I58" s="44">
        <v>0</v>
      </c>
      <c r="J58" s="44">
        <v>0</v>
      </c>
      <c r="K58" s="44">
        <v>0</v>
      </c>
      <c r="L58" s="44">
        <v>0</v>
      </c>
      <c r="M58" s="44">
        <v>1.624010253</v>
      </c>
      <c r="N58" s="44">
        <v>0</v>
      </c>
      <c r="O58" s="44">
        <v>0</v>
      </c>
      <c r="P58" s="44">
        <v>0</v>
      </c>
      <c r="Q58" s="44">
        <v>0</v>
      </c>
      <c r="R58" s="44">
        <v>0</v>
      </c>
      <c r="S58" s="44">
        <v>0</v>
      </c>
      <c r="T58" s="44"/>
      <c r="U58" s="44"/>
    </row>
    <row r="59" spans="1:21" x14ac:dyDescent="0.55000000000000004">
      <c r="A59" s="1" t="str">
        <f>'Population Definitions'!$A$3</f>
        <v>Gen 5-14</v>
      </c>
      <c r="B59" s="1" t="s">
        <v>14</v>
      </c>
      <c r="C59" s="2" t="str">
        <f t="shared" si="4"/>
        <v>N.A.</v>
      </c>
      <c r="D59" s="1" t="s">
        <v>16</v>
      </c>
      <c r="E59" s="44">
        <v>0</v>
      </c>
      <c r="F59" s="44">
        <v>0</v>
      </c>
      <c r="G59" s="44">
        <v>0</v>
      </c>
      <c r="H59" s="44">
        <v>0</v>
      </c>
      <c r="I59" s="44">
        <v>0</v>
      </c>
      <c r="J59" s="44">
        <v>0</v>
      </c>
      <c r="K59" s="44">
        <v>0</v>
      </c>
      <c r="L59" s="44">
        <v>0</v>
      </c>
      <c r="M59" s="44">
        <v>0</v>
      </c>
      <c r="N59" s="44">
        <v>0</v>
      </c>
      <c r="O59" s="44">
        <v>0</v>
      </c>
      <c r="P59" s="44">
        <v>0</v>
      </c>
      <c r="Q59" s="44">
        <v>0</v>
      </c>
      <c r="R59" s="44">
        <v>0</v>
      </c>
      <c r="S59" s="44">
        <v>0</v>
      </c>
      <c r="T59" s="44"/>
      <c r="U59" s="44"/>
    </row>
    <row r="60" spans="1:21" x14ac:dyDescent="0.55000000000000004">
      <c r="A60" s="1" t="str">
        <f>'Population Definitions'!$A$4</f>
        <v>Gen 15-64</v>
      </c>
      <c r="B60" s="1" t="s">
        <v>14</v>
      </c>
      <c r="C60" s="2" t="str">
        <f t="shared" si="4"/>
        <v>N.A.</v>
      </c>
      <c r="D60" s="1" t="s">
        <v>16</v>
      </c>
      <c r="E60" s="44">
        <v>10.95225596</v>
      </c>
      <c r="F60" s="44">
        <v>11.904191900000001</v>
      </c>
      <c r="G60" s="44">
        <v>13.518327210000001</v>
      </c>
      <c r="H60" s="44">
        <v>16.117828670000002</v>
      </c>
      <c r="I60" s="44">
        <v>17.679646340000001</v>
      </c>
      <c r="J60" s="44">
        <v>16.166088590000001</v>
      </c>
      <c r="K60" s="44">
        <v>19.769871949999999</v>
      </c>
      <c r="L60" s="44">
        <v>5.9855280469999999</v>
      </c>
      <c r="M60" s="44">
        <v>30.197624569999999</v>
      </c>
      <c r="N60" s="44">
        <v>25.003720690000002</v>
      </c>
      <c r="O60" s="44">
        <v>17.956354510000001</v>
      </c>
      <c r="P60" s="44">
        <v>6.5411706289999998</v>
      </c>
      <c r="Q60" s="44">
        <v>5.4547015070000002</v>
      </c>
      <c r="R60" s="44">
        <v>16.598565600000001</v>
      </c>
      <c r="S60" s="44">
        <v>6.2615822799999998</v>
      </c>
      <c r="T60" s="44"/>
      <c r="U60" s="44"/>
    </row>
    <row r="61" spans="1:21" x14ac:dyDescent="0.55000000000000004">
      <c r="A61" s="1" t="str">
        <f>'Population Definitions'!$A$5</f>
        <v>Gen 65+</v>
      </c>
      <c r="B61" s="1" t="s">
        <v>14</v>
      </c>
      <c r="C61" s="2" t="str">
        <f t="shared" si="4"/>
        <v>N.A.</v>
      </c>
      <c r="D61" s="1" t="s">
        <v>16</v>
      </c>
      <c r="E61" s="44">
        <v>0</v>
      </c>
      <c r="F61" s="44">
        <v>0</v>
      </c>
      <c r="G61" s="44">
        <v>0</v>
      </c>
      <c r="H61" s="44">
        <v>0</v>
      </c>
      <c r="I61" s="44">
        <v>0</v>
      </c>
      <c r="J61" s="44">
        <v>0</v>
      </c>
      <c r="K61" s="44">
        <v>0</v>
      </c>
      <c r="L61" s="44">
        <v>0</v>
      </c>
      <c r="M61" s="44">
        <v>0</v>
      </c>
      <c r="N61" s="44">
        <v>0</v>
      </c>
      <c r="O61" s="44">
        <v>0</v>
      </c>
      <c r="P61" s="44">
        <v>0</v>
      </c>
      <c r="Q61" s="44">
        <v>0</v>
      </c>
      <c r="R61" s="44">
        <v>0</v>
      </c>
      <c r="S61" s="44">
        <v>0</v>
      </c>
      <c r="T61" s="44"/>
      <c r="U61" s="44"/>
    </row>
    <row r="62" spans="1:21" x14ac:dyDescent="0.55000000000000004">
      <c r="A62" s="1" t="str">
        <f>'Population Definitions'!$A$6</f>
        <v>PLHIV 15-64</v>
      </c>
      <c r="B62" s="1" t="s">
        <v>14</v>
      </c>
      <c r="C62" s="2" t="str">
        <f t="shared" si="4"/>
        <v>N.A.</v>
      </c>
      <c r="D62" s="1" t="s">
        <v>16</v>
      </c>
      <c r="E62" s="44">
        <v>7.493624552</v>
      </c>
      <c r="F62" s="44">
        <v>7.639771026</v>
      </c>
      <c r="G62" s="44">
        <v>10.80178061</v>
      </c>
      <c r="H62" s="44">
        <v>14.984018499999999</v>
      </c>
      <c r="I62" s="44">
        <v>19.88335571</v>
      </c>
      <c r="J62" s="44">
        <v>26.269156150000001</v>
      </c>
      <c r="K62" s="44">
        <v>23.438395849999999</v>
      </c>
      <c r="L62" s="44">
        <v>16.06084663</v>
      </c>
      <c r="M62" s="44">
        <v>20.254603629999998</v>
      </c>
      <c r="N62" s="44">
        <v>38.582422379999997</v>
      </c>
      <c r="O62" s="44">
        <v>27.696314879999999</v>
      </c>
      <c r="P62" s="44">
        <v>23.58820133</v>
      </c>
      <c r="Q62" s="44">
        <v>21.163208180000002</v>
      </c>
      <c r="R62" s="44">
        <v>9.484742486</v>
      </c>
      <c r="S62" s="44">
        <v>22.567695010000001</v>
      </c>
      <c r="T62" s="44"/>
      <c r="U62" s="44"/>
    </row>
    <row r="63" spans="1:21" x14ac:dyDescent="0.55000000000000004">
      <c r="A63" s="1" t="str">
        <f>'Population Definitions'!$A$7</f>
        <v>PLHIV 65+</v>
      </c>
      <c r="B63" s="1" t="s">
        <v>14</v>
      </c>
      <c r="C63" s="2" t="str">
        <f t="shared" si="4"/>
        <v>N.A.</v>
      </c>
      <c r="D63" s="1" t="s">
        <v>16</v>
      </c>
      <c r="E63" s="44">
        <v>0</v>
      </c>
      <c r="F63" s="44">
        <v>0</v>
      </c>
      <c r="G63" s="44">
        <v>0</v>
      </c>
      <c r="H63" s="44">
        <v>0</v>
      </c>
      <c r="I63" s="44">
        <v>0</v>
      </c>
      <c r="J63" s="44">
        <v>0</v>
      </c>
      <c r="K63" s="44">
        <v>0</v>
      </c>
      <c r="L63" s="44">
        <v>0</v>
      </c>
      <c r="M63" s="44">
        <v>0</v>
      </c>
      <c r="N63" s="44">
        <v>0</v>
      </c>
      <c r="O63" s="44">
        <v>0</v>
      </c>
      <c r="P63" s="44">
        <v>0</v>
      </c>
      <c r="Q63" s="44">
        <v>0</v>
      </c>
      <c r="R63" s="44">
        <v>0</v>
      </c>
      <c r="S63" s="44">
        <v>0</v>
      </c>
      <c r="T63" s="44"/>
      <c r="U63" s="44"/>
    </row>
    <row r="64" spans="1:21" x14ac:dyDescent="0.55000000000000004">
      <c r="A64" s="1" t="str">
        <f>'Population Definitions'!$A$8</f>
        <v>Prisoners</v>
      </c>
      <c r="B64" s="1" t="s">
        <v>14</v>
      </c>
      <c r="C64" s="2" t="str">
        <f t="shared" si="4"/>
        <v>N.A.</v>
      </c>
      <c r="D64" s="1" t="s">
        <v>16</v>
      </c>
      <c r="E64" s="44">
        <v>0</v>
      </c>
      <c r="F64" s="44">
        <v>0</v>
      </c>
      <c r="G64" s="44">
        <v>0</v>
      </c>
      <c r="H64" s="44">
        <v>0</v>
      </c>
      <c r="I64" s="44">
        <v>0</v>
      </c>
      <c r="J64" s="44">
        <v>0</v>
      </c>
      <c r="K64" s="44">
        <v>0</v>
      </c>
      <c r="L64" s="44">
        <v>0</v>
      </c>
      <c r="M64" s="44">
        <v>0</v>
      </c>
      <c r="N64" s="44">
        <v>0</v>
      </c>
      <c r="O64" s="44">
        <v>0</v>
      </c>
      <c r="P64" s="44">
        <v>0</v>
      </c>
      <c r="Q64" s="44">
        <v>0</v>
      </c>
      <c r="R64" s="44">
        <v>0</v>
      </c>
      <c r="S64" s="44">
        <v>0</v>
      </c>
      <c r="T64" s="44"/>
      <c r="U64" s="44"/>
    </row>
    <row r="65" spans="1:21" x14ac:dyDescent="0.55000000000000004">
      <c r="A65" s="1" t="str">
        <f>'Population Definitions'!$A$9</f>
        <v>PLHIV Prisoners</v>
      </c>
      <c r="B65" s="1" t="s">
        <v>14</v>
      </c>
      <c r="C65" s="2" t="str">
        <f t="shared" si="4"/>
        <v>N.A.</v>
      </c>
      <c r="D65" s="1" t="s">
        <v>16</v>
      </c>
      <c r="E65" s="44">
        <v>0</v>
      </c>
      <c r="F65" s="44">
        <v>0</v>
      </c>
      <c r="G65" s="44">
        <v>0</v>
      </c>
      <c r="H65" s="44">
        <v>0</v>
      </c>
      <c r="I65" s="44">
        <v>0</v>
      </c>
      <c r="J65" s="44">
        <v>0</v>
      </c>
      <c r="K65" s="44">
        <v>0</v>
      </c>
      <c r="L65" s="44">
        <v>0</v>
      </c>
      <c r="M65" s="44">
        <v>0</v>
      </c>
      <c r="N65" s="44">
        <v>0</v>
      </c>
      <c r="O65" s="44">
        <v>0</v>
      </c>
      <c r="P65" s="44">
        <v>0</v>
      </c>
      <c r="Q65" s="44">
        <v>0</v>
      </c>
      <c r="R65" s="44">
        <v>0</v>
      </c>
      <c r="S65" s="44">
        <v>0</v>
      </c>
      <c r="T65" s="44"/>
      <c r="U65" s="44"/>
    </row>
    <row r="66" spans="1:21" x14ac:dyDescent="0.55000000000000004">
      <c r="A66" s="1" t="str">
        <f>'Population Definitions'!$A$10</f>
        <v>HCW</v>
      </c>
      <c r="B66" s="1" t="s">
        <v>14</v>
      </c>
      <c r="C66" s="2">
        <f t="shared" si="4"/>
        <v>0</v>
      </c>
      <c r="D66" s="1" t="s">
        <v>16</v>
      </c>
      <c r="E66" s="44"/>
      <c r="F66" s="44"/>
      <c r="G66" s="44"/>
      <c r="H66" s="44"/>
      <c r="I66" s="44"/>
      <c r="J66" s="44"/>
      <c r="K66" s="44"/>
      <c r="L66" s="44"/>
      <c r="M66" s="44"/>
      <c r="N66" s="44"/>
      <c r="O66" s="44"/>
      <c r="P66" s="44"/>
      <c r="Q66" s="44"/>
      <c r="R66" s="44"/>
      <c r="S66" s="44"/>
      <c r="T66" s="44"/>
      <c r="U66" s="44"/>
    </row>
    <row r="67" spans="1:21" x14ac:dyDescent="0.55000000000000004">
      <c r="A67" s="1" t="str">
        <f>'Population Definitions'!$A$11</f>
        <v>PLHIV HCW</v>
      </c>
      <c r="B67" s="1" t="s">
        <v>14</v>
      </c>
      <c r="C67" s="2">
        <f t="shared" si="4"/>
        <v>0</v>
      </c>
      <c r="D67" s="1" t="s">
        <v>16</v>
      </c>
      <c r="E67" s="44"/>
      <c r="F67" s="44"/>
      <c r="G67" s="44"/>
      <c r="H67" s="44"/>
      <c r="I67" s="44"/>
      <c r="J67" s="44"/>
      <c r="K67" s="44"/>
      <c r="L67" s="44"/>
      <c r="M67" s="44"/>
      <c r="N67" s="44"/>
      <c r="O67" s="44"/>
      <c r="P67" s="44"/>
      <c r="Q67" s="44"/>
      <c r="R67" s="44"/>
      <c r="S67" s="44"/>
      <c r="T67" s="44"/>
      <c r="U67" s="44"/>
    </row>
    <row r="68" spans="1:21" x14ac:dyDescent="0.55000000000000004">
      <c r="A68" s="1" t="str">
        <f>'Population Definitions'!$A$12</f>
        <v>Miners</v>
      </c>
      <c r="B68" s="1" t="s">
        <v>14</v>
      </c>
      <c r="C68" s="2" t="str">
        <f t="shared" si="4"/>
        <v>N.A.</v>
      </c>
      <c r="D68" s="1" t="s">
        <v>16</v>
      </c>
      <c r="E68" s="44"/>
      <c r="F68" s="44"/>
      <c r="G68" s="44"/>
      <c r="H68" s="44"/>
      <c r="I68" s="44"/>
      <c r="J68" s="44"/>
      <c r="K68" s="44"/>
      <c r="L68" s="44"/>
      <c r="M68" s="44"/>
      <c r="N68" s="44"/>
      <c r="O68" s="44"/>
      <c r="P68" s="44"/>
      <c r="Q68" s="44"/>
      <c r="R68" s="44"/>
      <c r="S68" s="44">
        <f>0.938341006662606/0.8</f>
        <v>1.1729262583282574</v>
      </c>
      <c r="T68" s="44"/>
      <c r="U68" s="44"/>
    </row>
    <row r="69" spans="1:21" x14ac:dyDescent="0.55000000000000004">
      <c r="A69" s="1" t="str">
        <f>'Population Definitions'!$A$13</f>
        <v>PLHIV Miners</v>
      </c>
      <c r="B69" s="1" t="s">
        <v>14</v>
      </c>
      <c r="C69" s="2" t="str">
        <f t="shared" si="4"/>
        <v>N.A.</v>
      </c>
      <c r="D69" s="1" t="s">
        <v>16</v>
      </c>
      <c r="E69" s="44"/>
      <c r="F69" s="44"/>
      <c r="G69" s="44"/>
      <c r="H69" s="44"/>
      <c r="I69" s="44"/>
      <c r="J69" s="44"/>
      <c r="K69" s="44"/>
      <c r="L69" s="44"/>
      <c r="M69" s="44"/>
      <c r="N69" s="44"/>
      <c r="O69" s="44"/>
      <c r="P69" s="44"/>
      <c r="Q69" s="44"/>
      <c r="R69" s="44"/>
      <c r="S69" s="44">
        <f>0.834701738575073/0.8</f>
        <v>1.0433771732188413</v>
      </c>
      <c r="T69" s="44"/>
      <c r="U69" s="44"/>
    </row>
    <row r="70" spans="1:21" x14ac:dyDescent="0.55000000000000004">
      <c r="E70" s="37"/>
      <c r="F70" s="37"/>
      <c r="G70" s="37"/>
      <c r="H70" s="37"/>
      <c r="I70" s="37"/>
      <c r="J70" s="37"/>
      <c r="K70" s="37"/>
      <c r="L70" s="37"/>
      <c r="M70" s="37"/>
      <c r="N70" s="37"/>
      <c r="O70" s="37"/>
      <c r="P70" s="37"/>
      <c r="Q70" s="37"/>
      <c r="R70" s="37"/>
      <c r="S70" s="37"/>
      <c r="T70" s="37"/>
      <c r="U70" s="37"/>
    </row>
    <row r="71" spans="1:21" x14ac:dyDescent="0.55000000000000004">
      <c r="A71" s="21" t="s">
        <v>55</v>
      </c>
      <c r="B71" s="1" t="s">
        <v>8</v>
      </c>
      <c r="C71" s="1" t="s">
        <v>9</v>
      </c>
      <c r="D71" s="1"/>
      <c r="E71" s="41">
        <v>2000</v>
      </c>
      <c r="F71" s="41">
        <v>2001</v>
      </c>
      <c r="G71" s="41">
        <v>2002</v>
      </c>
      <c r="H71" s="41">
        <v>2003</v>
      </c>
      <c r="I71" s="41">
        <v>2004</v>
      </c>
      <c r="J71" s="41">
        <v>2005</v>
      </c>
      <c r="K71" s="41">
        <v>2006</v>
      </c>
      <c r="L71" s="41">
        <v>2007</v>
      </c>
      <c r="M71" s="41">
        <v>2008</v>
      </c>
      <c r="N71" s="41">
        <v>2009</v>
      </c>
      <c r="O71" s="41">
        <v>2010</v>
      </c>
      <c r="P71" s="41">
        <v>2011</v>
      </c>
      <c r="Q71" s="41">
        <v>2012</v>
      </c>
      <c r="R71" s="41">
        <v>2013</v>
      </c>
      <c r="S71" s="41">
        <v>2014</v>
      </c>
      <c r="T71" s="41">
        <v>2015</v>
      </c>
      <c r="U71" s="41">
        <v>2016</v>
      </c>
    </row>
    <row r="72" spans="1:21" x14ac:dyDescent="0.55000000000000004">
      <c r="A72" s="1" t="str">
        <f>'Population Definitions'!$A$2</f>
        <v>Gen 0-4</v>
      </c>
      <c r="B72" s="1" t="s">
        <v>14</v>
      </c>
      <c r="C72" s="2" t="str">
        <f t="shared" ref="C72:C83" si="5">IF(SUMPRODUCT(--(E72:U72&lt;&gt;""))=0,0,"N.A.")</f>
        <v>N.A.</v>
      </c>
      <c r="D72" s="1" t="s">
        <v>16</v>
      </c>
      <c r="E72" s="43">
        <f>'Active TB Prevalence'!E30*'Active TB Testing and Treatment'!G2</f>
        <v>1809.7678397014733</v>
      </c>
      <c r="F72" s="44"/>
      <c r="G72" s="44"/>
      <c r="H72" s="44"/>
      <c r="I72" s="44"/>
      <c r="J72" s="44"/>
      <c r="K72" s="44"/>
      <c r="L72" s="44"/>
      <c r="M72" s="44"/>
      <c r="N72" s="44"/>
      <c r="O72" s="44"/>
      <c r="P72" s="44"/>
      <c r="Q72" s="44"/>
      <c r="R72" s="44"/>
      <c r="S72" s="44"/>
      <c r="T72" s="44"/>
      <c r="U72" s="44"/>
    </row>
    <row r="73" spans="1:21" x14ac:dyDescent="0.55000000000000004">
      <c r="A73" s="1" t="str">
        <f>'Population Definitions'!$A$3</f>
        <v>Gen 5-14</v>
      </c>
      <c r="B73" s="1" t="s">
        <v>14</v>
      </c>
      <c r="C73" s="2" t="str">
        <f t="shared" si="5"/>
        <v>N.A.</v>
      </c>
      <c r="D73" s="1" t="s">
        <v>16</v>
      </c>
      <c r="E73" s="43">
        <f>'Active TB Prevalence'!E31*'Active TB Testing and Treatment'!G3</f>
        <v>805.40410654882749</v>
      </c>
      <c r="F73" s="44"/>
      <c r="G73" s="44"/>
      <c r="H73" s="44"/>
      <c r="I73" s="44"/>
      <c r="J73" s="44"/>
      <c r="K73" s="44"/>
      <c r="L73" s="44"/>
      <c r="M73" s="44"/>
      <c r="N73" s="44"/>
      <c r="O73" s="44"/>
      <c r="P73" s="44"/>
      <c r="Q73" s="44"/>
      <c r="R73" s="44"/>
      <c r="S73" s="44"/>
      <c r="T73" s="44"/>
      <c r="U73" s="44"/>
    </row>
    <row r="74" spans="1:21" x14ac:dyDescent="0.55000000000000004">
      <c r="A74" s="1" t="str">
        <f>'Population Definitions'!$A$4</f>
        <v>Gen 15-64</v>
      </c>
      <c r="B74" s="1" t="s">
        <v>14</v>
      </c>
      <c r="C74" s="2" t="str">
        <f t="shared" si="5"/>
        <v>N.A.</v>
      </c>
      <c r="D74" s="1" t="s">
        <v>16</v>
      </c>
      <c r="E74" s="43">
        <f>'Active TB Prevalence'!E32*'Active TB Testing and Treatment'!G4</f>
        <v>2818.6310129943372</v>
      </c>
      <c r="F74" s="44"/>
      <c r="G74" s="44"/>
      <c r="H74" s="44"/>
      <c r="I74" s="44"/>
      <c r="J74" s="44"/>
      <c r="K74" s="44"/>
      <c r="L74" s="44"/>
      <c r="M74" s="44"/>
      <c r="N74" s="44"/>
      <c r="O74" s="44"/>
      <c r="P74" s="44"/>
      <c r="Q74" s="44"/>
      <c r="R74" s="44"/>
      <c r="S74" s="44"/>
      <c r="T74" s="44"/>
      <c r="U74" s="44"/>
    </row>
    <row r="75" spans="1:21" x14ac:dyDescent="0.55000000000000004">
      <c r="A75" s="1" t="str">
        <f>'Population Definitions'!$A$5</f>
        <v>Gen 65+</v>
      </c>
      <c r="B75" s="1" t="s">
        <v>14</v>
      </c>
      <c r="C75" s="2" t="str">
        <f t="shared" si="5"/>
        <v>N.A.</v>
      </c>
      <c r="D75" s="1" t="s">
        <v>16</v>
      </c>
      <c r="E75" s="43">
        <f>'Active TB Prevalence'!E33*'Active TB Testing and Treatment'!G5</f>
        <v>194.3926094540472</v>
      </c>
      <c r="F75" s="44"/>
      <c r="G75" s="44"/>
      <c r="H75" s="44"/>
      <c r="I75" s="44"/>
      <c r="J75" s="44"/>
      <c r="K75" s="44"/>
      <c r="L75" s="44"/>
      <c r="M75" s="44"/>
      <c r="N75" s="44"/>
      <c r="O75" s="44"/>
      <c r="P75" s="44"/>
      <c r="Q75" s="44"/>
      <c r="R75" s="44"/>
      <c r="S75" s="44"/>
      <c r="T75" s="44"/>
      <c r="U75" s="44"/>
    </row>
    <row r="76" spans="1:21" x14ac:dyDescent="0.55000000000000004">
      <c r="A76" s="1" t="str">
        <f>'Population Definitions'!$A$6</f>
        <v>PLHIV 15-64</v>
      </c>
      <c r="B76" s="1" t="s">
        <v>14</v>
      </c>
      <c r="C76" s="2" t="str">
        <f t="shared" si="5"/>
        <v>N.A.</v>
      </c>
      <c r="D76" s="1" t="s">
        <v>16</v>
      </c>
      <c r="E76" s="43">
        <f>'Active TB Prevalence'!E34*'Active TB Testing and Treatment'!G6</f>
        <v>15206.77814637654</v>
      </c>
      <c r="F76" s="44"/>
      <c r="G76" s="44"/>
      <c r="H76" s="44"/>
      <c r="I76" s="44"/>
      <c r="J76" s="44"/>
      <c r="K76" s="44"/>
      <c r="L76" s="44"/>
      <c r="M76" s="44"/>
      <c r="N76" s="44"/>
      <c r="O76" s="44"/>
      <c r="P76" s="44"/>
      <c r="Q76" s="44"/>
      <c r="R76" s="44"/>
      <c r="S76" s="44"/>
      <c r="T76" s="44"/>
      <c r="U76" s="44"/>
    </row>
    <row r="77" spans="1:21" x14ac:dyDescent="0.55000000000000004">
      <c r="A77" s="1" t="str">
        <f>'Population Definitions'!$A$7</f>
        <v>PLHIV 65+</v>
      </c>
      <c r="B77" s="1" t="s">
        <v>14</v>
      </c>
      <c r="C77" s="2" t="str">
        <f t="shared" si="5"/>
        <v>N.A.</v>
      </c>
      <c r="D77" s="1" t="s">
        <v>16</v>
      </c>
      <c r="E77" s="43">
        <f>'Active TB Prevalence'!E35*'Active TB Testing and Treatment'!G7</f>
        <v>91.262623651447186</v>
      </c>
      <c r="F77" s="44"/>
      <c r="G77" s="44"/>
      <c r="H77" s="44"/>
      <c r="I77" s="44"/>
      <c r="J77" s="44"/>
      <c r="K77" s="44"/>
      <c r="L77" s="44"/>
      <c r="M77" s="44"/>
      <c r="N77" s="44"/>
      <c r="O77" s="44"/>
      <c r="P77" s="44"/>
      <c r="Q77" s="44"/>
      <c r="R77" s="44"/>
      <c r="S77" s="44"/>
      <c r="T77" s="44"/>
      <c r="U77" s="44"/>
    </row>
    <row r="78" spans="1:21" x14ac:dyDescent="0.55000000000000004">
      <c r="A78" s="1" t="str">
        <f>'Population Definitions'!$A$8</f>
        <v>Prisoners</v>
      </c>
      <c r="B78" s="1" t="s">
        <v>14</v>
      </c>
      <c r="C78" s="2" t="str">
        <f t="shared" si="5"/>
        <v>N.A.</v>
      </c>
      <c r="D78" s="1" t="s">
        <v>16</v>
      </c>
      <c r="E78" s="43">
        <f>'Active TB Prevalence'!E36*'Active TB Testing and Treatment'!G8</f>
        <v>121.36970488002567</v>
      </c>
      <c r="F78" s="44"/>
      <c r="G78" s="44"/>
      <c r="H78" s="44"/>
      <c r="I78" s="44"/>
      <c r="J78" s="44"/>
      <c r="K78" s="44"/>
      <c r="L78" s="44"/>
      <c r="M78" s="44"/>
      <c r="N78" s="44"/>
      <c r="O78" s="44"/>
      <c r="P78" s="44"/>
      <c r="Q78" s="44"/>
      <c r="R78" s="44"/>
      <c r="S78" s="44"/>
      <c r="T78" s="44"/>
      <c r="U78" s="44"/>
    </row>
    <row r="79" spans="1:21" x14ac:dyDescent="0.55000000000000004">
      <c r="A79" s="1" t="str">
        <f>'Population Definitions'!$A$9</f>
        <v>PLHIV Prisoners</v>
      </c>
      <c r="B79" s="1" t="s">
        <v>14</v>
      </c>
      <c r="C79" s="2" t="str">
        <f t="shared" si="5"/>
        <v>N.A.</v>
      </c>
      <c r="D79" s="1" t="s">
        <v>16</v>
      </c>
      <c r="E79" s="43">
        <f>'Active TB Prevalence'!E37*'Active TB Testing and Treatment'!G9</f>
        <v>270.62254005305209</v>
      </c>
      <c r="F79" s="44"/>
      <c r="G79" s="44"/>
      <c r="H79" s="44"/>
      <c r="I79" s="44"/>
      <c r="J79" s="44"/>
      <c r="K79" s="44"/>
      <c r="L79" s="44"/>
      <c r="M79" s="44"/>
      <c r="N79" s="44"/>
      <c r="O79" s="44"/>
      <c r="P79" s="44"/>
      <c r="Q79" s="44"/>
      <c r="R79" s="44"/>
      <c r="S79" s="44"/>
      <c r="T79" s="44"/>
      <c r="U79" s="44"/>
    </row>
    <row r="80" spans="1:21" x14ac:dyDescent="0.55000000000000004">
      <c r="A80" s="1" t="str">
        <f>'Population Definitions'!$A$10</f>
        <v>HCW</v>
      </c>
      <c r="B80" s="1" t="s">
        <v>14</v>
      </c>
      <c r="C80" s="2">
        <f t="shared" si="5"/>
        <v>0</v>
      </c>
      <c r="D80" s="1" t="s">
        <v>16</v>
      </c>
      <c r="E80" s="43"/>
      <c r="F80" s="44"/>
      <c r="G80" s="44"/>
      <c r="H80" s="44"/>
      <c r="I80" s="44"/>
      <c r="J80" s="44"/>
      <c r="K80" s="44"/>
      <c r="L80" s="44"/>
      <c r="M80" s="44"/>
      <c r="N80" s="44"/>
      <c r="O80" s="44"/>
      <c r="P80" s="44"/>
      <c r="Q80" s="44"/>
      <c r="R80" s="44"/>
      <c r="S80" s="44"/>
      <c r="T80" s="44"/>
      <c r="U80" s="44"/>
    </row>
    <row r="81" spans="1:21" x14ac:dyDescent="0.55000000000000004">
      <c r="A81" s="1" t="str">
        <f>'Population Definitions'!$A$11</f>
        <v>PLHIV HCW</v>
      </c>
      <c r="B81" s="1" t="s">
        <v>14</v>
      </c>
      <c r="C81" s="2">
        <f t="shared" si="5"/>
        <v>0</v>
      </c>
      <c r="D81" s="1" t="s">
        <v>16</v>
      </c>
      <c r="E81" s="43"/>
      <c r="F81" s="44"/>
      <c r="G81" s="44"/>
      <c r="H81" s="44"/>
      <c r="I81" s="44"/>
      <c r="J81" s="44"/>
      <c r="K81" s="44"/>
      <c r="L81" s="44"/>
      <c r="M81" s="44"/>
      <c r="N81" s="44"/>
      <c r="O81" s="44"/>
      <c r="P81" s="44"/>
      <c r="Q81" s="44"/>
      <c r="R81" s="44"/>
      <c r="S81" s="44"/>
      <c r="T81" s="44"/>
      <c r="U81" s="44"/>
    </row>
    <row r="82" spans="1:21" x14ac:dyDescent="0.55000000000000004">
      <c r="A82" s="1" t="str">
        <f>'Population Definitions'!$A$12</f>
        <v>Miners</v>
      </c>
      <c r="B82" s="1" t="s">
        <v>14</v>
      </c>
      <c r="C82" s="2">
        <f t="shared" si="5"/>
        <v>0</v>
      </c>
      <c r="D82" s="1" t="s">
        <v>16</v>
      </c>
      <c r="E82" s="43"/>
      <c r="F82" s="44"/>
      <c r="G82" s="44"/>
      <c r="H82" s="44"/>
      <c r="I82" s="44"/>
      <c r="J82" s="44"/>
      <c r="K82" s="44"/>
      <c r="L82" s="44"/>
      <c r="M82" s="44"/>
      <c r="N82" s="44"/>
      <c r="O82" s="44"/>
      <c r="P82" s="44"/>
      <c r="Q82" s="44"/>
      <c r="R82" s="44"/>
      <c r="S82" s="44"/>
      <c r="T82" s="44"/>
      <c r="U82" s="44"/>
    </row>
    <row r="83" spans="1:21" x14ac:dyDescent="0.55000000000000004">
      <c r="A83" s="1" t="str">
        <f>'Population Definitions'!$A$13</f>
        <v>PLHIV Miners</v>
      </c>
      <c r="B83" s="1" t="s">
        <v>14</v>
      </c>
      <c r="C83" s="2">
        <f t="shared" si="5"/>
        <v>0</v>
      </c>
      <c r="D83" s="1" t="s">
        <v>16</v>
      </c>
      <c r="E83" s="43"/>
      <c r="F83" s="44"/>
      <c r="G83" s="44"/>
      <c r="H83" s="44"/>
      <c r="I83" s="44"/>
      <c r="J83" s="44"/>
      <c r="K83" s="44"/>
      <c r="L83" s="44"/>
      <c r="M83" s="44"/>
      <c r="N83" s="44"/>
      <c r="O83" s="44"/>
      <c r="P83" s="44"/>
      <c r="Q83" s="44"/>
      <c r="R83" s="44"/>
      <c r="S83" s="44"/>
      <c r="T83" s="44"/>
      <c r="U83" s="44"/>
    </row>
    <row r="84" spans="1:21" x14ac:dyDescent="0.55000000000000004">
      <c r="E84" s="37"/>
      <c r="F84" s="37"/>
      <c r="G84" s="37"/>
      <c r="H84" s="37"/>
      <c r="I84" s="37"/>
      <c r="J84" s="37"/>
      <c r="K84" s="37"/>
      <c r="L84" s="37"/>
      <c r="M84" s="37"/>
      <c r="N84" s="37"/>
      <c r="O84" s="37"/>
      <c r="P84" s="37"/>
      <c r="Q84" s="37"/>
      <c r="R84" s="37"/>
      <c r="S84" s="37"/>
      <c r="T84" s="37"/>
      <c r="U84" s="37"/>
    </row>
    <row r="85" spans="1:21" x14ac:dyDescent="0.55000000000000004">
      <c r="A85" s="21" t="s">
        <v>62</v>
      </c>
      <c r="B85" s="1" t="s">
        <v>8</v>
      </c>
      <c r="C85" s="1" t="s">
        <v>9</v>
      </c>
      <c r="D85" s="1"/>
      <c r="E85" s="41">
        <v>2000</v>
      </c>
      <c r="F85" s="41">
        <v>2001</v>
      </c>
      <c r="G85" s="41">
        <v>2002</v>
      </c>
      <c r="H85" s="41">
        <v>2003</v>
      </c>
      <c r="I85" s="41">
        <v>2004</v>
      </c>
      <c r="J85" s="41">
        <v>2005</v>
      </c>
      <c r="K85" s="41">
        <v>2006</v>
      </c>
      <c r="L85" s="41">
        <v>2007</v>
      </c>
      <c r="M85" s="41">
        <v>2008</v>
      </c>
      <c r="N85" s="41">
        <v>2009</v>
      </c>
      <c r="O85" s="41">
        <v>2010</v>
      </c>
      <c r="P85" s="41">
        <v>2011</v>
      </c>
      <c r="Q85" s="41">
        <v>2012</v>
      </c>
      <c r="R85" s="41">
        <v>2013</v>
      </c>
      <c r="S85" s="41">
        <v>2014</v>
      </c>
      <c r="T85" s="41">
        <v>2015</v>
      </c>
      <c r="U85" s="41">
        <v>2016</v>
      </c>
    </row>
    <row r="86" spans="1:21" x14ac:dyDescent="0.55000000000000004">
      <c r="A86" s="1" t="str">
        <f>'Population Definitions'!$A$2</f>
        <v>Gen 0-4</v>
      </c>
      <c r="B86" s="1" t="s">
        <v>14</v>
      </c>
      <c r="C86" s="2" t="str">
        <f t="shared" ref="C86:C97" si="6">IF(SUMPRODUCT(--(E86:U86&lt;&gt;""))=0,0,"N.A.")</f>
        <v>N.A.</v>
      </c>
      <c r="D86" s="1" t="s">
        <v>16</v>
      </c>
      <c r="E86" s="43">
        <f>E44*'Active TB Testing and Treatment'!E58</f>
        <v>0.56922409658700002</v>
      </c>
      <c r="F86" s="44"/>
      <c r="G86" s="44"/>
      <c r="H86" s="44"/>
      <c r="I86" s="44"/>
      <c r="J86" s="44"/>
      <c r="K86" s="44"/>
      <c r="L86" s="44"/>
      <c r="M86" s="44"/>
      <c r="N86" s="44"/>
      <c r="O86" s="44"/>
      <c r="P86" s="44"/>
      <c r="Q86" s="44"/>
      <c r="R86" s="44"/>
      <c r="S86" s="44"/>
      <c r="T86" s="44"/>
      <c r="U86" s="44"/>
    </row>
    <row r="87" spans="1:21" x14ac:dyDescent="0.55000000000000004">
      <c r="A87" s="1" t="str">
        <f>'Population Definitions'!$A$3</f>
        <v>Gen 5-14</v>
      </c>
      <c r="B87" s="1" t="s">
        <v>14</v>
      </c>
      <c r="C87" s="2" t="str">
        <f t="shared" si="6"/>
        <v>N.A.</v>
      </c>
      <c r="D87" s="1" t="s">
        <v>16</v>
      </c>
      <c r="E87" s="43">
        <f>E45*'Active TB Testing and Treatment'!E59</f>
        <v>0.50646746997000003</v>
      </c>
      <c r="F87" s="44"/>
      <c r="G87" s="44"/>
      <c r="H87" s="44"/>
      <c r="I87" s="44"/>
      <c r="J87" s="44"/>
      <c r="K87" s="44"/>
      <c r="L87" s="44"/>
      <c r="M87" s="44"/>
      <c r="N87" s="44"/>
      <c r="O87" s="44"/>
      <c r="P87" s="44"/>
      <c r="Q87" s="44"/>
      <c r="R87" s="44"/>
      <c r="S87" s="44"/>
      <c r="T87" s="44"/>
      <c r="U87" s="44"/>
    </row>
    <row r="88" spans="1:21" x14ac:dyDescent="0.55000000000000004">
      <c r="A88" s="1" t="str">
        <f>'Population Definitions'!$A$4</f>
        <v>Gen 15-64</v>
      </c>
      <c r="B88" s="1" t="s">
        <v>14</v>
      </c>
      <c r="C88" s="2" t="str">
        <f t="shared" si="6"/>
        <v>N.A.</v>
      </c>
      <c r="D88" s="1" t="s">
        <v>16</v>
      </c>
      <c r="E88" s="43">
        <f>E46*'Active TB Testing and Treatment'!E60</f>
        <v>148.8939575409</v>
      </c>
      <c r="F88" s="44"/>
      <c r="G88" s="44"/>
      <c r="H88" s="44"/>
      <c r="I88" s="44"/>
      <c r="J88" s="44"/>
      <c r="K88" s="44"/>
      <c r="L88" s="44"/>
      <c r="M88" s="44"/>
      <c r="N88" s="44"/>
      <c r="O88" s="44"/>
      <c r="P88" s="44"/>
      <c r="Q88" s="44"/>
      <c r="R88" s="44"/>
      <c r="S88" s="44"/>
      <c r="T88" s="44"/>
      <c r="U88" s="44"/>
    </row>
    <row r="89" spans="1:21" x14ac:dyDescent="0.55000000000000004">
      <c r="A89" s="1" t="str">
        <f>'Population Definitions'!$A$5</f>
        <v>Gen 65+</v>
      </c>
      <c r="B89" s="1" t="s">
        <v>14</v>
      </c>
      <c r="C89" s="2" t="str">
        <f t="shared" si="6"/>
        <v>N.A.</v>
      </c>
      <c r="D89" s="1" t="s">
        <v>16</v>
      </c>
      <c r="E89" s="43">
        <f>E47*'Active TB Testing and Treatment'!E61</f>
        <v>0.53639073500400003</v>
      </c>
      <c r="F89" s="44"/>
      <c r="G89" s="44"/>
      <c r="H89" s="44"/>
      <c r="I89" s="44"/>
      <c r="J89" s="44"/>
      <c r="K89" s="44"/>
      <c r="L89" s="44"/>
      <c r="M89" s="44"/>
      <c r="N89" s="44"/>
      <c r="O89" s="44"/>
      <c r="P89" s="44"/>
      <c r="Q89" s="44"/>
      <c r="R89" s="44"/>
      <c r="S89" s="44"/>
      <c r="T89" s="44"/>
      <c r="U89" s="44"/>
    </row>
    <row r="90" spans="1:21" x14ac:dyDescent="0.55000000000000004">
      <c r="A90" s="1" t="str">
        <f>'Population Definitions'!$A$6</f>
        <v>PLHIV 15-64</v>
      </c>
      <c r="B90" s="1" t="s">
        <v>14</v>
      </c>
      <c r="C90" s="2" t="str">
        <f t="shared" si="6"/>
        <v>N.A.</v>
      </c>
      <c r="D90" s="1" t="s">
        <v>16</v>
      </c>
      <c r="E90" s="43">
        <f>E48*'Active TB Testing and Treatment'!E62</f>
        <v>0.60186611359999997</v>
      </c>
      <c r="F90" s="44"/>
      <c r="G90" s="44"/>
      <c r="H90" s="44"/>
      <c r="I90" s="44"/>
      <c r="J90" s="44"/>
      <c r="K90" s="44"/>
      <c r="L90" s="44"/>
      <c r="M90" s="44"/>
      <c r="N90" s="44"/>
      <c r="O90" s="44"/>
      <c r="P90" s="44"/>
      <c r="Q90" s="44"/>
      <c r="R90" s="44"/>
      <c r="S90" s="44"/>
      <c r="T90" s="44"/>
      <c r="U90" s="44"/>
    </row>
    <row r="91" spans="1:21" x14ac:dyDescent="0.55000000000000004">
      <c r="A91" s="1" t="str">
        <f>'Population Definitions'!$A$7</f>
        <v>PLHIV 65+</v>
      </c>
      <c r="B91" s="1" t="s">
        <v>14</v>
      </c>
      <c r="C91" s="2" t="str">
        <f t="shared" si="6"/>
        <v>N.A.</v>
      </c>
      <c r="D91" s="1" t="s">
        <v>16</v>
      </c>
      <c r="E91" s="43">
        <f>E49*'Active TB Testing and Treatment'!E63</f>
        <v>0.26961036958800005</v>
      </c>
      <c r="F91" s="44"/>
      <c r="G91" s="44"/>
      <c r="H91" s="44"/>
      <c r="I91" s="44"/>
      <c r="J91" s="44"/>
      <c r="K91" s="44"/>
      <c r="L91" s="44"/>
      <c r="M91" s="44"/>
      <c r="N91" s="44"/>
      <c r="O91" s="44"/>
      <c r="P91" s="44"/>
      <c r="Q91" s="44"/>
      <c r="R91" s="44"/>
      <c r="S91" s="44"/>
      <c r="T91" s="44"/>
      <c r="U91" s="44"/>
    </row>
    <row r="92" spans="1:21" x14ac:dyDescent="0.55000000000000004">
      <c r="A92" s="1" t="str">
        <f>'Population Definitions'!$A$8</f>
        <v>Prisoners</v>
      </c>
      <c r="B92" s="1" t="s">
        <v>14</v>
      </c>
      <c r="C92" s="2">
        <f t="shared" si="6"/>
        <v>0</v>
      </c>
      <c r="D92" s="1" t="s">
        <v>16</v>
      </c>
      <c r="E92" s="43"/>
      <c r="F92" s="44"/>
      <c r="G92" s="44"/>
      <c r="H92" s="44"/>
      <c r="I92" s="44"/>
      <c r="J92" s="44"/>
      <c r="K92" s="44"/>
      <c r="L92" s="44"/>
      <c r="M92" s="44"/>
      <c r="N92" s="44"/>
      <c r="O92" s="44"/>
      <c r="P92" s="44"/>
      <c r="Q92" s="44"/>
      <c r="R92" s="44"/>
      <c r="S92" s="44"/>
      <c r="T92" s="44"/>
      <c r="U92" s="44"/>
    </row>
    <row r="93" spans="1:21" x14ac:dyDescent="0.55000000000000004">
      <c r="A93" s="1" t="str">
        <f>'Population Definitions'!$A$9</f>
        <v>PLHIV Prisoners</v>
      </c>
      <c r="B93" s="1" t="s">
        <v>14</v>
      </c>
      <c r="C93" s="2">
        <f t="shared" si="6"/>
        <v>0</v>
      </c>
      <c r="D93" s="1" t="s">
        <v>16</v>
      </c>
      <c r="E93" s="43"/>
      <c r="F93" s="44"/>
      <c r="G93" s="44"/>
      <c r="H93" s="44"/>
      <c r="I93" s="44"/>
      <c r="J93" s="44"/>
      <c r="K93" s="44"/>
      <c r="L93" s="44"/>
      <c r="M93" s="44"/>
      <c r="N93" s="44"/>
      <c r="O93" s="44"/>
      <c r="P93" s="44"/>
      <c r="Q93" s="44"/>
      <c r="R93" s="44"/>
      <c r="S93" s="44"/>
      <c r="T93" s="44"/>
      <c r="U93" s="44"/>
    </row>
    <row r="94" spans="1:21" x14ac:dyDescent="0.55000000000000004">
      <c r="A94" s="1" t="str">
        <f>'Population Definitions'!$A$10</f>
        <v>HCW</v>
      </c>
      <c r="B94" s="1" t="s">
        <v>14</v>
      </c>
      <c r="C94" s="2">
        <f t="shared" si="6"/>
        <v>0</v>
      </c>
      <c r="D94" s="1" t="s">
        <v>16</v>
      </c>
      <c r="E94" s="43"/>
      <c r="F94" s="44"/>
      <c r="G94" s="44"/>
      <c r="H94" s="44"/>
      <c r="I94" s="44"/>
      <c r="J94" s="44"/>
      <c r="K94" s="44"/>
      <c r="L94" s="44"/>
      <c r="M94" s="44"/>
      <c r="N94" s="44"/>
      <c r="O94" s="44"/>
      <c r="P94" s="44"/>
      <c r="Q94" s="44"/>
      <c r="R94" s="44"/>
      <c r="S94" s="44"/>
      <c r="T94" s="44"/>
      <c r="U94" s="44"/>
    </row>
    <row r="95" spans="1:21" x14ac:dyDescent="0.55000000000000004">
      <c r="A95" s="1" t="str">
        <f>'Population Definitions'!$A$11</f>
        <v>PLHIV HCW</v>
      </c>
      <c r="B95" s="1" t="s">
        <v>14</v>
      </c>
      <c r="C95" s="2">
        <f t="shared" si="6"/>
        <v>0</v>
      </c>
      <c r="D95" s="1" t="s">
        <v>16</v>
      </c>
      <c r="E95" s="43"/>
      <c r="F95" s="44"/>
      <c r="G95" s="44"/>
      <c r="H95" s="44"/>
      <c r="I95" s="44"/>
      <c r="J95" s="44"/>
      <c r="K95" s="44"/>
      <c r="L95" s="44"/>
      <c r="M95" s="44"/>
      <c r="N95" s="44"/>
      <c r="O95" s="44"/>
      <c r="P95" s="44"/>
      <c r="Q95" s="44"/>
      <c r="R95" s="44"/>
      <c r="S95" s="44"/>
      <c r="T95" s="44"/>
      <c r="U95" s="44"/>
    </row>
    <row r="96" spans="1:21" x14ac:dyDescent="0.55000000000000004">
      <c r="A96" s="1" t="str">
        <f>'Population Definitions'!$A$12</f>
        <v>Miners</v>
      </c>
      <c r="B96" s="1" t="s">
        <v>14</v>
      </c>
      <c r="C96" s="2">
        <f t="shared" si="6"/>
        <v>0</v>
      </c>
      <c r="D96" s="1" t="s">
        <v>16</v>
      </c>
      <c r="E96" s="43"/>
      <c r="F96" s="44"/>
      <c r="G96" s="44"/>
      <c r="H96" s="44"/>
      <c r="I96" s="44"/>
      <c r="J96" s="44"/>
      <c r="K96" s="44"/>
      <c r="L96" s="44"/>
      <c r="M96" s="44"/>
      <c r="N96" s="44"/>
      <c r="O96" s="44"/>
      <c r="P96" s="44"/>
      <c r="Q96" s="44"/>
      <c r="R96" s="44"/>
      <c r="S96" s="44"/>
      <c r="T96" s="44"/>
      <c r="U96" s="44"/>
    </row>
    <row r="97" spans="1:21" x14ac:dyDescent="0.55000000000000004">
      <c r="A97" s="1" t="str">
        <f>'Population Definitions'!$A$13</f>
        <v>PLHIV Miners</v>
      </c>
      <c r="B97" s="1" t="s">
        <v>14</v>
      </c>
      <c r="C97" s="2">
        <f t="shared" si="6"/>
        <v>0</v>
      </c>
      <c r="D97" s="1" t="s">
        <v>16</v>
      </c>
      <c r="E97" s="43"/>
      <c r="F97" s="44"/>
      <c r="G97" s="44"/>
      <c r="H97" s="44"/>
      <c r="I97" s="44"/>
      <c r="J97" s="44"/>
      <c r="K97" s="44"/>
      <c r="L97" s="44"/>
      <c r="M97" s="44"/>
      <c r="N97" s="44"/>
      <c r="O97" s="44"/>
      <c r="P97" s="44"/>
      <c r="Q97" s="44"/>
      <c r="R97" s="44"/>
      <c r="S97" s="44"/>
      <c r="T97" s="44"/>
      <c r="U97" s="44"/>
    </row>
    <row r="98" spans="1:21" x14ac:dyDescent="0.55000000000000004">
      <c r="E98" s="37"/>
      <c r="F98" s="37"/>
      <c r="G98" s="37"/>
      <c r="H98" s="37"/>
      <c r="I98" s="37"/>
      <c r="J98" s="37"/>
      <c r="K98" s="37"/>
      <c r="L98" s="37"/>
      <c r="M98" s="37"/>
      <c r="N98" s="37"/>
      <c r="O98" s="37"/>
      <c r="P98" s="37"/>
      <c r="Q98" s="37"/>
      <c r="R98" s="37"/>
      <c r="S98" s="37"/>
      <c r="T98" s="37"/>
      <c r="U98" s="37"/>
    </row>
    <row r="99" spans="1:21" x14ac:dyDescent="0.55000000000000004">
      <c r="A99" s="21" t="s">
        <v>69</v>
      </c>
      <c r="B99" s="1" t="s">
        <v>8</v>
      </c>
      <c r="C99" s="1" t="s">
        <v>9</v>
      </c>
      <c r="D99" s="1"/>
      <c r="E99" s="41">
        <v>2000</v>
      </c>
      <c r="F99" s="41">
        <v>2001</v>
      </c>
      <c r="G99" s="41">
        <v>2002</v>
      </c>
      <c r="H99" s="41">
        <v>2003</v>
      </c>
      <c r="I99" s="41">
        <v>2004</v>
      </c>
      <c r="J99" s="41">
        <v>2005</v>
      </c>
      <c r="K99" s="41">
        <v>2006</v>
      </c>
      <c r="L99" s="41">
        <v>2007</v>
      </c>
      <c r="M99" s="41">
        <v>2008</v>
      </c>
      <c r="N99" s="41">
        <v>2009</v>
      </c>
      <c r="O99" s="41">
        <v>2010</v>
      </c>
      <c r="P99" s="41">
        <v>2011</v>
      </c>
      <c r="Q99" s="41">
        <v>2012</v>
      </c>
      <c r="R99" s="41">
        <v>2013</v>
      </c>
      <c r="S99" s="41">
        <v>2014</v>
      </c>
      <c r="T99" s="41">
        <v>2015</v>
      </c>
      <c r="U99" s="41">
        <v>2016</v>
      </c>
    </row>
    <row r="100" spans="1:21" x14ac:dyDescent="0.55000000000000004">
      <c r="A100" s="1" t="str">
        <f>'Population Definitions'!$A$2</f>
        <v>Gen 0-4</v>
      </c>
      <c r="B100" s="1" t="s">
        <v>14</v>
      </c>
      <c r="C100" s="2" t="str">
        <f t="shared" ref="C100:C111" si="7">IF(SUMPRODUCT(--(E100:U100&lt;&gt;""))=0,0,"N.A.")</f>
        <v>N.A.</v>
      </c>
      <c r="D100" s="1" t="s">
        <v>16</v>
      </c>
      <c r="E100" s="44">
        <f>E58*'Active TB Testing and Treatment'!M114</f>
        <v>0</v>
      </c>
      <c r="F100" s="44"/>
      <c r="G100" s="44"/>
      <c r="H100" s="44"/>
      <c r="I100" s="44"/>
      <c r="J100" s="44"/>
      <c r="K100" s="44"/>
      <c r="L100" s="44"/>
      <c r="M100" s="44"/>
      <c r="N100" s="44"/>
      <c r="O100" s="44"/>
      <c r="P100" s="44"/>
      <c r="Q100" s="44"/>
      <c r="R100" s="44"/>
      <c r="S100" s="44"/>
      <c r="T100" s="44"/>
      <c r="U100" s="44"/>
    </row>
    <row r="101" spans="1:21" x14ac:dyDescent="0.55000000000000004">
      <c r="A101" s="1" t="str">
        <f>'Population Definitions'!$A$3</f>
        <v>Gen 5-14</v>
      </c>
      <c r="B101" s="1" t="s">
        <v>14</v>
      </c>
      <c r="C101" s="2" t="str">
        <f t="shared" si="7"/>
        <v>N.A.</v>
      </c>
      <c r="D101" s="1" t="s">
        <v>16</v>
      </c>
      <c r="E101" s="44">
        <f>E59*'Active TB Testing and Treatment'!M115</f>
        <v>0</v>
      </c>
      <c r="F101" s="44"/>
      <c r="G101" s="44"/>
      <c r="H101" s="44"/>
      <c r="I101" s="44"/>
      <c r="J101" s="44"/>
      <c r="K101" s="44"/>
      <c r="L101" s="44"/>
      <c r="M101" s="44"/>
      <c r="N101" s="44"/>
      <c r="O101" s="44"/>
      <c r="P101" s="44"/>
      <c r="Q101" s="44"/>
      <c r="R101" s="44"/>
      <c r="S101" s="44"/>
      <c r="T101" s="44"/>
      <c r="U101" s="44"/>
    </row>
    <row r="102" spans="1:21" x14ac:dyDescent="0.55000000000000004">
      <c r="A102" s="1" t="str">
        <f>'Population Definitions'!$A$4</f>
        <v>Gen 15-64</v>
      </c>
      <c r="B102" s="1" t="s">
        <v>14</v>
      </c>
      <c r="C102" s="2" t="str">
        <f t="shared" si="7"/>
        <v>N.A.</v>
      </c>
      <c r="D102" s="1" t="s">
        <v>16</v>
      </c>
      <c r="E102" s="43">
        <f>E60*'Active TB Testing and Treatment'!L116</f>
        <v>6.862026065313926</v>
      </c>
      <c r="F102" s="44"/>
      <c r="G102" s="44"/>
      <c r="H102" s="44"/>
      <c r="I102" s="44"/>
      <c r="J102" s="44"/>
      <c r="K102" s="44"/>
      <c r="L102" s="44"/>
      <c r="M102" s="44"/>
      <c r="N102" s="44"/>
      <c r="O102" s="44"/>
      <c r="P102" s="44"/>
      <c r="Q102" s="44"/>
      <c r="R102" s="44"/>
      <c r="S102" s="44"/>
      <c r="T102" s="44"/>
      <c r="U102" s="44"/>
    </row>
    <row r="103" spans="1:21" x14ac:dyDescent="0.55000000000000004">
      <c r="A103" s="1" t="str">
        <f>'Population Definitions'!$A$5</f>
        <v>Gen 65+</v>
      </c>
      <c r="B103" s="1" t="s">
        <v>14</v>
      </c>
      <c r="C103" s="2">
        <f t="shared" si="7"/>
        <v>0</v>
      </c>
      <c r="D103" s="1" t="s">
        <v>16</v>
      </c>
      <c r="E103" s="44"/>
      <c r="F103" s="44"/>
      <c r="G103" s="44"/>
      <c r="H103" s="44"/>
      <c r="I103" s="44"/>
      <c r="J103" s="44"/>
      <c r="K103" s="44"/>
      <c r="L103" s="44"/>
      <c r="M103" s="44"/>
      <c r="N103" s="44"/>
      <c r="O103" s="44"/>
      <c r="P103" s="44"/>
      <c r="Q103" s="44"/>
      <c r="R103" s="44"/>
      <c r="S103" s="44"/>
      <c r="T103" s="44"/>
      <c r="U103" s="44"/>
    </row>
    <row r="104" spans="1:21" x14ac:dyDescent="0.55000000000000004">
      <c r="A104" s="1" t="str">
        <f>'Population Definitions'!$A$6</f>
        <v>PLHIV 15-64</v>
      </c>
      <c r="B104" s="1" t="s">
        <v>14</v>
      </c>
      <c r="C104" s="2" t="str">
        <f t="shared" si="7"/>
        <v>N.A.</v>
      </c>
      <c r="D104" s="1" t="s">
        <v>16</v>
      </c>
      <c r="E104" s="43">
        <f>E62*'Active TB Testing and Treatment'!L118</f>
        <v>4.6966837600645412</v>
      </c>
      <c r="F104" s="44"/>
      <c r="G104" s="44"/>
      <c r="H104" s="44"/>
      <c r="I104" s="44"/>
      <c r="J104" s="44"/>
      <c r="K104" s="44"/>
      <c r="L104" s="44"/>
      <c r="M104" s="44"/>
      <c r="N104" s="44"/>
      <c r="O104" s="44"/>
      <c r="P104" s="44"/>
      <c r="Q104" s="44"/>
      <c r="R104" s="44"/>
      <c r="S104" s="44"/>
      <c r="T104" s="44"/>
      <c r="U104" s="44"/>
    </row>
    <row r="105" spans="1:21" x14ac:dyDescent="0.55000000000000004">
      <c r="A105" s="1" t="str">
        <f>'Population Definitions'!$A$7</f>
        <v>PLHIV 65+</v>
      </c>
      <c r="B105" s="1" t="s">
        <v>14</v>
      </c>
      <c r="C105" s="2">
        <f t="shared" si="7"/>
        <v>0</v>
      </c>
      <c r="D105" s="1" t="s">
        <v>16</v>
      </c>
      <c r="E105" s="44"/>
      <c r="F105" s="44"/>
      <c r="G105" s="44"/>
      <c r="H105" s="44"/>
      <c r="I105" s="44"/>
      <c r="J105" s="44"/>
      <c r="K105" s="44"/>
      <c r="L105" s="44"/>
      <c r="M105" s="44"/>
      <c r="N105" s="44"/>
      <c r="O105" s="44"/>
      <c r="P105" s="44"/>
      <c r="Q105" s="44"/>
      <c r="R105" s="44"/>
      <c r="S105" s="44"/>
      <c r="T105" s="44"/>
      <c r="U105" s="44"/>
    </row>
    <row r="106" spans="1:21" x14ac:dyDescent="0.55000000000000004">
      <c r="A106" s="1" t="str">
        <f>'Population Definitions'!$A$8</f>
        <v>Prisoners</v>
      </c>
      <c r="B106" s="1" t="s">
        <v>14</v>
      </c>
      <c r="C106" s="2">
        <f t="shared" si="7"/>
        <v>0</v>
      </c>
      <c r="D106" s="1" t="s">
        <v>16</v>
      </c>
      <c r="E106" s="44"/>
      <c r="F106" s="44"/>
      <c r="G106" s="44"/>
      <c r="H106" s="44"/>
      <c r="I106" s="44"/>
      <c r="J106" s="44"/>
      <c r="K106" s="44"/>
      <c r="L106" s="44"/>
      <c r="M106" s="44"/>
      <c r="N106" s="44"/>
      <c r="O106" s="44"/>
      <c r="P106" s="44"/>
      <c r="Q106" s="44"/>
      <c r="R106" s="44"/>
      <c r="S106" s="44"/>
      <c r="T106" s="44"/>
      <c r="U106" s="44"/>
    </row>
    <row r="107" spans="1:21" x14ac:dyDescent="0.55000000000000004">
      <c r="A107" s="1" t="str">
        <f>'Population Definitions'!$A$9</f>
        <v>PLHIV Prisoners</v>
      </c>
      <c r="B107" s="1" t="s">
        <v>14</v>
      </c>
      <c r="C107" s="2">
        <f t="shared" si="7"/>
        <v>0</v>
      </c>
      <c r="D107" s="1" t="s">
        <v>16</v>
      </c>
      <c r="E107" s="44"/>
      <c r="F107" s="44"/>
      <c r="G107" s="44"/>
      <c r="H107" s="44"/>
      <c r="I107" s="44"/>
      <c r="J107" s="44"/>
      <c r="K107" s="44"/>
      <c r="L107" s="44"/>
      <c r="M107" s="44"/>
      <c r="N107" s="44"/>
      <c r="O107" s="44"/>
      <c r="P107" s="44"/>
      <c r="Q107" s="44"/>
      <c r="R107" s="44"/>
      <c r="S107" s="44"/>
      <c r="T107" s="44"/>
      <c r="U107" s="44"/>
    </row>
    <row r="108" spans="1:21" x14ac:dyDescent="0.55000000000000004">
      <c r="A108" s="1" t="str">
        <f>'Population Definitions'!$A$10</f>
        <v>HCW</v>
      </c>
      <c r="B108" s="1" t="s">
        <v>14</v>
      </c>
      <c r="C108" s="2">
        <f t="shared" si="7"/>
        <v>0</v>
      </c>
      <c r="D108" s="1" t="s">
        <v>16</v>
      </c>
      <c r="E108" s="44"/>
      <c r="F108" s="44"/>
      <c r="G108" s="44"/>
      <c r="H108" s="44"/>
      <c r="I108" s="44"/>
      <c r="J108" s="44"/>
      <c r="K108" s="44"/>
      <c r="L108" s="44"/>
      <c r="M108" s="44"/>
      <c r="N108" s="44"/>
      <c r="O108" s="44"/>
      <c r="P108" s="44"/>
      <c r="Q108" s="44"/>
      <c r="R108" s="44"/>
      <c r="S108" s="44"/>
      <c r="T108" s="44"/>
      <c r="U108" s="44"/>
    </row>
    <row r="109" spans="1:21" x14ac:dyDescent="0.55000000000000004">
      <c r="A109" s="1" t="str">
        <f>'Population Definitions'!$A$11</f>
        <v>PLHIV HCW</v>
      </c>
      <c r="B109" s="1" t="s">
        <v>14</v>
      </c>
      <c r="C109" s="2">
        <f t="shared" si="7"/>
        <v>0</v>
      </c>
      <c r="D109" s="1" t="s">
        <v>16</v>
      </c>
      <c r="E109" s="44"/>
      <c r="F109" s="44"/>
      <c r="G109" s="44"/>
      <c r="H109" s="44"/>
      <c r="I109" s="44"/>
      <c r="J109" s="44"/>
      <c r="K109" s="44"/>
      <c r="L109" s="44"/>
      <c r="M109" s="44"/>
      <c r="N109" s="44"/>
      <c r="O109" s="44"/>
      <c r="P109" s="44"/>
      <c r="Q109" s="44"/>
      <c r="R109" s="44"/>
      <c r="S109" s="44"/>
      <c r="T109" s="44"/>
      <c r="U109" s="44"/>
    </row>
    <row r="110" spans="1:21" x14ac:dyDescent="0.55000000000000004">
      <c r="A110" s="1" t="str">
        <f>'Population Definitions'!$A$12</f>
        <v>Miners</v>
      </c>
      <c r="B110" s="1" t="s">
        <v>14</v>
      </c>
      <c r="C110" s="2">
        <f t="shared" si="7"/>
        <v>0</v>
      </c>
      <c r="D110" s="1" t="s">
        <v>16</v>
      </c>
      <c r="E110" s="44"/>
      <c r="F110" s="44"/>
      <c r="G110" s="44"/>
      <c r="H110" s="44"/>
      <c r="I110" s="44"/>
      <c r="J110" s="44"/>
      <c r="K110" s="44"/>
      <c r="L110" s="44"/>
      <c r="M110" s="44"/>
      <c r="N110" s="44"/>
      <c r="O110" s="44"/>
      <c r="P110" s="44"/>
      <c r="Q110" s="44"/>
      <c r="R110" s="44"/>
      <c r="S110" s="44"/>
      <c r="T110" s="44"/>
      <c r="U110" s="44"/>
    </row>
    <row r="111" spans="1:21" x14ac:dyDescent="0.55000000000000004">
      <c r="A111" s="1" t="str">
        <f>'Population Definitions'!$A$13</f>
        <v>PLHIV Miners</v>
      </c>
      <c r="B111" s="1" t="s">
        <v>14</v>
      </c>
      <c r="C111" s="2">
        <f t="shared" si="7"/>
        <v>0</v>
      </c>
      <c r="D111" s="1" t="s">
        <v>16</v>
      </c>
      <c r="E111" s="44"/>
      <c r="F111" s="44"/>
      <c r="G111" s="44"/>
      <c r="H111" s="44"/>
      <c r="I111" s="44"/>
      <c r="J111" s="44"/>
      <c r="K111" s="44"/>
      <c r="L111" s="44"/>
      <c r="M111" s="44"/>
      <c r="N111" s="44"/>
      <c r="O111" s="44"/>
      <c r="P111" s="44"/>
      <c r="Q111" s="44"/>
      <c r="R111" s="44"/>
      <c r="S111" s="44"/>
      <c r="T111" s="44"/>
      <c r="U111" s="44"/>
    </row>
    <row r="112" spans="1:21" x14ac:dyDescent="0.55000000000000004">
      <c r="E112" s="37"/>
      <c r="F112" s="37"/>
      <c r="G112" s="37"/>
      <c r="H112" s="37"/>
      <c r="I112" s="37"/>
      <c r="J112" s="37"/>
      <c r="K112" s="37"/>
      <c r="L112" s="37"/>
      <c r="M112" s="37"/>
      <c r="N112" s="37"/>
      <c r="O112" s="37"/>
      <c r="P112" s="37"/>
      <c r="Q112" s="37"/>
      <c r="R112" s="37"/>
      <c r="S112" s="37"/>
      <c r="T112" s="37"/>
      <c r="U112" s="37"/>
    </row>
    <row r="113" spans="1:21" x14ac:dyDescent="0.55000000000000004">
      <c r="A113" s="21" t="s">
        <v>74</v>
      </c>
      <c r="B113" s="1" t="s">
        <v>8</v>
      </c>
      <c r="C113" s="1" t="s">
        <v>9</v>
      </c>
      <c r="D113" s="1"/>
      <c r="E113" s="41">
        <v>2000</v>
      </c>
      <c r="F113" s="41">
        <v>2001</v>
      </c>
      <c r="G113" s="41">
        <v>2002</v>
      </c>
      <c r="H113" s="41">
        <v>2003</v>
      </c>
      <c r="I113" s="41">
        <v>2004</v>
      </c>
      <c r="J113" s="41">
        <v>2005</v>
      </c>
      <c r="K113" s="41">
        <v>2006</v>
      </c>
      <c r="L113" s="41">
        <v>2007</v>
      </c>
      <c r="M113" s="41">
        <v>2008</v>
      </c>
      <c r="N113" s="41">
        <v>2009</v>
      </c>
      <c r="O113" s="41">
        <v>2010</v>
      </c>
      <c r="P113" s="41">
        <v>2011</v>
      </c>
      <c r="Q113" s="41">
        <v>2012</v>
      </c>
      <c r="R113" s="41">
        <v>2013</v>
      </c>
      <c r="S113" s="41">
        <v>2014</v>
      </c>
      <c r="T113" s="41">
        <v>2015</v>
      </c>
      <c r="U113" s="41">
        <v>2016</v>
      </c>
    </row>
    <row r="114" spans="1:21" x14ac:dyDescent="0.55000000000000004">
      <c r="A114" s="1" t="str">
        <f>'Population Definitions'!$A$2</f>
        <v>Gen 0-4</v>
      </c>
      <c r="B114" s="1" t="s">
        <v>14</v>
      </c>
      <c r="C114" s="2" t="str">
        <f t="shared" ref="C114:C125" si="8">IF(SUMPRODUCT(--(E114:U114&lt;&gt;""))=0,0,"N.A.")</f>
        <v>N.A.</v>
      </c>
      <c r="D114" s="1" t="s">
        <v>16</v>
      </c>
      <c r="E114" s="44">
        <f>1809.76783970147*(0.9)</f>
        <v>1628.791055731323</v>
      </c>
      <c r="F114" s="44"/>
      <c r="G114" s="44"/>
      <c r="H114" s="44"/>
      <c r="I114" s="44"/>
      <c r="J114" s="44"/>
      <c r="K114" s="44"/>
      <c r="L114" s="44"/>
      <c r="M114" s="44"/>
      <c r="N114" s="44"/>
      <c r="O114" s="44"/>
      <c r="P114" s="44"/>
      <c r="Q114" s="44"/>
      <c r="R114" s="44"/>
      <c r="S114" s="44"/>
      <c r="T114" s="44"/>
      <c r="U114" s="44"/>
    </row>
    <row r="115" spans="1:21" x14ac:dyDescent="0.55000000000000004">
      <c r="A115" s="1" t="str">
        <f>'Population Definitions'!$A$3</f>
        <v>Gen 5-14</v>
      </c>
      <c r="B115" s="1" t="s">
        <v>14</v>
      </c>
      <c r="C115" s="2" t="str">
        <f t="shared" si="8"/>
        <v>N.A.</v>
      </c>
      <c r="D115" s="1" t="s">
        <v>16</v>
      </c>
      <c r="E115" s="44">
        <f>805.404106548827*(0.9)</f>
        <v>724.8636958939444</v>
      </c>
      <c r="F115" s="44"/>
      <c r="G115" s="44"/>
      <c r="H115" s="44"/>
      <c r="I115" s="44"/>
      <c r="J115" s="44"/>
      <c r="K115" s="44"/>
      <c r="L115" s="44"/>
      <c r="M115" s="44"/>
      <c r="N115" s="44"/>
      <c r="O115" s="44"/>
      <c r="P115" s="44"/>
      <c r="Q115" s="44"/>
      <c r="R115" s="44"/>
      <c r="S115" s="44"/>
      <c r="T115" s="44"/>
      <c r="U115" s="44"/>
    </row>
    <row r="116" spans="1:21" x14ac:dyDescent="0.55000000000000004">
      <c r="A116" s="1" t="str">
        <f>'Population Definitions'!$A$4</f>
        <v>Gen 15-64</v>
      </c>
      <c r="B116" s="1" t="s">
        <v>14</v>
      </c>
      <c r="C116" s="2" t="str">
        <f t="shared" si="8"/>
        <v>N.A.</v>
      </c>
      <c r="D116" s="1" t="s">
        <v>16</v>
      </c>
      <c r="E116" s="44">
        <f>2818.63101299434*(0.9)</f>
        <v>2536.7679116949062</v>
      </c>
      <c r="F116" s="44"/>
      <c r="G116" s="44"/>
      <c r="H116" s="44"/>
      <c r="I116" s="44"/>
      <c r="J116" s="44"/>
      <c r="K116" s="44"/>
      <c r="L116" s="44"/>
      <c r="M116" s="44"/>
      <c r="N116" s="44"/>
      <c r="O116" s="44"/>
      <c r="P116" s="44"/>
      <c r="Q116" s="44"/>
      <c r="R116" s="44"/>
      <c r="S116" s="44"/>
      <c r="T116" s="44"/>
      <c r="U116" s="44"/>
    </row>
    <row r="117" spans="1:21" x14ac:dyDescent="0.55000000000000004">
      <c r="A117" s="1" t="str">
        <f>'Population Definitions'!$A$5</f>
        <v>Gen 65+</v>
      </c>
      <c r="B117" s="1" t="s">
        <v>14</v>
      </c>
      <c r="C117" s="2" t="str">
        <f t="shared" si="8"/>
        <v>N.A.</v>
      </c>
      <c r="D117" s="1" t="s">
        <v>16</v>
      </c>
      <c r="E117" s="44">
        <f>194.392609454047*(0.9)</f>
        <v>174.95334850864231</v>
      </c>
      <c r="F117" s="44"/>
      <c r="G117" s="44"/>
      <c r="H117" s="44"/>
      <c r="I117" s="44"/>
      <c r="J117" s="44"/>
      <c r="K117" s="44"/>
      <c r="L117" s="44"/>
      <c r="M117" s="44"/>
      <c r="N117" s="44"/>
      <c r="O117" s="44"/>
      <c r="P117" s="44"/>
      <c r="Q117" s="44"/>
      <c r="R117" s="44"/>
      <c r="S117" s="44"/>
      <c r="T117" s="44"/>
      <c r="U117" s="44"/>
    </row>
    <row r="118" spans="1:21" x14ac:dyDescent="0.55000000000000004">
      <c r="A118" s="1" t="str">
        <f>'Population Definitions'!$A$6</f>
        <v>PLHIV 15-64</v>
      </c>
      <c r="B118" s="1" t="s">
        <v>14</v>
      </c>
      <c r="C118" s="2" t="str">
        <f t="shared" si="8"/>
        <v>N.A.</v>
      </c>
      <c r="D118" s="1" t="s">
        <v>16</v>
      </c>
      <c r="E118" s="44">
        <f>15206.7781463765*(0.9)</f>
        <v>13686.100331738851</v>
      </c>
      <c r="F118" s="44"/>
      <c r="G118" s="44"/>
      <c r="H118" s="44"/>
      <c r="I118" s="44"/>
      <c r="J118" s="44"/>
      <c r="K118" s="44"/>
      <c r="L118" s="44"/>
      <c r="M118" s="44"/>
      <c r="N118" s="44"/>
      <c r="O118" s="44"/>
      <c r="P118" s="44"/>
      <c r="Q118" s="44"/>
      <c r="R118" s="44"/>
      <c r="S118" s="44"/>
      <c r="T118" s="44"/>
      <c r="U118" s="44"/>
    </row>
    <row r="119" spans="1:21" x14ac:dyDescent="0.55000000000000004">
      <c r="A119" s="1" t="str">
        <f>'Population Definitions'!$A$7</f>
        <v>PLHIV 65+</v>
      </c>
      <c r="B119" s="1" t="s">
        <v>14</v>
      </c>
      <c r="C119" s="2" t="str">
        <f t="shared" si="8"/>
        <v>N.A.</v>
      </c>
      <c r="D119" s="1" t="s">
        <v>16</v>
      </c>
      <c r="E119" s="44">
        <f>91.2626236514472*(0.9)</f>
        <v>82.136361286302488</v>
      </c>
      <c r="F119" s="44"/>
      <c r="G119" s="44"/>
      <c r="H119" s="44"/>
      <c r="I119" s="44"/>
      <c r="J119" s="44"/>
      <c r="K119" s="44"/>
      <c r="L119" s="44"/>
      <c r="M119" s="44"/>
      <c r="N119" s="44"/>
      <c r="O119" s="44"/>
      <c r="P119" s="44"/>
      <c r="Q119" s="44"/>
      <c r="R119" s="44"/>
      <c r="S119" s="44"/>
      <c r="T119" s="44"/>
      <c r="U119" s="44"/>
    </row>
    <row r="120" spans="1:21" x14ac:dyDescent="0.55000000000000004">
      <c r="A120" s="1" t="str">
        <f>'Population Definitions'!$A$8</f>
        <v>Prisoners</v>
      </c>
      <c r="B120" s="1" t="s">
        <v>14</v>
      </c>
      <c r="C120" s="2" t="str">
        <f t="shared" si="8"/>
        <v>N.A.</v>
      </c>
      <c r="D120" s="1" t="s">
        <v>16</v>
      </c>
      <c r="E120" s="44">
        <f>48.5478819520103*(0.9)</f>
        <v>43.693093756809269</v>
      </c>
      <c r="F120" s="44"/>
      <c r="G120" s="44"/>
      <c r="H120" s="44"/>
      <c r="I120" s="44"/>
      <c r="J120" s="44"/>
      <c r="K120" s="44"/>
      <c r="L120" s="44"/>
      <c r="M120" s="44"/>
      <c r="N120" s="44"/>
      <c r="O120" s="44"/>
      <c r="P120" s="44"/>
      <c r="Q120" s="44"/>
      <c r="R120" s="44"/>
      <c r="S120" s="44"/>
      <c r="T120" s="44"/>
      <c r="U120" s="44"/>
    </row>
    <row r="121" spans="1:21" x14ac:dyDescent="0.55000000000000004">
      <c r="A121" s="1" t="str">
        <f>'Population Definitions'!$A$9</f>
        <v>PLHIV Prisoners</v>
      </c>
      <c r="B121" s="1" t="s">
        <v>14</v>
      </c>
      <c r="C121" s="2" t="str">
        <f t="shared" si="8"/>
        <v>N.A.</v>
      </c>
      <c r="D121" s="1" t="s">
        <v>16</v>
      </c>
      <c r="E121" s="44">
        <f>270.622540053052*(0.9)</f>
        <v>243.56028604774679</v>
      </c>
      <c r="F121" s="44"/>
      <c r="G121" s="44"/>
      <c r="H121" s="44"/>
      <c r="I121" s="44"/>
      <c r="J121" s="44"/>
      <c r="K121" s="44"/>
      <c r="L121" s="44"/>
      <c r="M121" s="44"/>
      <c r="N121" s="44"/>
      <c r="O121" s="44"/>
      <c r="P121" s="44"/>
      <c r="Q121" s="44"/>
      <c r="R121" s="44"/>
      <c r="S121" s="44"/>
      <c r="T121" s="44"/>
      <c r="U121" s="44"/>
    </row>
    <row r="122" spans="1:21" x14ac:dyDescent="0.55000000000000004">
      <c r="A122" s="1" t="str">
        <f>'Population Definitions'!$A$10</f>
        <v>HCW</v>
      </c>
      <c r="B122" s="1" t="s">
        <v>14</v>
      </c>
      <c r="C122" s="2">
        <f t="shared" si="8"/>
        <v>0</v>
      </c>
      <c r="D122" s="1" t="s">
        <v>16</v>
      </c>
      <c r="E122" s="44"/>
      <c r="F122" s="44"/>
      <c r="G122" s="44"/>
      <c r="H122" s="44"/>
      <c r="I122" s="44"/>
      <c r="J122" s="44"/>
      <c r="K122" s="44"/>
      <c r="L122" s="44"/>
      <c r="M122" s="44"/>
      <c r="N122" s="44"/>
      <c r="O122" s="44"/>
      <c r="P122" s="44"/>
      <c r="Q122" s="44"/>
      <c r="R122" s="44"/>
      <c r="S122" s="44"/>
      <c r="T122" s="44"/>
      <c r="U122" s="44"/>
    </row>
    <row r="123" spans="1:21" x14ac:dyDescent="0.55000000000000004">
      <c r="A123" s="1" t="str">
        <f>'Population Definitions'!$A$11</f>
        <v>PLHIV HCW</v>
      </c>
      <c r="B123" s="1" t="s">
        <v>14</v>
      </c>
      <c r="C123" s="2">
        <f t="shared" si="8"/>
        <v>0</v>
      </c>
      <c r="D123" s="1" t="s">
        <v>16</v>
      </c>
      <c r="E123" s="44"/>
      <c r="F123" s="44"/>
      <c r="G123" s="44"/>
      <c r="H123" s="44"/>
      <c r="I123" s="44"/>
      <c r="J123" s="44"/>
      <c r="K123" s="44"/>
      <c r="L123" s="44"/>
      <c r="M123" s="44"/>
      <c r="N123" s="44"/>
      <c r="O123" s="44"/>
      <c r="P123" s="44"/>
      <c r="Q123" s="44"/>
      <c r="R123" s="44"/>
      <c r="S123" s="44"/>
      <c r="T123" s="44"/>
      <c r="U123" s="44"/>
    </row>
    <row r="124" spans="1:21" x14ac:dyDescent="0.55000000000000004">
      <c r="A124" s="1" t="str">
        <f>'Population Definitions'!$A$12</f>
        <v>Miners</v>
      </c>
      <c r="B124" s="1" t="s">
        <v>14</v>
      </c>
      <c r="C124" s="2">
        <f t="shared" si="8"/>
        <v>0</v>
      </c>
      <c r="D124" s="1" t="s">
        <v>16</v>
      </c>
      <c r="E124" s="44"/>
      <c r="F124" s="44"/>
      <c r="G124" s="44"/>
      <c r="H124" s="44"/>
      <c r="I124" s="44"/>
      <c r="J124" s="44"/>
      <c r="K124" s="44"/>
      <c r="L124" s="44"/>
      <c r="M124" s="44"/>
      <c r="N124" s="44"/>
      <c r="O124" s="44"/>
      <c r="P124" s="44"/>
      <c r="Q124" s="44"/>
      <c r="R124" s="44"/>
      <c r="S124" s="44"/>
      <c r="T124" s="44"/>
      <c r="U124" s="44"/>
    </row>
    <row r="125" spans="1:21" x14ac:dyDescent="0.55000000000000004">
      <c r="A125" s="1" t="str">
        <f>'Population Definitions'!$A$13</f>
        <v>PLHIV Miners</v>
      </c>
      <c r="B125" s="1" t="s">
        <v>14</v>
      </c>
      <c r="C125" s="2">
        <f t="shared" si="8"/>
        <v>0</v>
      </c>
      <c r="D125" s="1" t="s">
        <v>16</v>
      </c>
      <c r="E125" s="44"/>
      <c r="F125" s="44"/>
      <c r="G125" s="44"/>
      <c r="H125" s="44"/>
      <c r="I125" s="44"/>
      <c r="J125" s="44"/>
      <c r="K125" s="44"/>
      <c r="L125" s="44"/>
      <c r="M125" s="44"/>
      <c r="N125" s="44"/>
      <c r="O125" s="44"/>
      <c r="P125" s="44"/>
      <c r="Q125" s="44"/>
      <c r="R125" s="44"/>
      <c r="S125" s="44"/>
      <c r="T125" s="44"/>
      <c r="U125" s="44"/>
    </row>
    <row r="126" spans="1:21" x14ac:dyDescent="0.55000000000000004">
      <c r="E126" s="37"/>
      <c r="F126" s="37"/>
      <c r="G126" s="37"/>
      <c r="H126" s="37"/>
      <c r="I126" s="37"/>
      <c r="J126" s="37"/>
      <c r="K126" s="37"/>
      <c r="L126" s="37"/>
      <c r="M126" s="37"/>
      <c r="N126" s="37"/>
      <c r="O126" s="37"/>
      <c r="P126" s="37"/>
      <c r="Q126" s="37"/>
      <c r="R126" s="37"/>
      <c r="S126" s="37"/>
      <c r="T126" s="37"/>
      <c r="U126" s="37"/>
    </row>
    <row r="127" spans="1:21" x14ac:dyDescent="0.55000000000000004">
      <c r="A127" s="21" t="s">
        <v>79</v>
      </c>
      <c r="B127" s="1" t="s">
        <v>8</v>
      </c>
      <c r="C127" s="1" t="s">
        <v>9</v>
      </c>
      <c r="D127" s="1"/>
      <c r="E127" s="41">
        <v>2000</v>
      </c>
      <c r="F127" s="41">
        <v>2001</v>
      </c>
      <c r="G127" s="41">
        <v>2002</v>
      </c>
      <c r="H127" s="41">
        <v>2003</v>
      </c>
      <c r="I127" s="41">
        <v>2004</v>
      </c>
      <c r="J127" s="41">
        <v>2005</v>
      </c>
      <c r="K127" s="41">
        <v>2006</v>
      </c>
      <c r="L127" s="41">
        <v>2007</v>
      </c>
      <c r="M127" s="41">
        <v>2008</v>
      </c>
      <c r="N127" s="41">
        <v>2009</v>
      </c>
      <c r="O127" s="41">
        <v>2010</v>
      </c>
      <c r="P127" s="41">
        <v>2011</v>
      </c>
      <c r="Q127" s="41">
        <v>2012</v>
      </c>
      <c r="R127" s="41">
        <v>2013</v>
      </c>
      <c r="S127" s="41">
        <v>2014</v>
      </c>
      <c r="T127" s="41">
        <v>2015</v>
      </c>
      <c r="U127" s="41">
        <v>2016</v>
      </c>
    </row>
    <row r="128" spans="1:21" x14ac:dyDescent="0.55000000000000004">
      <c r="A128" s="1" t="str">
        <f>'Population Definitions'!$A$2</f>
        <v>Gen 0-4</v>
      </c>
      <c r="B128" s="1" t="s">
        <v>14</v>
      </c>
      <c r="C128" s="2" t="str">
        <f t="shared" ref="C128:C139" si="9">IF(SUMPRODUCT(--(E128:U128&lt;&gt;""))=0,0,"N.A.")</f>
        <v>N.A.</v>
      </c>
      <c r="D128" s="1" t="s">
        <v>16</v>
      </c>
      <c r="E128" s="37">
        <f>0.569224096587*(0.9)</f>
        <v>0.51230168692830003</v>
      </c>
      <c r="F128" s="44"/>
      <c r="G128" s="44"/>
      <c r="H128" s="44"/>
      <c r="I128" s="44"/>
      <c r="J128" s="44"/>
      <c r="K128" s="44"/>
      <c r="L128" s="44"/>
      <c r="M128" s="44"/>
      <c r="N128" s="44"/>
      <c r="O128" s="44"/>
      <c r="P128" s="44"/>
      <c r="Q128" s="44"/>
      <c r="R128" s="44"/>
      <c r="S128" s="44"/>
      <c r="T128" s="44"/>
      <c r="U128" s="44"/>
    </row>
    <row r="129" spans="1:21" x14ac:dyDescent="0.55000000000000004">
      <c r="A129" s="1" t="str">
        <f>'Population Definitions'!$A$3</f>
        <v>Gen 5-14</v>
      </c>
      <c r="B129" s="1" t="s">
        <v>14</v>
      </c>
      <c r="C129" s="2" t="str">
        <f t="shared" si="9"/>
        <v>N.A.</v>
      </c>
      <c r="D129" s="1" t="s">
        <v>16</v>
      </c>
      <c r="E129" s="37">
        <f>0.50646746997*(0.9)</f>
        <v>0.45582072297300003</v>
      </c>
      <c r="F129" s="44"/>
      <c r="G129" s="44"/>
      <c r="H129" s="44"/>
      <c r="I129" s="44"/>
      <c r="J129" s="44"/>
      <c r="K129" s="44"/>
      <c r="L129" s="44"/>
      <c r="M129" s="44"/>
      <c r="N129" s="44"/>
      <c r="O129" s="44"/>
      <c r="P129" s="44"/>
      <c r="Q129" s="44"/>
      <c r="R129" s="44"/>
      <c r="S129" s="44"/>
      <c r="T129" s="44"/>
      <c r="U129" s="44"/>
    </row>
    <row r="130" spans="1:21" x14ac:dyDescent="0.55000000000000004">
      <c r="A130" s="1" t="str">
        <f>'Population Definitions'!$A$4</f>
        <v>Gen 15-64</v>
      </c>
      <c r="B130" s="1" t="s">
        <v>14</v>
      </c>
      <c r="C130" s="2" t="str">
        <f t="shared" si="9"/>
        <v>N.A.</v>
      </c>
      <c r="D130" s="1" t="s">
        <v>16</v>
      </c>
      <c r="E130" s="37">
        <f>148.8939575409*(0.9)</f>
        <v>134.00456178681</v>
      </c>
      <c r="F130" s="44"/>
      <c r="G130" s="44"/>
      <c r="H130" s="44"/>
      <c r="I130" s="44"/>
      <c r="J130" s="44"/>
      <c r="K130" s="44"/>
      <c r="L130" s="44"/>
      <c r="M130" s="44"/>
      <c r="N130" s="44"/>
      <c r="O130" s="44"/>
      <c r="P130" s="44"/>
      <c r="Q130" s="44"/>
      <c r="R130" s="44"/>
      <c r="S130" s="44"/>
      <c r="T130" s="44"/>
      <c r="U130" s="44"/>
    </row>
    <row r="131" spans="1:21" x14ac:dyDescent="0.55000000000000004">
      <c r="A131" s="1" t="str">
        <f>'Population Definitions'!$A$5</f>
        <v>Gen 65+</v>
      </c>
      <c r="B131" s="1" t="s">
        <v>14</v>
      </c>
      <c r="C131" s="2" t="str">
        <f t="shared" si="9"/>
        <v>N.A.</v>
      </c>
      <c r="D131" s="1" t="s">
        <v>16</v>
      </c>
      <c r="E131" s="37">
        <f>0.536390735004*(0.9)</f>
        <v>0.48275166150360005</v>
      </c>
      <c r="F131" s="44"/>
      <c r="G131" s="44"/>
      <c r="H131" s="44"/>
      <c r="I131" s="44"/>
      <c r="J131" s="44"/>
      <c r="K131" s="44"/>
      <c r="L131" s="44"/>
      <c r="M131" s="44"/>
      <c r="N131" s="44"/>
      <c r="O131" s="44"/>
      <c r="P131" s="44"/>
      <c r="Q131" s="44"/>
      <c r="R131" s="44"/>
      <c r="S131" s="44"/>
      <c r="T131" s="44"/>
      <c r="U131" s="44"/>
    </row>
    <row r="132" spans="1:21" x14ac:dyDescent="0.55000000000000004">
      <c r="A132" s="1" t="str">
        <f>'Population Definitions'!$A$6</f>
        <v>PLHIV 15-64</v>
      </c>
      <c r="B132" s="1" t="s">
        <v>14</v>
      </c>
      <c r="C132" s="2" t="str">
        <f t="shared" si="9"/>
        <v>N.A.</v>
      </c>
      <c r="D132" s="1" t="s">
        <v>16</v>
      </c>
      <c r="E132" s="37">
        <f>0.6018661136*(0.9)</f>
        <v>0.54167950223999994</v>
      </c>
      <c r="F132" s="44"/>
      <c r="G132" s="44"/>
      <c r="H132" s="44"/>
      <c r="I132" s="44"/>
      <c r="J132" s="44"/>
      <c r="K132" s="44"/>
      <c r="L132" s="44"/>
      <c r="M132" s="44"/>
      <c r="N132" s="44"/>
      <c r="O132" s="44"/>
      <c r="P132" s="44"/>
      <c r="Q132" s="44"/>
      <c r="R132" s="44"/>
      <c r="S132" s="44"/>
      <c r="T132" s="44"/>
      <c r="U132" s="44"/>
    </row>
    <row r="133" spans="1:21" x14ac:dyDescent="0.55000000000000004">
      <c r="A133" s="1" t="str">
        <f>'Population Definitions'!$A$7</f>
        <v>PLHIV 65+</v>
      </c>
      <c r="B133" s="1" t="s">
        <v>14</v>
      </c>
      <c r="C133" s="2" t="str">
        <f t="shared" si="9"/>
        <v>N.A.</v>
      </c>
      <c r="D133" s="1" t="s">
        <v>16</v>
      </c>
      <c r="E133" s="37">
        <f>0.269610369588*(0.9)</f>
        <v>0.24264933262919999</v>
      </c>
      <c r="F133" s="44"/>
      <c r="G133" s="44"/>
      <c r="H133" s="44"/>
      <c r="I133" s="44"/>
      <c r="J133" s="44"/>
      <c r="K133" s="44"/>
      <c r="L133" s="44"/>
      <c r="M133" s="44"/>
      <c r="N133" s="44"/>
      <c r="O133" s="44"/>
      <c r="P133" s="44"/>
      <c r="Q133" s="44"/>
      <c r="R133" s="44"/>
      <c r="S133" s="44"/>
      <c r="T133" s="44"/>
      <c r="U133" s="44"/>
    </row>
    <row r="134" spans="1:21" x14ac:dyDescent="0.55000000000000004">
      <c r="A134" s="1" t="str">
        <f>'Population Definitions'!$A$8</f>
        <v>Prisoners</v>
      </c>
      <c r="B134" s="1" t="s">
        <v>14</v>
      </c>
      <c r="C134" s="2">
        <f t="shared" si="9"/>
        <v>0</v>
      </c>
      <c r="D134" s="1" t="s">
        <v>16</v>
      </c>
      <c r="E134" s="44"/>
      <c r="F134" s="44"/>
      <c r="G134" s="44"/>
      <c r="H134" s="44"/>
      <c r="I134" s="44"/>
      <c r="J134" s="44"/>
      <c r="K134" s="44"/>
      <c r="L134" s="44"/>
      <c r="M134" s="44"/>
      <c r="N134" s="44"/>
      <c r="O134" s="44"/>
      <c r="P134" s="44"/>
      <c r="Q134" s="44"/>
      <c r="R134" s="44"/>
      <c r="S134" s="44"/>
      <c r="T134" s="44"/>
      <c r="U134" s="44"/>
    </row>
    <row r="135" spans="1:21" x14ac:dyDescent="0.55000000000000004">
      <c r="A135" s="1" t="str">
        <f>'Population Definitions'!$A$9</f>
        <v>PLHIV Prisoners</v>
      </c>
      <c r="B135" s="1" t="s">
        <v>14</v>
      </c>
      <c r="C135" s="2">
        <f t="shared" si="9"/>
        <v>0</v>
      </c>
      <c r="D135" s="1" t="s">
        <v>16</v>
      </c>
      <c r="E135" s="44"/>
      <c r="F135" s="44"/>
      <c r="G135" s="44"/>
      <c r="H135" s="44"/>
      <c r="I135" s="44"/>
      <c r="J135" s="44"/>
      <c r="K135" s="44"/>
      <c r="L135" s="44"/>
      <c r="M135" s="44"/>
      <c r="N135" s="44"/>
      <c r="O135" s="44"/>
      <c r="P135" s="44"/>
      <c r="Q135" s="44"/>
      <c r="R135" s="44"/>
      <c r="S135" s="44"/>
      <c r="T135" s="44"/>
      <c r="U135" s="44"/>
    </row>
    <row r="136" spans="1:21" x14ac:dyDescent="0.55000000000000004">
      <c r="A136" s="1" t="str">
        <f>'Population Definitions'!$A$10</f>
        <v>HCW</v>
      </c>
      <c r="B136" s="1" t="s">
        <v>14</v>
      </c>
      <c r="C136" s="2">
        <f t="shared" si="9"/>
        <v>0</v>
      </c>
      <c r="D136" s="1" t="s">
        <v>16</v>
      </c>
      <c r="E136" s="44"/>
      <c r="F136" s="44"/>
      <c r="G136" s="44"/>
      <c r="H136" s="44"/>
      <c r="I136" s="44"/>
      <c r="J136" s="44"/>
      <c r="K136" s="44"/>
      <c r="L136" s="44"/>
      <c r="M136" s="44"/>
      <c r="N136" s="44"/>
      <c r="O136" s="44"/>
      <c r="P136" s="44"/>
      <c r="Q136" s="44"/>
      <c r="R136" s="44"/>
      <c r="S136" s="44"/>
      <c r="T136" s="44"/>
      <c r="U136" s="44"/>
    </row>
    <row r="137" spans="1:21" x14ac:dyDescent="0.55000000000000004">
      <c r="A137" s="1" t="str">
        <f>'Population Definitions'!$A$11</f>
        <v>PLHIV HCW</v>
      </c>
      <c r="B137" s="1" t="s">
        <v>14</v>
      </c>
      <c r="C137" s="2">
        <f t="shared" si="9"/>
        <v>0</v>
      </c>
      <c r="D137" s="1" t="s">
        <v>16</v>
      </c>
      <c r="E137" s="44"/>
      <c r="F137" s="44"/>
      <c r="G137" s="44"/>
      <c r="H137" s="44"/>
      <c r="I137" s="44"/>
      <c r="J137" s="44"/>
      <c r="K137" s="44"/>
      <c r="L137" s="44"/>
      <c r="M137" s="44"/>
      <c r="N137" s="44"/>
      <c r="O137" s="44"/>
      <c r="P137" s="44"/>
      <c r="Q137" s="44"/>
      <c r="R137" s="44"/>
      <c r="S137" s="44"/>
      <c r="T137" s="44"/>
      <c r="U137" s="44"/>
    </row>
    <row r="138" spans="1:21" x14ac:dyDescent="0.55000000000000004">
      <c r="A138" s="1" t="str">
        <f>'Population Definitions'!$A$12</f>
        <v>Miners</v>
      </c>
      <c r="B138" s="1" t="s">
        <v>14</v>
      </c>
      <c r="C138" s="2">
        <f t="shared" si="9"/>
        <v>0</v>
      </c>
      <c r="D138" s="1" t="s">
        <v>16</v>
      </c>
      <c r="E138" s="44"/>
      <c r="F138" s="44"/>
      <c r="G138" s="44"/>
      <c r="H138" s="44"/>
      <c r="I138" s="44"/>
      <c r="J138" s="44"/>
      <c r="K138" s="44"/>
      <c r="L138" s="44"/>
      <c r="M138" s="44"/>
      <c r="N138" s="44"/>
      <c r="O138" s="44"/>
      <c r="P138" s="44"/>
      <c r="Q138" s="44"/>
      <c r="R138" s="44"/>
      <c r="S138" s="44"/>
      <c r="T138" s="44"/>
      <c r="U138" s="44"/>
    </row>
    <row r="139" spans="1:21" x14ac:dyDescent="0.55000000000000004">
      <c r="A139" s="1" t="str">
        <f>'Population Definitions'!$A$13</f>
        <v>PLHIV Miners</v>
      </c>
      <c r="B139" s="1" t="s">
        <v>14</v>
      </c>
      <c r="C139" s="2">
        <f t="shared" si="9"/>
        <v>0</v>
      </c>
      <c r="D139" s="1" t="s">
        <v>16</v>
      </c>
      <c r="E139" s="44"/>
      <c r="F139" s="44"/>
      <c r="G139" s="44"/>
      <c r="H139" s="44"/>
      <c r="I139" s="44"/>
      <c r="J139" s="44"/>
      <c r="K139" s="44"/>
      <c r="L139" s="44"/>
      <c r="M139" s="44"/>
      <c r="N139" s="44"/>
      <c r="O139" s="44"/>
      <c r="P139" s="44"/>
      <c r="Q139" s="44"/>
      <c r="R139" s="44"/>
      <c r="S139" s="44"/>
      <c r="T139" s="44"/>
      <c r="U139" s="44"/>
    </row>
    <row r="140" spans="1:21" x14ac:dyDescent="0.55000000000000004">
      <c r="E140" s="37"/>
      <c r="F140" s="37"/>
      <c r="G140" s="37"/>
      <c r="H140" s="37"/>
      <c r="I140" s="37"/>
      <c r="J140" s="37"/>
      <c r="K140" s="37"/>
      <c r="L140" s="37"/>
      <c r="M140" s="37"/>
      <c r="N140" s="37"/>
      <c r="O140" s="37"/>
      <c r="P140" s="37"/>
      <c r="Q140" s="37"/>
      <c r="R140" s="37"/>
      <c r="S140" s="37"/>
      <c r="T140" s="37"/>
      <c r="U140" s="37"/>
    </row>
    <row r="141" spans="1:21" x14ac:dyDescent="0.55000000000000004">
      <c r="A141" s="21" t="s">
        <v>83</v>
      </c>
      <c r="B141" s="1" t="s">
        <v>8</v>
      </c>
      <c r="C141" s="1" t="s">
        <v>9</v>
      </c>
      <c r="D141" s="1"/>
      <c r="E141" s="41">
        <v>2000</v>
      </c>
      <c r="F141" s="41">
        <v>2001</v>
      </c>
      <c r="G141" s="41">
        <v>2002</v>
      </c>
      <c r="H141" s="41">
        <v>2003</v>
      </c>
      <c r="I141" s="41">
        <v>2004</v>
      </c>
      <c r="J141" s="41">
        <v>2005</v>
      </c>
      <c r="K141" s="41">
        <v>2006</v>
      </c>
      <c r="L141" s="41">
        <v>2007</v>
      </c>
      <c r="M141" s="41">
        <v>2008</v>
      </c>
      <c r="N141" s="41">
        <v>2009</v>
      </c>
      <c r="O141" s="41">
        <v>2010</v>
      </c>
      <c r="P141" s="41">
        <v>2011</v>
      </c>
      <c r="Q141" s="41">
        <v>2012</v>
      </c>
      <c r="R141" s="41">
        <v>2013</v>
      </c>
      <c r="S141" s="41">
        <v>2014</v>
      </c>
      <c r="T141" s="41">
        <v>2015</v>
      </c>
      <c r="U141" s="41">
        <v>2016</v>
      </c>
    </row>
    <row r="142" spans="1:21" x14ac:dyDescent="0.55000000000000004">
      <c r="A142" s="1" t="str">
        <f>'Population Definitions'!$A$2</f>
        <v>Gen 0-4</v>
      </c>
      <c r="B142" s="1" t="s">
        <v>14</v>
      </c>
      <c r="C142" s="2">
        <f t="shared" ref="C142:C153" si="10">IF(SUMPRODUCT(--(E142:U142&lt;&gt;""))=0,0,"N.A.")</f>
        <v>0</v>
      </c>
      <c r="D142" s="1" t="s">
        <v>16</v>
      </c>
      <c r="E142" s="44"/>
      <c r="F142" s="44"/>
      <c r="G142" s="44"/>
      <c r="H142" s="44"/>
      <c r="I142" s="44"/>
      <c r="J142" s="44"/>
      <c r="K142" s="44"/>
      <c r="L142" s="44"/>
      <c r="M142" s="44"/>
      <c r="N142" s="44"/>
      <c r="O142" s="44"/>
      <c r="P142" s="44"/>
      <c r="Q142" s="44"/>
      <c r="R142" s="44"/>
      <c r="S142" s="44"/>
      <c r="T142" s="44"/>
      <c r="U142" s="44"/>
    </row>
    <row r="143" spans="1:21" x14ac:dyDescent="0.55000000000000004">
      <c r="A143" s="1" t="str">
        <f>'Population Definitions'!$A$3</f>
        <v>Gen 5-14</v>
      </c>
      <c r="B143" s="1" t="s">
        <v>14</v>
      </c>
      <c r="C143" s="2">
        <f t="shared" si="10"/>
        <v>0</v>
      </c>
      <c r="D143" s="1" t="s">
        <v>16</v>
      </c>
      <c r="E143" s="44"/>
      <c r="F143" s="44"/>
      <c r="G143" s="44"/>
      <c r="H143" s="44"/>
      <c r="I143" s="44"/>
      <c r="J143" s="44"/>
      <c r="K143" s="44"/>
      <c r="L143" s="44"/>
      <c r="M143" s="44"/>
      <c r="N143" s="44"/>
      <c r="O143" s="44"/>
      <c r="P143" s="44"/>
      <c r="Q143" s="44"/>
      <c r="R143" s="44"/>
      <c r="S143" s="44"/>
      <c r="T143" s="44"/>
      <c r="U143" s="44"/>
    </row>
    <row r="144" spans="1:21" x14ac:dyDescent="0.55000000000000004">
      <c r="A144" s="1" t="str">
        <f>'Population Definitions'!$A$4</f>
        <v>Gen 15-64</v>
      </c>
      <c r="B144" s="1" t="s">
        <v>14</v>
      </c>
      <c r="C144" s="2" t="str">
        <f t="shared" si="10"/>
        <v>N.A.</v>
      </c>
      <c r="D144" s="1" t="s">
        <v>16</v>
      </c>
      <c r="E144" s="37">
        <f>6.86202606531393*(0.9)</f>
        <v>6.1758234587825367</v>
      </c>
      <c r="F144" s="44"/>
      <c r="G144" s="44"/>
      <c r="H144" s="44"/>
      <c r="I144" s="44"/>
      <c r="J144" s="44"/>
      <c r="K144" s="44"/>
      <c r="L144" s="44"/>
      <c r="M144" s="44"/>
      <c r="N144" s="44"/>
      <c r="O144" s="44"/>
      <c r="P144" s="44"/>
      <c r="Q144" s="44"/>
      <c r="R144" s="44"/>
      <c r="S144" s="44"/>
      <c r="T144" s="44"/>
      <c r="U144" s="44"/>
    </row>
    <row r="145" spans="1:21" x14ac:dyDescent="0.55000000000000004">
      <c r="A145" s="1" t="str">
        <f>'Population Definitions'!$A$5</f>
        <v>Gen 65+</v>
      </c>
      <c r="B145" s="1" t="s">
        <v>14</v>
      </c>
      <c r="C145" s="2">
        <f t="shared" si="10"/>
        <v>0</v>
      </c>
      <c r="D145" s="1" t="s">
        <v>16</v>
      </c>
      <c r="E145" s="43"/>
      <c r="F145" s="44"/>
      <c r="G145" s="44"/>
      <c r="H145" s="44"/>
      <c r="I145" s="44"/>
      <c r="J145" s="44"/>
      <c r="K145" s="44"/>
      <c r="L145" s="44"/>
      <c r="M145" s="44"/>
      <c r="N145" s="44"/>
      <c r="O145" s="44"/>
      <c r="P145" s="44"/>
      <c r="Q145" s="44"/>
      <c r="R145" s="44"/>
      <c r="S145" s="44"/>
      <c r="T145" s="44"/>
      <c r="U145" s="44"/>
    </row>
    <row r="146" spans="1:21" x14ac:dyDescent="0.55000000000000004">
      <c r="A146" s="1" t="str">
        <f>'Population Definitions'!$A$6</f>
        <v>PLHIV 15-64</v>
      </c>
      <c r="B146" s="1" t="s">
        <v>14</v>
      </c>
      <c r="C146" s="2" t="str">
        <f t="shared" si="10"/>
        <v>N.A.</v>
      </c>
      <c r="D146" s="1" t="s">
        <v>16</v>
      </c>
      <c r="E146" s="37">
        <f>4.7*(0.9)</f>
        <v>4.2300000000000004</v>
      </c>
      <c r="F146" s="44"/>
      <c r="G146" s="44"/>
      <c r="H146" s="44"/>
      <c r="I146" s="44"/>
      <c r="J146" s="44"/>
      <c r="K146" s="44"/>
      <c r="L146" s="44"/>
      <c r="M146" s="44"/>
      <c r="N146" s="44"/>
      <c r="O146" s="44"/>
      <c r="P146" s="44"/>
      <c r="Q146" s="44"/>
      <c r="R146" s="44"/>
      <c r="S146" s="44"/>
      <c r="T146" s="44"/>
      <c r="U146" s="44"/>
    </row>
    <row r="147" spans="1:21" x14ac:dyDescent="0.55000000000000004">
      <c r="A147" s="1" t="str">
        <f>'Population Definitions'!$A$7</f>
        <v>PLHIV 65+</v>
      </c>
      <c r="B147" s="1" t="s">
        <v>14</v>
      </c>
      <c r="C147" s="2">
        <f t="shared" si="10"/>
        <v>0</v>
      </c>
      <c r="D147" s="1" t="s">
        <v>16</v>
      </c>
      <c r="E147" s="44"/>
      <c r="F147" s="44"/>
      <c r="G147" s="44"/>
      <c r="H147" s="44"/>
      <c r="I147" s="44"/>
      <c r="J147" s="44"/>
      <c r="K147" s="44"/>
      <c r="L147" s="44"/>
      <c r="M147" s="44"/>
      <c r="N147" s="44"/>
      <c r="O147" s="44"/>
      <c r="P147" s="44"/>
      <c r="Q147" s="44"/>
      <c r="R147" s="44"/>
      <c r="S147" s="44"/>
      <c r="T147" s="44"/>
      <c r="U147" s="44"/>
    </row>
    <row r="148" spans="1:21" x14ac:dyDescent="0.55000000000000004">
      <c r="A148" s="1" t="str">
        <f>'Population Definitions'!$A$8</f>
        <v>Prisoners</v>
      </c>
      <c r="B148" s="1" t="s">
        <v>14</v>
      </c>
      <c r="C148" s="2">
        <f t="shared" si="10"/>
        <v>0</v>
      </c>
      <c r="D148" s="1" t="s">
        <v>16</v>
      </c>
      <c r="E148" s="44"/>
      <c r="F148" s="44"/>
      <c r="G148" s="44"/>
      <c r="H148" s="44"/>
      <c r="I148" s="44"/>
      <c r="J148" s="44"/>
      <c r="K148" s="44"/>
      <c r="L148" s="44"/>
      <c r="M148" s="44"/>
      <c r="N148" s="44"/>
      <c r="O148" s="44"/>
      <c r="P148" s="44"/>
      <c r="Q148" s="44"/>
      <c r="R148" s="44"/>
      <c r="S148" s="44"/>
      <c r="T148" s="44"/>
      <c r="U148" s="44"/>
    </row>
    <row r="149" spans="1:21" x14ac:dyDescent="0.55000000000000004">
      <c r="A149" s="1" t="str">
        <f>'Population Definitions'!$A$9</f>
        <v>PLHIV Prisoners</v>
      </c>
      <c r="B149" s="1" t="s">
        <v>14</v>
      </c>
      <c r="C149" s="2">
        <f t="shared" si="10"/>
        <v>0</v>
      </c>
      <c r="D149" s="1" t="s">
        <v>16</v>
      </c>
      <c r="E149" s="44"/>
      <c r="F149" s="44"/>
      <c r="G149" s="44"/>
      <c r="H149" s="44"/>
      <c r="I149" s="44"/>
      <c r="J149" s="44"/>
      <c r="K149" s="44"/>
      <c r="L149" s="44"/>
      <c r="M149" s="44"/>
      <c r="N149" s="44"/>
      <c r="O149" s="44"/>
      <c r="P149" s="44"/>
      <c r="Q149" s="44"/>
      <c r="R149" s="44"/>
      <c r="S149" s="44"/>
      <c r="T149" s="44"/>
      <c r="U149" s="44"/>
    </row>
    <row r="150" spans="1:21" x14ac:dyDescent="0.55000000000000004">
      <c r="A150" s="1" t="str">
        <f>'Population Definitions'!$A$10</f>
        <v>HCW</v>
      </c>
      <c r="B150" s="1" t="s">
        <v>14</v>
      </c>
      <c r="C150" s="2">
        <f t="shared" si="10"/>
        <v>0</v>
      </c>
      <c r="D150" s="1" t="s">
        <v>16</v>
      </c>
      <c r="E150" s="44"/>
      <c r="F150" s="44"/>
      <c r="G150" s="44"/>
      <c r="H150" s="44"/>
      <c r="I150" s="44"/>
      <c r="J150" s="44"/>
      <c r="K150" s="44"/>
      <c r="L150" s="44"/>
      <c r="M150" s="44"/>
      <c r="N150" s="44"/>
      <c r="O150" s="44"/>
      <c r="P150" s="44"/>
      <c r="Q150" s="44"/>
      <c r="R150" s="44"/>
      <c r="S150" s="44"/>
      <c r="T150" s="44"/>
      <c r="U150" s="44"/>
    </row>
    <row r="151" spans="1:21" x14ac:dyDescent="0.55000000000000004">
      <c r="A151" s="1" t="str">
        <f>'Population Definitions'!$A$11</f>
        <v>PLHIV HCW</v>
      </c>
      <c r="B151" s="1" t="s">
        <v>14</v>
      </c>
      <c r="C151" s="2">
        <f t="shared" si="10"/>
        <v>0</v>
      </c>
      <c r="D151" s="1" t="s">
        <v>16</v>
      </c>
      <c r="E151" s="44"/>
      <c r="F151" s="44"/>
      <c r="G151" s="44"/>
      <c r="H151" s="44"/>
      <c r="I151" s="44"/>
      <c r="J151" s="44"/>
      <c r="K151" s="44"/>
      <c r="L151" s="44"/>
      <c r="M151" s="44"/>
      <c r="N151" s="44"/>
      <c r="O151" s="44"/>
      <c r="P151" s="44"/>
      <c r="Q151" s="44"/>
      <c r="R151" s="44"/>
      <c r="S151" s="44"/>
      <c r="T151" s="44"/>
      <c r="U151" s="44"/>
    </row>
    <row r="152" spans="1:21" x14ac:dyDescent="0.55000000000000004">
      <c r="A152" s="1" t="str">
        <f>'Population Definitions'!$A$12</f>
        <v>Miners</v>
      </c>
      <c r="B152" s="1" t="s">
        <v>14</v>
      </c>
      <c r="C152" s="2">
        <f t="shared" si="10"/>
        <v>0</v>
      </c>
      <c r="D152" s="1" t="s">
        <v>16</v>
      </c>
      <c r="E152" s="44"/>
      <c r="F152" s="44"/>
      <c r="G152" s="44"/>
      <c r="H152" s="44"/>
      <c r="I152" s="44"/>
      <c r="J152" s="44"/>
      <c r="K152" s="44"/>
      <c r="L152" s="44"/>
      <c r="M152" s="44"/>
      <c r="N152" s="44"/>
      <c r="O152" s="44"/>
      <c r="P152" s="44"/>
      <c r="Q152" s="44"/>
      <c r="R152" s="44"/>
      <c r="S152" s="44"/>
      <c r="T152" s="44"/>
      <c r="U152" s="44"/>
    </row>
    <row r="153" spans="1:21" x14ac:dyDescent="0.55000000000000004">
      <c r="A153" s="1" t="str">
        <f>'Population Definitions'!$A$13</f>
        <v>PLHIV Miners</v>
      </c>
      <c r="B153" s="1" t="s">
        <v>14</v>
      </c>
      <c r="C153" s="2">
        <f t="shared" si="10"/>
        <v>0</v>
      </c>
      <c r="D153" s="1" t="s">
        <v>16</v>
      </c>
      <c r="E153" s="44"/>
      <c r="F153" s="44"/>
      <c r="G153" s="44"/>
      <c r="H153" s="44"/>
      <c r="I153" s="44"/>
      <c r="J153" s="44"/>
      <c r="K153" s="44"/>
      <c r="L153" s="44"/>
      <c r="M153" s="44"/>
      <c r="N153" s="44"/>
      <c r="O153" s="44"/>
      <c r="P153" s="44"/>
      <c r="Q153" s="44"/>
      <c r="R153" s="44"/>
      <c r="S153" s="44"/>
      <c r="T153" s="44"/>
      <c r="U153" s="44"/>
    </row>
    <row r="154" spans="1:21" x14ac:dyDescent="0.55000000000000004">
      <c r="E154" s="37"/>
      <c r="F154" s="37"/>
      <c r="G154" s="37"/>
      <c r="H154" s="37"/>
      <c r="I154" s="37"/>
      <c r="J154" s="37"/>
      <c r="K154" s="37"/>
      <c r="L154" s="37"/>
      <c r="M154" s="37"/>
      <c r="N154" s="37"/>
      <c r="O154" s="37"/>
      <c r="P154" s="37"/>
      <c r="Q154" s="37"/>
      <c r="R154" s="37"/>
      <c r="S154" s="37"/>
      <c r="T154" s="37"/>
      <c r="U154" s="37"/>
    </row>
    <row r="155" spans="1:21" x14ac:dyDescent="0.55000000000000004">
      <c r="A155" s="21" t="s">
        <v>86</v>
      </c>
      <c r="B155" s="1" t="s">
        <v>8</v>
      </c>
      <c r="C155" s="1" t="s">
        <v>9</v>
      </c>
      <c r="D155" s="1"/>
      <c r="E155" s="41">
        <v>2000</v>
      </c>
      <c r="F155" s="41">
        <v>2001</v>
      </c>
      <c r="G155" s="41">
        <v>2002</v>
      </c>
      <c r="H155" s="41">
        <v>2003</v>
      </c>
      <c r="I155" s="41">
        <v>2004</v>
      </c>
      <c r="J155" s="41">
        <v>2005</v>
      </c>
      <c r="K155" s="41">
        <v>2006</v>
      </c>
      <c r="L155" s="41">
        <v>2007</v>
      </c>
      <c r="M155" s="41">
        <v>2008</v>
      </c>
      <c r="N155" s="41">
        <v>2009</v>
      </c>
      <c r="O155" s="41">
        <v>2010</v>
      </c>
      <c r="P155" s="41">
        <v>2011</v>
      </c>
      <c r="Q155" s="41">
        <v>2012</v>
      </c>
      <c r="R155" s="41">
        <v>2013</v>
      </c>
      <c r="S155" s="41">
        <v>2014</v>
      </c>
      <c r="T155" s="41">
        <v>2015</v>
      </c>
      <c r="U155" s="41">
        <v>2016</v>
      </c>
    </row>
    <row r="156" spans="1:21" x14ac:dyDescent="0.55000000000000004">
      <c r="A156" s="1" t="str">
        <f>'Population Definitions'!$A$2</f>
        <v>Gen 0-4</v>
      </c>
      <c r="B156" s="1" t="s">
        <v>14</v>
      </c>
      <c r="C156" s="2" t="str">
        <f t="shared" ref="C156:C167" si="11">IF(SUMPRODUCT(--(E156:U156&lt;&gt;""))=0,0,"N.A.")</f>
        <v>N.A.</v>
      </c>
      <c r="D156" s="1" t="s">
        <v>16</v>
      </c>
      <c r="E156" s="44">
        <v>279.59857804087704</v>
      </c>
      <c r="F156" s="44">
        <v>323.14613440903986</v>
      </c>
      <c r="G156" s="44">
        <v>366.89323938962229</v>
      </c>
      <c r="H156" s="44">
        <v>438.52990611046511</v>
      </c>
      <c r="I156" s="44">
        <v>532.25993113954507</v>
      </c>
      <c r="J156" s="44">
        <v>950.7088789510783</v>
      </c>
      <c r="K156" s="44">
        <v>1639.6793215006237</v>
      </c>
      <c r="L156" s="44">
        <v>2199.2187973895461</v>
      </c>
      <c r="M156" s="44">
        <v>3049.7516694719729</v>
      </c>
      <c r="N156" s="44">
        <v>3356.4715394023688</v>
      </c>
      <c r="O156" s="44">
        <v>3406.8842459878933</v>
      </c>
      <c r="P156" s="44">
        <v>3398.0277884396469</v>
      </c>
      <c r="Q156" s="44">
        <v>3451.4701944466347</v>
      </c>
      <c r="R156" s="44">
        <v>3663.6648788787825</v>
      </c>
      <c r="S156" s="44">
        <v>3161.914175866651</v>
      </c>
      <c r="T156" s="44"/>
      <c r="U156" s="44"/>
    </row>
    <row r="157" spans="1:21" x14ac:dyDescent="0.55000000000000004">
      <c r="A157" s="1" t="str">
        <f>'Population Definitions'!$A$3</f>
        <v>Gen 5-14</v>
      </c>
      <c r="B157" s="1" t="s">
        <v>14</v>
      </c>
      <c r="C157" s="2" t="str">
        <f t="shared" si="11"/>
        <v>N.A.</v>
      </c>
      <c r="D157" s="1" t="s">
        <v>16</v>
      </c>
      <c r="E157" s="44">
        <v>160.85896110825823</v>
      </c>
      <c r="F157" s="44">
        <v>185.91278908288351</v>
      </c>
      <c r="G157" s="44">
        <v>211.08142158444647</v>
      </c>
      <c r="H157" s="44">
        <v>195.43416958284558</v>
      </c>
      <c r="I157" s="44">
        <v>301.32061608847192</v>
      </c>
      <c r="J157" s="44">
        <v>436.38889606910686</v>
      </c>
      <c r="K157" s="44">
        <v>587.16516535726726</v>
      </c>
      <c r="L157" s="44">
        <v>690.02094925176493</v>
      </c>
      <c r="M157" s="44">
        <v>1027.6948303193808</v>
      </c>
      <c r="N157" s="44">
        <v>1115.1385966314638</v>
      </c>
      <c r="O157" s="44">
        <v>1332.1127081158909</v>
      </c>
      <c r="P157" s="44">
        <v>1396.038516022445</v>
      </c>
      <c r="Q157" s="44">
        <v>1489.7513693848628</v>
      </c>
      <c r="R157" s="44">
        <v>1402.040166103835</v>
      </c>
      <c r="S157" s="44">
        <v>1276.0848937160401</v>
      </c>
      <c r="T157" s="44"/>
      <c r="U157" s="44"/>
    </row>
    <row r="158" spans="1:21" x14ac:dyDescent="0.55000000000000004">
      <c r="A158" s="1" t="str">
        <f>'Population Definitions'!$A$4</f>
        <v>Gen 15-64</v>
      </c>
      <c r="B158" s="1" t="s">
        <v>14</v>
      </c>
      <c r="C158" s="2" t="str">
        <f t="shared" si="11"/>
        <v>N.A.</v>
      </c>
      <c r="D158" s="1" t="s">
        <v>16</v>
      </c>
      <c r="E158" s="44">
        <v>312.79762048584377</v>
      </c>
      <c r="F158" s="44">
        <v>361.51593695719225</v>
      </c>
      <c r="G158" s="44">
        <v>410.4574960915524</v>
      </c>
      <c r="H158" s="44">
        <v>508.32930372228498</v>
      </c>
      <c r="I158" s="44">
        <v>634.48141359499516</v>
      </c>
      <c r="J158" s="44">
        <v>763.77106011647209</v>
      </c>
      <c r="K158" s="44">
        <v>528.74691632784595</v>
      </c>
      <c r="L158" s="44">
        <v>1300.3750648668572</v>
      </c>
      <c r="M158" s="44">
        <v>1750.5367049608469</v>
      </c>
      <c r="N158" s="44">
        <v>2228.2435593650439</v>
      </c>
      <c r="O158" s="44">
        <v>2535.1996529293042</v>
      </c>
      <c r="P158" s="44">
        <v>2792.3757830768391</v>
      </c>
      <c r="Q158" s="44">
        <v>3124.6915310041895</v>
      </c>
      <c r="R158" s="44">
        <v>4216.7450300042119</v>
      </c>
      <c r="S158" s="44">
        <v>5885.8165222782691</v>
      </c>
      <c r="T158" s="44"/>
      <c r="U158" s="44"/>
    </row>
    <row r="159" spans="1:21" x14ac:dyDescent="0.55000000000000004">
      <c r="A159" s="1" t="str">
        <f>'Population Definitions'!$A$5</f>
        <v>Gen 65+</v>
      </c>
      <c r="B159" s="1" t="s">
        <v>14</v>
      </c>
      <c r="C159" s="2" t="str">
        <f t="shared" si="11"/>
        <v>N.A.</v>
      </c>
      <c r="D159" s="1" t="s">
        <v>16</v>
      </c>
      <c r="E159" s="44">
        <v>37.797604979410337</v>
      </c>
      <c r="F159" s="44">
        <v>43.68459247754339</v>
      </c>
      <c r="G159" s="44">
        <v>49.59855600566658</v>
      </c>
      <c r="H159" s="44">
        <v>64.086026826188572</v>
      </c>
      <c r="I159" s="44">
        <v>94.977839969866068</v>
      </c>
      <c r="J159" s="44">
        <v>116.12028351296753</v>
      </c>
      <c r="K159" s="44">
        <v>118.15878993967577</v>
      </c>
      <c r="L159" s="44">
        <v>174.77917698220483</v>
      </c>
      <c r="M159" s="44">
        <v>155.29724327316828</v>
      </c>
      <c r="N159" s="44">
        <v>296.87849875924928</v>
      </c>
      <c r="O159" s="44">
        <v>367.93889490176866</v>
      </c>
      <c r="P159" s="44">
        <v>338.05291678930934</v>
      </c>
      <c r="Q159" s="44">
        <v>399.1945143358858</v>
      </c>
      <c r="R159" s="44">
        <v>482.73572626140628</v>
      </c>
      <c r="S159" s="44">
        <v>689.55716837276611</v>
      </c>
      <c r="T159" s="44"/>
      <c r="U159" s="44"/>
    </row>
    <row r="160" spans="1:21" x14ac:dyDescent="0.55000000000000004">
      <c r="A160" s="1" t="str">
        <f>'Population Definitions'!$A$6</f>
        <v>PLHIV 15-64</v>
      </c>
      <c r="B160" s="1" t="s">
        <v>14</v>
      </c>
      <c r="C160" s="2" t="str">
        <f t="shared" si="11"/>
        <v>N.A.</v>
      </c>
      <c r="D160" s="1" t="s">
        <v>16</v>
      </c>
      <c r="E160" s="44">
        <v>2257.8647896180419</v>
      </c>
      <c r="F160" s="44">
        <v>2609.5278591748788</v>
      </c>
      <c r="G160" s="44">
        <v>2962.8023596229482</v>
      </c>
      <c r="H160" s="44">
        <v>3672.8831838132992</v>
      </c>
      <c r="I160" s="44">
        <v>4584.3827955043498</v>
      </c>
      <c r="J160" s="44">
        <v>5518.5523684025729</v>
      </c>
      <c r="K160" s="44">
        <v>8877.5999880283562</v>
      </c>
      <c r="L160" s="44">
        <v>8487.1764297663794</v>
      </c>
      <c r="M160" s="44">
        <v>12391.508298574334</v>
      </c>
      <c r="N160" s="44">
        <v>14905.987296697407</v>
      </c>
      <c r="O160" s="44">
        <v>19735.840877547191</v>
      </c>
      <c r="P160" s="44">
        <v>19046.44006064448</v>
      </c>
      <c r="Q160" s="44">
        <v>20120.868243313376</v>
      </c>
      <c r="R160" s="44">
        <v>23757.04370382665</v>
      </c>
      <c r="S160" s="44">
        <v>27446.247616314813</v>
      </c>
      <c r="T160" s="44"/>
      <c r="U160" s="44"/>
    </row>
    <row r="161" spans="1:21" x14ac:dyDescent="0.55000000000000004">
      <c r="A161" s="1" t="str">
        <f>'Population Definitions'!$A$7</f>
        <v>PLHIV 65+</v>
      </c>
      <c r="B161" s="1" t="s">
        <v>14</v>
      </c>
      <c r="C161" s="2" t="str">
        <f t="shared" si="11"/>
        <v>N.A.</v>
      </c>
      <c r="D161" s="1" t="s">
        <v>16</v>
      </c>
      <c r="E161" s="44">
        <v>14.502172817746391</v>
      </c>
      <c r="F161" s="44">
        <v>16.760890271414265</v>
      </c>
      <c r="G161" s="44">
        <v>19.029957879518296</v>
      </c>
      <c r="H161" s="44">
        <v>24.588505984503165</v>
      </c>
      <c r="I161" s="44">
        <v>36.441066830810236</v>
      </c>
      <c r="J161" s="44">
        <v>44.552992711260224</v>
      </c>
      <c r="K161" s="44">
        <v>66.087675459755019</v>
      </c>
      <c r="L161" s="44">
        <v>68.024401331063871</v>
      </c>
      <c r="M161" s="44">
        <v>141.03474592360624</v>
      </c>
      <c r="N161" s="44">
        <v>123.18573290679288</v>
      </c>
      <c r="O161" s="44">
        <v>384.91895993681055</v>
      </c>
      <c r="P161" s="44">
        <v>199.07344595769845</v>
      </c>
      <c r="Q161" s="44">
        <v>214.86865143910956</v>
      </c>
      <c r="R161" s="44">
        <v>210.09296195752108</v>
      </c>
      <c r="S161" s="44">
        <v>349.73870467148993</v>
      </c>
      <c r="T161" s="44"/>
      <c r="U161" s="44"/>
    </row>
    <row r="162" spans="1:21" x14ac:dyDescent="0.55000000000000004">
      <c r="A162" s="1" t="str">
        <f>'Population Definitions'!$A$8</f>
        <v>Prisoners</v>
      </c>
      <c r="B162" s="1" t="s">
        <v>14</v>
      </c>
      <c r="C162" s="2" t="str">
        <f t="shared" si="11"/>
        <v>N.A.</v>
      </c>
      <c r="D162" s="1" t="s">
        <v>16</v>
      </c>
      <c r="E162" s="44">
        <f>51.9766233834071*(2.5)</f>
        <v>129.94155845851776</v>
      </c>
      <c r="F162" s="44">
        <f>60.0719969453026*(2.5)</f>
        <v>150.1799923632565</v>
      </c>
      <c r="G162" s="44">
        <f>68.204466057351*(2.5)</f>
        <v>170.5111651433775</v>
      </c>
      <c r="H162" s="44">
        <f>44.9974352247447*(2.5)</f>
        <v>112.49358806186174</v>
      </c>
      <c r="I162" s="44">
        <f>35.9541140387636*(2.5)</f>
        <v>89.885285096909001</v>
      </c>
      <c r="J162" s="44">
        <f>23.4926811490643*(2.5)</f>
        <v>58.731702872660748</v>
      </c>
      <c r="K162" s="44">
        <f>14.2768415847369*(2.5)</f>
        <v>35.69210396184225</v>
      </c>
      <c r="L162" s="44">
        <f>15.9472186227544*(2.5)</f>
        <v>39.868046556886</v>
      </c>
      <c r="M162" s="44">
        <f>17.5352203160529*(2.5)</f>
        <v>43.83805079013225</v>
      </c>
      <c r="N162" s="44">
        <f>17.7197672193755*(2.5)</f>
        <v>44.299418048438746</v>
      </c>
      <c r="O162" s="44">
        <f>30.1463035127591*(2.5)</f>
        <v>75.365758781897753</v>
      </c>
      <c r="P162" s="44">
        <f>41.3544131296667*(2.5)</f>
        <v>103.38603282416676</v>
      </c>
      <c r="Q162" s="44">
        <f>35.2624504129102*(2.5)</f>
        <v>88.156126032275495</v>
      </c>
      <c r="R162" s="44">
        <f>75.8249265243481*(2.5)</f>
        <v>189.56231631087024</v>
      </c>
      <c r="S162" s="44">
        <f>103.965677384953*(2.5)</f>
        <v>259.91419346238251</v>
      </c>
      <c r="T162" s="44"/>
      <c r="U162" s="44"/>
    </row>
    <row r="163" spans="1:21" x14ac:dyDescent="0.55000000000000004">
      <c r="A163" s="1" t="str">
        <f>'Population Definitions'!$A$9</f>
        <v>PLHIV Prisoners</v>
      </c>
      <c r="B163" s="1" t="s">
        <v>14</v>
      </c>
      <c r="C163" s="2" t="str">
        <f t="shared" si="11"/>
        <v>N.A.</v>
      </c>
      <c r="D163" s="1" t="s">
        <v>16</v>
      </c>
      <c r="E163" s="44">
        <v>106.39388821264373</v>
      </c>
      <c r="F163" s="44">
        <v>122.96476592108021</v>
      </c>
      <c r="G163" s="44">
        <v>139.61157660782987</v>
      </c>
      <c r="H163" s="44">
        <v>82.202472090330303</v>
      </c>
      <c r="I163" s="44">
        <v>73.596508214999687</v>
      </c>
      <c r="J163" s="44">
        <v>48.088496891215179</v>
      </c>
      <c r="K163" s="44">
        <v>55.263078266677468</v>
      </c>
      <c r="L163" s="44">
        <v>73.114496536582649</v>
      </c>
      <c r="M163" s="44">
        <v>123.16047767751013</v>
      </c>
      <c r="N163" s="44">
        <v>169.73195993262223</v>
      </c>
      <c r="O163" s="44">
        <v>180.81986473831421</v>
      </c>
      <c r="P163" s="44">
        <v>208.38633345091142</v>
      </c>
      <c r="Q163" s="44">
        <v>139.30209269909804</v>
      </c>
      <c r="R163" s="44">
        <v>148.8535980694875</v>
      </c>
      <c r="S163" s="44">
        <v>207.45026287349788</v>
      </c>
      <c r="T163" s="44"/>
      <c r="U163" s="44"/>
    </row>
    <row r="164" spans="1:21" x14ac:dyDescent="0.55000000000000004">
      <c r="A164" s="1" t="str">
        <f>'Population Definitions'!$A$10</f>
        <v>HCW</v>
      </c>
      <c r="B164" s="1" t="s">
        <v>14</v>
      </c>
      <c r="C164" s="2">
        <f t="shared" si="11"/>
        <v>0</v>
      </c>
      <c r="D164" s="1" t="s">
        <v>16</v>
      </c>
      <c r="E164" s="44"/>
      <c r="F164" s="44"/>
      <c r="G164" s="44"/>
      <c r="H164" s="44"/>
      <c r="I164" s="44"/>
      <c r="J164" s="44"/>
      <c r="K164" s="44"/>
      <c r="L164" s="44"/>
      <c r="M164" s="44"/>
      <c r="N164" s="44"/>
      <c r="O164" s="44"/>
      <c r="P164" s="44"/>
      <c r="Q164" s="44"/>
      <c r="R164" s="44"/>
      <c r="S164" s="44"/>
      <c r="T164" s="44"/>
      <c r="U164" s="44"/>
    </row>
    <row r="165" spans="1:21" x14ac:dyDescent="0.55000000000000004">
      <c r="A165" s="1" t="str">
        <f>'Population Definitions'!$A$11</f>
        <v>PLHIV HCW</v>
      </c>
      <c r="B165" s="1" t="s">
        <v>14</v>
      </c>
      <c r="C165" s="2">
        <f t="shared" si="11"/>
        <v>0</v>
      </c>
      <c r="D165" s="1" t="s">
        <v>16</v>
      </c>
      <c r="E165" s="44"/>
      <c r="F165" s="44"/>
      <c r="G165" s="44"/>
      <c r="H165" s="44"/>
      <c r="I165" s="44"/>
      <c r="J165" s="44"/>
      <c r="K165" s="44"/>
      <c r="L165" s="44"/>
      <c r="M165" s="44"/>
      <c r="N165" s="44"/>
      <c r="O165" s="44"/>
      <c r="P165" s="44"/>
      <c r="Q165" s="44"/>
      <c r="R165" s="44"/>
      <c r="S165" s="44"/>
      <c r="T165" s="44"/>
      <c r="U165" s="44"/>
    </row>
    <row r="166" spans="1:21" x14ac:dyDescent="0.55000000000000004">
      <c r="A166" s="1" t="str">
        <f>'Population Definitions'!$A$12</f>
        <v>Miners</v>
      </c>
      <c r="B166" s="1" t="s">
        <v>14</v>
      </c>
      <c r="C166" s="2" t="str">
        <f t="shared" si="11"/>
        <v>N.A.</v>
      </c>
      <c r="D166" s="1" t="s">
        <v>16</v>
      </c>
      <c r="E166" s="44"/>
      <c r="F166" s="44"/>
      <c r="G166" s="44"/>
      <c r="H166" s="44"/>
      <c r="I166" s="44"/>
      <c r="J166" s="44"/>
      <c r="K166" s="44"/>
      <c r="L166" s="44"/>
      <c r="M166" s="44"/>
      <c r="N166" s="44"/>
      <c r="O166" s="44"/>
      <c r="P166" s="44"/>
      <c r="Q166" s="44"/>
      <c r="R166" s="44"/>
      <c r="S166" s="44">
        <f>S180+S194+S208</f>
        <v>433.10372720818981</v>
      </c>
      <c r="T166" s="44"/>
      <c r="U166" s="44"/>
    </row>
    <row r="167" spans="1:21" x14ac:dyDescent="0.55000000000000004">
      <c r="A167" s="1" t="str">
        <f>'Population Definitions'!$A$13</f>
        <v>PLHIV Miners</v>
      </c>
      <c r="B167" s="1" t="s">
        <v>14</v>
      </c>
      <c r="C167" s="2" t="str">
        <f t="shared" si="11"/>
        <v>N.A.</v>
      </c>
      <c r="D167" s="1" t="s">
        <v>16</v>
      </c>
      <c r="E167" s="44"/>
      <c r="F167" s="44"/>
      <c r="G167" s="44"/>
      <c r="H167" s="44"/>
      <c r="I167" s="44"/>
      <c r="J167" s="44"/>
      <c r="K167" s="44"/>
      <c r="L167" s="44"/>
      <c r="M167" s="44"/>
      <c r="N167" s="44"/>
      <c r="O167" s="44"/>
      <c r="P167" s="44"/>
      <c r="Q167" s="44"/>
      <c r="R167" s="44"/>
      <c r="S167" s="44">
        <f>S181+S195+S209</f>
        <v>883.04256914355301</v>
      </c>
      <c r="T167" s="44"/>
      <c r="U167" s="44"/>
    </row>
    <row r="168" spans="1:21" x14ac:dyDescent="0.55000000000000004">
      <c r="E168" s="37"/>
      <c r="F168" s="37"/>
      <c r="G168" s="37"/>
      <c r="H168" s="37"/>
      <c r="I168" s="37"/>
      <c r="J168" s="37"/>
      <c r="K168" s="37"/>
      <c r="L168" s="37"/>
      <c r="M168" s="37"/>
      <c r="N168" s="37"/>
      <c r="O168" s="37"/>
      <c r="P168" s="37"/>
      <c r="Q168" s="37"/>
      <c r="R168" s="37"/>
      <c r="S168" s="37"/>
      <c r="T168" s="37"/>
      <c r="U168" s="37"/>
    </row>
    <row r="169" spans="1:21" x14ac:dyDescent="0.55000000000000004">
      <c r="A169" s="21" t="s">
        <v>89</v>
      </c>
      <c r="B169" s="1" t="s">
        <v>8</v>
      </c>
      <c r="C169" s="1" t="s">
        <v>9</v>
      </c>
      <c r="D169" s="1"/>
      <c r="E169" s="41">
        <v>2000</v>
      </c>
      <c r="F169" s="41">
        <v>2001</v>
      </c>
      <c r="G169" s="41">
        <v>2002</v>
      </c>
      <c r="H169" s="41">
        <v>2003</v>
      </c>
      <c r="I169" s="41">
        <v>2004</v>
      </c>
      <c r="J169" s="41">
        <v>2005</v>
      </c>
      <c r="K169" s="41">
        <v>2006</v>
      </c>
      <c r="L169" s="41">
        <v>2007</v>
      </c>
      <c r="M169" s="41">
        <v>2008</v>
      </c>
      <c r="N169" s="41">
        <v>2009</v>
      </c>
      <c r="O169" s="41">
        <v>2010</v>
      </c>
      <c r="P169" s="41">
        <v>2011</v>
      </c>
      <c r="Q169" s="41">
        <v>2012</v>
      </c>
      <c r="R169" s="41">
        <v>2013</v>
      </c>
      <c r="S169" s="41">
        <v>2014</v>
      </c>
      <c r="T169" s="41">
        <v>2015</v>
      </c>
      <c r="U169" s="41">
        <v>2016</v>
      </c>
    </row>
    <row r="170" spans="1:21" x14ac:dyDescent="0.55000000000000004">
      <c r="A170" s="1" t="str">
        <f>'Population Definitions'!$A$2</f>
        <v>Gen 0-4</v>
      </c>
      <c r="B170" s="1" t="s">
        <v>14</v>
      </c>
      <c r="C170" s="2" t="str">
        <f t="shared" ref="C170:C181" si="12">IF(SUMPRODUCT(--(E170:U170&lt;&gt;""))=0,0,"N.A.")</f>
        <v>N.A.</v>
      </c>
      <c r="D170" s="1" t="s">
        <v>16</v>
      </c>
      <c r="E170" s="44">
        <v>278.05931041853324</v>
      </c>
      <c r="F170" s="44">
        <v>321.50323119825754</v>
      </c>
      <c r="G170" s="44">
        <v>365.29048934996609</v>
      </c>
      <c r="H170" s="44">
        <v>436.6482320247656</v>
      </c>
      <c r="I170" s="44">
        <v>530.25162132257935</v>
      </c>
      <c r="J170" s="44">
        <v>947.39052740020247</v>
      </c>
      <c r="K170" s="44">
        <v>1635.2826064695128</v>
      </c>
      <c r="L170" s="44">
        <v>2188.4035468704133</v>
      </c>
      <c r="M170" s="44">
        <v>3041.7686283585576</v>
      </c>
      <c r="N170" s="44">
        <v>3355.2189473648614</v>
      </c>
      <c r="O170" s="44">
        <v>3401.1964182630591</v>
      </c>
      <c r="P170" s="44">
        <v>3386.4276456630364</v>
      </c>
      <c r="Q170" s="44">
        <v>3448.925413210296</v>
      </c>
      <c r="R170" s="44">
        <v>3655.9422273703753</v>
      </c>
      <c r="S170" s="44">
        <v>3158.4426998541448</v>
      </c>
      <c r="T170" s="44"/>
      <c r="U170" s="44"/>
    </row>
    <row r="171" spans="1:21" x14ac:dyDescent="0.55000000000000004">
      <c r="A171" s="1" t="str">
        <f>'Population Definitions'!$A$3</f>
        <v>Gen 5-14</v>
      </c>
      <c r="B171" s="1" t="s">
        <v>14</v>
      </c>
      <c r="C171" s="2" t="str">
        <f t="shared" si="12"/>
        <v>N.A.</v>
      </c>
      <c r="D171" s="1" t="s">
        <v>16</v>
      </c>
      <c r="E171" s="44">
        <v>157.58784316810909</v>
      </c>
      <c r="F171" s="44">
        <v>182.31667550011881</v>
      </c>
      <c r="G171" s="44">
        <v>207.42505870482489</v>
      </c>
      <c r="H171" s="44">
        <v>192.28465521173925</v>
      </c>
      <c r="I171" s="44">
        <v>296.98141619391953</v>
      </c>
      <c r="J171" s="44">
        <v>431.37560724721561</v>
      </c>
      <c r="K171" s="44">
        <v>581.32273392618845</v>
      </c>
      <c r="L171" s="44">
        <v>674.37216249786286</v>
      </c>
      <c r="M171" s="44">
        <v>1023.703309762673</v>
      </c>
      <c r="N171" s="44">
        <v>1106.7879830480806</v>
      </c>
      <c r="O171" s="44">
        <v>1327.1358588566609</v>
      </c>
      <c r="P171" s="44">
        <v>1385.8303903790281</v>
      </c>
      <c r="Q171" s="44">
        <v>1485.6405689261619</v>
      </c>
      <c r="R171" s="44">
        <v>1396.2764117831177</v>
      </c>
      <c r="S171" s="44">
        <v>1260.0587971529083</v>
      </c>
      <c r="T171" s="44"/>
      <c r="U171" s="44"/>
    </row>
    <row r="172" spans="1:21" x14ac:dyDescent="0.55000000000000004">
      <c r="A172" s="1" t="str">
        <f>'Population Definitions'!$A$4</f>
        <v>Gen 15-64</v>
      </c>
      <c r="B172" s="1" t="s">
        <v>14</v>
      </c>
      <c r="C172" s="2" t="str">
        <f t="shared" si="12"/>
        <v>N.A.</v>
      </c>
      <c r="D172" s="1" t="s">
        <v>16</v>
      </c>
      <c r="E172" s="44">
        <v>271.54188681786127</v>
      </c>
      <c r="F172" s="44">
        <v>316.17308377997233</v>
      </c>
      <c r="G172" s="44">
        <v>360.35957222152899</v>
      </c>
      <c r="H172" s="44">
        <v>450.38701904893333</v>
      </c>
      <c r="I172" s="44">
        <v>569.15853831500795</v>
      </c>
      <c r="J172" s="44">
        <v>694.81183635132686</v>
      </c>
      <c r="K172" s="44">
        <v>488.01769569589811</v>
      </c>
      <c r="L172" s="44">
        <v>1225.0837444717545</v>
      </c>
      <c r="M172" s="44">
        <v>1626.8424542479254</v>
      </c>
      <c r="N172" s="44">
        <v>2042.3594247081885</v>
      </c>
      <c r="O172" s="44">
        <v>2412.6921037125503</v>
      </c>
      <c r="P172" s="44">
        <v>2755.4508955649849</v>
      </c>
      <c r="Q172" s="44">
        <v>3083.848073211092</v>
      </c>
      <c r="R172" s="44">
        <v>4159.6574058975566</v>
      </c>
      <c r="S172" s="44">
        <v>5779.2374861545923</v>
      </c>
      <c r="T172" s="44"/>
      <c r="U172" s="44"/>
    </row>
    <row r="173" spans="1:21" x14ac:dyDescent="0.55000000000000004">
      <c r="A173" s="1" t="str">
        <f>'Population Definitions'!$A$5</f>
        <v>Gen 65+</v>
      </c>
      <c r="B173" s="1" t="s">
        <v>14</v>
      </c>
      <c r="C173" s="2" t="str">
        <f t="shared" si="12"/>
        <v>N.A.</v>
      </c>
      <c r="D173" s="1" t="s">
        <v>16</v>
      </c>
      <c r="E173" s="44">
        <v>36.692429742224569</v>
      </c>
      <c r="F173" s="44">
        <v>42.46655565068663</v>
      </c>
      <c r="G173" s="44">
        <v>48.322309213653817</v>
      </c>
      <c r="H173" s="44">
        <v>62.590612481994377</v>
      </c>
      <c r="I173" s="44">
        <v>93.064531035349773</v>
      </c>
      <c r="J173" s="44">
        <v>114.10879732633006</v>
      </c>
      <c r="K173" s="44">
        <v>116.26594191100598</v>
      </c>
      <c r="L173" s="44">
        <v>172.7661067542515</v>
      </c>
      <c r="M173" s="44">
        <v>151.30572271646059</v>
      </c>
      <c r="N173" s="44">
        <v>295.64969011485903</v>
      </c>
      <c r="O173" s="44">
        <v>365.30193198614535</v>
      </c>
      <c r="P173" s="44">
        <v>335.7328882339873</v>
      </c>
      <c r="Q173" s="44">
        <v>398.44835934374947</v>
      </c>
      <c r="R173" s="44">
        <v>480.34036252113515</v>
      </c>
      <c r="S173" s="44">
        <v>684.00280675275621</v>
      </c>
      <c r="T173" s="44"/>
      <c r="U173" s="44"/>
    </row>
    <row r="174" spans="1:21" x14ac:dyDescent="0.55000000000000004">
      <c r="A174" s="1" t="str">
        <f>'Population Definitions'!$A$6</f>
        <v>PLHIV 15-64</v>
      </c>
      <c r="B174" s="1" t="s">
        <v>14</v>
      </c>
      <c r="C174" s="2" t="str">
        <f t="shared" si="12"/>
        <v>N.A.</v>
      </c>
      <c r="D174" s="1" t="s">
        <v>16</v>
      </c>
      <c r="E174" s="44">
        <v>2243.1842743332945</v>
      </c>
      <c r="F174" s="44">
        <v>2587.6595644321733</v>
      </c>
      <c r="G174" s="44">
        <v>2940.6616698601374</v>
      </c>
      <c r="H174" s="44">
        <v>3644.4276324138632</v>
      </c>
      <c r="I174" s="44">
        <v>4554.6309362169286</v>
      </c>
      <c r="J174" s="44">
        <v>5487.3223380354384</v>
      </c>
      <c r="K174" s="44">
        <v>8833.8375215136839</v>
      </c>
      <c r="L174" s="44">
        <v>8329.3816369313299</v>
      </c>
      <c r="M174" s="44">
        <v>12246.254236850949</v>
      </c>
      <c r="N174" s="44">
        <v>14810.493083673702</v>
      </c>
      <c r="O174" s="44">
        <v>19715.508868371089</v>
      </c>
      <c r="P174" s="44">
        <v>18807.977999364666</v>
      </c>
      <c r="Q174" s="44">
        <v>19952.029429935112</v>
      </c>
      <c r="R174" s="44">
        <v>23314.036151892469</v>
      </c>
      <c r="S174" s="44">
        <v>26812.06147566759</v>
      </c>
      <c r="T174" s="44"/>
      <c r="U174" s="44"/>
    </row>
    <row r="175" spans="1:21" x14ac:dyDescent="0.55000000000000004">
      <c r="A175" s="1" t="str">
        <f>'Population Definitions'!$A$7</f>
        <v>PLHIV 65+</v>
      </c>
      <c r="B175" s="1" t="s">
        <v>14</v>
      </c>
      <c r="C175" s="2" t="str">
        <f t="shared" si="12"/>
        <v>N.A.</v>
      </c>
      <c r="D175" s="1" t="s">
        <v>16</v>
      </c>
      <c r="E175" s="44">
        <v>14.364518772625559</v>
      </c>
      <c r="F175" s="44">
        <v>16.600857318482355</v>
      </c>
      <c r="G175" s="44">
        <v>18.857419698180902</v>
      </c>
      <c r="H175" s="44">
        <v>24.366666697189419</v>
      </c>
      <c r="I175" s="44">
        <v>36.088779409149623</v>
      </c>
      <c r="J175" s="44">
        <v>44.088358733892129</v>
      </c>
      <c r="K175" s="44">
        <v>65.448778242788194</v>
      </c>
      <c r="L175" s="44">
        <v>67.446455723286121</v>
      </c>
      <c r="M175" s="44">
        <v>139.78206437568858</v>
      </c>
      <c r="N175" s="44">
        <v>121.7526795217851</v>
      </c>
      <c r="O175" s="44">
        <v>380.49261056191517</v>
      </c>
      <c r="P175" s="44">
        <v>197.33940222073645</v>
      </c>
      <c r="Q175" s="44">
        <v>213.59626082094027</v>
      </c>
      <c r="R175" s="44">
        <v>207.80261518381013</v>
      </c>
      <c r="S175" s="44">
        <v>344.18434305148003</v>
      </c>
      <c r="T175" s="44"/>
      <c r="U175" s="44"/>
    </row>
    <row r="176" spans="1:21" x14ac:dyDescent="0.55000000000000004">
      <c r="A176" s="1" t="str">
        <f>'Population Definitions'!$A$8</f>
        <v>Prisoners</v>
      </c>
      <c r="B176" s="1" t="s">
        <v>14</v>
      </c>
      <c r="C176" s="2" t="str">
        <f t="shared" si="12"/>
        <v>N.A.</v>
      </c>
      <c r="D176" s="1" t="s">
        <v>16</v>
      </c>
      <c r="E176" s="44">
        <f>51.9766233834071*(2.5)</f>
        <v>129.94155845851776</v>
      </c>
      <c r="F176" s="44">
        <f>60.0719969453026*(2.5)</f>
        <v>150.1799923632565</v>
      </c>
      <c r="G176" s="44">
        <f>68.204466057351*(2.5)</f>
        <v>170.5111651433775</v>
      </c>
      <c r="H176" s="44">
        <f>44.9974352247447*(2.5)</f>
        <v>112.49358806186174</v>
      </c>
      <c r="I176" s="44">
        <f>35.9541140387636*(2.5)</f>
        <v>89.885285096909001</v>
      </c>
      <c r="J176" s="44">
        <f>23.4926811490643*(2.5)</f>
        <v>58.731702872660748</v>
      </c>
      <c r="K176" s="44">
        <f>14.2768415847369*(2.5)</f>
        <v>35.69210396184225</v>
      </c>
      <c r="L176" s="44">
        <f>15.9472186227544*(2.5)</f>
        <v>39.868046556886</v>
      </c>
      <c r="M176" s="44">
        <f>17.5352203160529*(2.5)</f>
        <v>43.83805079013225</v>
      </c>
      <c r="N176" s="44">
        <f>17.7197672193755*(2.5)</f>
        <v>44.299418048438746</v>
      </c>
      <c r="O176" s="44">
        <f>30.1463035127591*(2.5)</f>
        <v>75.365758781897753</v>
      </c>
      <c r="P176" s="44">
        <f>41.3544131296667*(2.5)</f>
        <v>103.38603282416676</v>
      </c>
      <c r="Q176" s="44">
        <f>35.2624504129102*(2.5)</f>
        <v>88.156126032275495</v>
      </c>
      <c r="R176" s="44">
        <f>75.8249265243481*(2.5)</f>
        <v>189.56231631087024</v>
      </c>
      <c r="S176" s="44">
        <f>103.965677384953*(2.5)</f>
        <v>259.91419346238251</v>
      </c>
      <c r="T176" s="44"/>
      <c r="U176" s="44"/>
    </row>
    <row r="177" spans="1:21" x14ac:dyDescent="0.55000000000000004">
      <c r="A177" s="1" t="str">
        <f>'Population Definitions'!$A$9</f>
        <v>PLHIV Prisoners</v>
      </c>
      <c r="B177" s="1" t="s">
        <v>14</v>
      </c>
      <c r="C177" s="2" t="str">
        <f t="shared" si="12"/>
        <v>N.A.</v>
      </c>
      <c r="D177" s="1" t="s">
        <v>16</v>
      </c>
      <c r="E177" s="44">
        <v>106.39388821264373</v>
      </c>
      <c r="F177" s="44">
        <v>122.96476592108021</v>
      </c>
      <c r="G177" s="44">
        <v>139.61157660782987</v>
      </c>
      <c r="H177" s="44">
        <v>82.202472090330303</v>
      </c>
      <c r="I177" s="44">
        <v>73.596508214999687</v>
      </c>
      <c r="J177" s="44">
        <v>48.088496891215179</v>
      </c>
      <c r="K177" s="44">
        <v>55.263078266677468</v>
      </c>
      <c r="L177" s="44">
        <v>73.114496536582649</v>
      </c>
      <c r="M177" s="44">
        <v>123.16047767751013</v>
      </c>
      <c r="N177" s="44">
        <v>169.73195993262223</v>
      </c>
      <c r="O177" s="44">
        <v>180.81986473831421</v>
      </c>
      <c r="P177" s="44">
        <v>208.38633345091142</v>
      </c>
      <c r="Q177" s="44">
        <v>139.30209269909804</v>
      </c>
      <c r="R177" s="44">
        <v>148.8535980694875</v>
      </c>
      <c r="S177" s="44">
        <v>207.45026287349788</v>
      </c>
      <c r="T177" s="44"/>
      <c r="U177" s="44"/>
    </row>
    <row r="178" spans="1:21" x14ac:dyDescent="0.55000000000000004">
      <c r="A178" s="1" t="str">
        <f>'Population Definitions'!$A$10</f>
        <v>HCW</v>
      </c>
      <c r="B178" s="1" t="s">
        <v>14</v>
      </c>
      <c r="C178" s="2">
        <f t="shared" si="12"/>
        <v>0</v>
      </c>
      <c r="D178" s="1" t="s">
        <v>16</v>
      </c>
      <c r="E178" s="44"/>
      <c r="F178" s="44"/>
      <c r="G178" s="44"/>
      <c r="H178" s="44"/>
      <c r="I178" s="44"/>
      <c r="J178" s="44"/>
      <c r="K178" s="44"/>
      <c r="L178" s="44"/>
      <c r="M178" s="44"/>
      <c r="N178" s="44"/>
      <c r="O178" s="44"/>
      <c r="P178" s="44"/>
      <c r="Q178" s="44"/>
      <c r="R178" s="44"/>
      <c r="S178" s="44"/>
      <c r="T178" s="44"/>
      <c r="U178" s="44"/>
    </row>
    <row r="179" spans="1:21" x14ac:dyDescent="0.55000000000000004">
      <c r="A179" s="1" t="str">
        <f>'Population Definitions'!$A$11</f>
        <v>PLHIV HCW</v>
      </c>
      <c r="B179" s="1" t="s">
        <v>14</v>
      </c>
      <c r="C179" s="2">
        <f t="shared" si="12"/>
        <v>0</v>
      </c>
      <c r="D179" s="1" t="s">
        <v>16</v>
      </c>
      <c r="E179" s="44"/>
      <c r="F179" s="44"/>
      <c r="G179" s="44"/>
      <c r="H179" s="44"/>
      <c r="I179" s="44"/>
      <c r="J179" s="44"/>
      <c r="K179" s="44"/>
      <c r="L179" s="44"/>
      <c r="M179" s="44"/>
      <c r="N179" s="44"/>
      <c r="O179" s="44"/>
      <c r="P179" s="44"/>
      <c r="Q179" s="44"/>
      <c r="R179" s="44"/>
      <c r="S179" s="44"/>
      <c r="T179" s="44"/>
      <c r="U179" s="44"/>
    </row>
    <row r="180" spans="1:21" x14ac:dyDescent="0.55000000000000004">
      <c r="A180" s="1" t="str">
        <f>'Population Definitions'!$A$12</f>
        <v>Miners</v>
      </c>
      <c r="B180" s="1" t="s">
        <v>14</v>
      </c>
      <c r="C180" s="2" t="str">
        <f t="shared" si="12"/>
        <v>N.A.</v>
      </c>
      <c r="D180" s="1" t="s">
        <v>16</v>
      </c>
      <c r="E180" s="44"/>
      <c r="F180" s="44"/>
      <c r="G180" s="44"/>
      <c r="H180" s="44"/>
      <c r="I180" s="44"/>
      <c r="J180" s="44"/>
      <c r="K180" s="44"/>
      <c r="L180" s="44"/>
      <c r="M180" s="44"/>
      <c r="N180" s="44"/>
      <c r="O180" s="44"/>
      <c r="P180" s="44"/>
      <c r="Q180" s="44"/>
      <c r="R180" s="44"/>
      <c r="S180" s="44">
        <f>335.684183618996/0.8</f>
        <v>419.60522952374492</v>
      </c>
      <c r="T180" s="44"/>
      <c r="U180" s="44"/>
    </row>
    <row r="181" spans="1:21" x14ac:dyDescent="0.55000000000000004">
      <c r="A181" s="1" t="str">
        <f>'Population Definitions'!$A$13</f>
        <v>PLHIV Miners</v>
      </c>
      <c r="B181" s="1" t="s">
        <v>14</v>
      </c>
      <c r="C181" s="2" t="str">
        <f t="shared" si="12"/>
        <v>N.A.</v>
      </c>
      <c r="D181" s="1" t="s">
        <v>16</v>
      </c>
      <c r="E181" s="44"/>
      <c r="F181" s="44"/>
      <c r="G181" s="44"/>
      <c r="H181" s="44"/>
      <c r="I181" s="44"/>
      <c r="J181" s="44"/>
      <c r="K181" s="44"/>
      <c r="L181" s="44"/>
      <c r="M181" s="44"/>
      <c r="N181" s="44"/>
      <c r="O181" s="44"/>
      <c r="P181" s="44"/>
      <c r="Q181" s="44"/>
      <c r="R181" s="44"/>
      <c r="S181" s="44">
        <f>689.95262709156/0.8</f>
        <v>862.44078386444994</v>
      </c>
      <c r="T181" s="44"/>
      <c r="U181" s="44"/>
    </row>
    <row r="182" spans="1:21" x14ac:dyDescent="0.55000000000000004">
      <c r="E182" s="37"/>
      <c r="F182" s="37"/>
      <c r="G182" s="37"/>
      <c r="H182" s="37"/>
      <c r="I182" s="37"/>
      <c r="J182" s="37"/>
      <c r="K182" s="37"/>
      <c r="L182" s="37"/>
      <c r="M182" s="37"/>
      <c r="N182" s="37"/>
      <c r="O182" s="37"/>
      <c r="P182" s="37"/>
      <c r="Q182" s="37"/>
      <c r="R182" s="37"/>
      <c r="S182" s="37"/>
      <c r="T182" s="37"/>
      <c r="U182" s="37"/>
    </row>
    <row r="183" spans="1:21" x14ac:dyDescent="0.55000000000000004">
      <c r="A183" s="21" t="s">
        <v>92</v>
      </c>
      <c r="B183" s="1" t="s">
        <v>8</v>
      </c>
      <c r="C183" s="1" t="s">
        <v>9</v>
      </c>
      <c r="D183" s="1"/>
      <c r="E183" s="41">
        <v>2000</v>
      </c>
      <c r="F183" s="41">
        <v>2001</v>
      </c>
      <c r="G183" s="41">
        <v>2002</v>
      </c>
      <c r="H183" s="41">
        <v>2003</v>
      </c>
      <c r="I183" s="41">
        <v>2004</v>
      </c>
      <c r="J183" s="41">
        <v>2005</v>
      </c>
      <c r="K183" s="41">
        <v>2006</v>
      </c>
      <c r="L183" s="41">
        <v>2007</v>
      </c>
      <c r="M183" s="41">
        <v>2008</v>
      </c>
      <c r="N183" s="41">
        <v>2009</v>
      </c>
      <c r="O183" s="41">
        <v>2010</v>
      </c>
      <c r="P183" s="41">
        <v>2011</v>
      </c>
      <c r="Q183" s="41">
        <v>2012</v>
      </c>
      <c r="R183" s="41">
        <v>2013</v>
      </c>
      <c r="S183" s="41">
        <v>2014</v>
      </c>
      <c r="T183" s="41">
        <v>2015</v>
      </c>
      <c r="U183" s="41">
        <v>2016</v>
      </c>
    </row>
    <row r="184" spans="1:21" x14ac:dyDescent="0.55000000000000004">
      <c r="A184" s="1" t="str">
        <f>'Population Definitions'!$A$2</f>
        <v>Gen 0-4</v>
      </c>
      <c r="B184" s="1" t="s">
        <v>14</v>
      </c>
      <c r="C184" s="2" t="str">
        <f t="shared" ref="C184:C195" si="13">IF(SUMPRODUCT(--(E184:U184&lt;&gt;""))=0,0,"N.A.")</f>
        <v>N.A.</v>
      </c>
      <c r="D184" s="1" t="s">
        <v>16</v>
      </c>
      <c r="E184" s="44">
        <v>1.5392676223437942</v>
      </c>
      <c r="F184" s="44">
        <v>1.6429032107823092</v>
      </c>
      <c r="G184" s="44">
        <v>1.602750039656228</v>
      </c>
      <c r="H184" s="44">
        <v>1.8816740856994973</v>
      </c>
      <c r="I184" s="44">
        <v>2.0083098169657645</v>
      </c>
      <c r="J184" s="44">
        <v>3.3183515508757933</v>
      </c>
      <c r="K184" s="44">
        <v>4.3967150311109764</v>
      </c>
      <c r="L184" s="44">
        <v>10.815250519132618</v>
      </c>
      <c r="M184" s="44">
        <v>7.9830411134153749</v>
      </c>
      <c r="N184" s="44">
        <v>1.2525920375074791</v>
      </c>
      <c r="O184" s="44">
        <v>5.6878277248343307</v>
      </c>
      <c r="P184" s="44">
        <v>11.600142776610163</v>
      </c>
      <c r="Q184" s="44">
        <v>1.2723906181692848</v>
      </c>
      <c r="R184" s="44">
        <v>7.7226515084071163</v>
      </c>
      <c r="S184" s="44">
        <v>3.4714760125061899</v>
      </c>
      <c r="T184" s="44"/>
      <c r="U184" s="44"/>
    </row>
    <row r="185" spans="1:21" x14ac:dyDescent="0.55000000000000004">
      <c r="A185" s="1" t="str">
        <f>'Population Definitions'!$A$3</f>
        <v>Gen 5-14</v>
      </c>
      <c r="B185" s="1" t="s">
        <v>14</v>
      </c>
      <c r="C185" s="2" t="str">
        <f t="shared" si="13"/>
        <v>N.A.</v>
      </c>
      <c r="D185" s="1" t="s">
        <v>16</v>
      </c>
      <c r="E185" s="44">
        <v>3.2711179401491512</v>
      </c>
      <c r="F185" s="44">
        <v>3.5961135827646897</v>
      </c>
      <c r="G185" s="44">
        <v>3.656362879621573</v>
      </c>
      <c r="H185" s="44">
        <v>3.1495143711063274</v>
      </c>
      <c r="I185" s="44">
        <v>4.3391998945523946</v>
      </c>
      <c r="J185" s="44">
        <v>5.0132888218912548</v>
      </c>
      <c r="K185" s="44">
        <v>5.8424314310788175</v>
      </c>
      <c r="L185" s="44">
        <v>14.193085660515782</v>
      </c>
      <c r="M185" s="44">
        <v>3.9915205567076875</v>
      </c>
      <c r="N185" s="44">
        <v>8.3506135833831969</v>
      </c>
      <c r="O185" s="44">
        <v>4.9768492592300406</v>
      </c>
      <c r="P185" s="44">
        <v>10.208125643416949</v>
      </c>
      <c r="Q185" s="44">
        <v>4.1108004587007665</v>
      </c>
      <c r="R185" s="44">
        <v>5.7637543207173971</v>
      </c>
      <c r="S185" s="44">
        <v>16.026096563131748</v>
      </c>
      <c r="T185" s="44"/>
      <c r="U185" s="44"/>
    </row>
    <row r="186" spans="1:21" x14ac:dyDescent="0.55000000000000004">
      <c r="A186" s="1" t="str">
        <f>'Population Definitions'!$A$4</f>
        <v>Gen 15-64</v>
      </c>
      <c r="B186" s="1" t="s">
        <v>14</v>
      </c>
      <c r="C186" s="2" t="str">
        <f t="shared" si="13"/>
        <v>N.A.</v>
      </c>
      <c r="D186" s="1" t="s">
        <v>16</v>
      </c>
      <c r="E186" s="44">
        <v>38.528614782865283</v>
      </c>
      <c r="F186" s="44">
        <v>42.370436068821711</v>
      </c>
      <c r="G186" s="44">
        <v>46.997671735282736</v>
      </c>
      <c r="H186" s="44">
        <v>54.487048289333757</v>
      </c>
      <c r="I186" s="44">
        <v>61.56104344956502</v>
      </c>
      <c r="J186" s="44">
        <v>64.993397520830811</v>
      </c>
      <c r="K186" s="44">
        <v>38.371892510653332</v>
      </c>
      <c r="L186" s="44">
        <v>68.855293145503467</v>
      </c>
      <c r="M186" s="44">
        <v>117.63523269774292</v>
      </c>
      <c r="N186" s="44">
        <v>181.48757229158687</v>
      </c>
      <c r="O186" s="44">
        <v>118.4266729763866</v>
      </c>
      <c r="P186" s="44">
        <v>33.444844678871043</v>
      </c>
      <c r="Q186" s="44">
        <v>36.390090629505011</v>
      </c>
      <c r="R186" s="44">
        <v>53.895390944411695</v>
      </c>
      <c r="S186" s="44">
        <v>102.87612837700402</v>
      </c>
      <c r="T186" s="44"/>
      <c r="U186" s="44"/>
    </row>
    <row r="187" spans="1:21" x14ac:dyDescent="0.55000000000000004">
      <c r="A187" s="1" t="str">
        <f>'Population Definitions'!$A$5</f>
        <v>Gen 65+</v>
      </c>
      <c r="B187" s="1" t="s">
        <v>14</v>
      </c>
      <c r="C187" s="2" t="str">
        <f t="shared" si="13"/>
        <v>N.A.</v>
      </c>
      <c r="D187" s="1" t="s">
        <v>16</v>
      </c>
      <c r="E187" s="44">
        <v>1.1051752371857659</v>
      </c>
      <c r="F187" s="44">
        <v>1.2180368268567614</v>
      </c>
      <c r="G187" s="44">
        <v>1.2762467920127638</v>
      </c>
      <c r="H187" s="44">
        <v>1.4954143441941941</v>
      </c>
      <c r="I187" s="44">
        <v>1.9133089345162904</v>
      </c>
      <c r="J187" s="44">
        <v>1.9483786299825268</v>
      </c>
      <c r="K187" s="44">
        <v>1.792536358125226</v>
      </c>
      <c r="L187" s="44">
        <v>2.0130702279533477</v>
      </c>
      <c r="M187" s="44">
        <v>3.991520556707687</v>
      </c>
      <c r="N187" s="44">
        <v>1.2288086443902486</v>
      </c>
      <c r="O187" s="44">
        <v>1.3927506008157671</v>
      </c>
      <c r="P187" s="44">
        <v>1.1600142776610163</v>
      </c>
      <c r="Q187" s="44">
        <v>0.74615499213630898</v>
      </c>
      <c r="R187" s="44">
        <v>2.3953637402711498</v>
      </c>
      <c r="S187" s="44">
        <v>5.5543616200099031</v>
      </c>
      <c r="T187" s="44"/>
      <c r="U187" s="44"/>
    </row>
    <row r="188" spans="1:21" x14ac:dyDescent="0.55000000000000004">
      <c r="A188" s="1" t="str">
        <f>'Population Definitions'!$A$6</f>
        <v>PLHIV 15-64</v>
      </c>
      <c r="B188" s="1" t="s">
        <v>14</v>
      </c>
      <c r="C188" s="2" t="str">
        <f t="shared" si="13"/>
        <v>N.A.</v>
      </c>
      <c r="D188" s="1" t="s">
        <v>16</v>
      </c>
      <c r="E188" s="44">
        <v>9.8905077118769391</v>
      </c>
      <c r="F188" s="44">
        <v>16.719722183321391</v>
      </c>
      <c r="G188" s="44">
        <v>16.915499609742309</v>
      </c>
      <c r="H188" s="44">
        <v>22.629212110538138</v>
      </c>
      <c r="I188" s="44">
        <v>23.13426062346873</v>
      </c>
      <c r="J188" s="44">
        <v>24.025172514788913</v>
      </c>
      <c r="K188" s="44">
        <v>33.144512115876537</v>
      </c>
      <c r="L188" s="44">
        <v>144.48391829610523</v>
      </c>
      <c r="M188" s="44">
        <v>140.52790046978814</v>
      </c>
      <c r="N188" s="44">
        <v>86.401322677354443</v>
      </c>
      <c r="O188" s="44">
        <v>4.9768492592300415</v>
      </c>
      <c r="P188" s="44">
        <v>225.93390708107421</v>
      </c>
      <c r="Q188" s="44">
        <v>159.40815350242212</v>
      </c>
      <c r="R188" s="44">
        <v>434.30146149169946</v>
      </c>
      <c r="S188" s="44">
        <v>630.99238271571483</v>
      </c>
      <c r="T188" s="44"/>
      <c r="U188" s="44"/>
    </row>
    <row r="189" spans="1:21" x14ac:dyDescent="0.55000000000000004">
      <c r="A189" s="1" t="str">
        <f>'Population Definitions'!$A$7</f>
        <v>PLHIV 65+</v>
      </c>
      <c r="B189" s="1" t="s">
        <v>14</v>
      </c>
      <c r="C189" s="2" t="str">
        <f t="shared" si="13"/>
        <v>N.A.</v>
      </c>
      <c r="D189" s="1" t="s">
        <v>16</v>
      </c>
      <c r="E189" s="44">
        <v>0.13765404512083404</v>
      </c>
      <c r="F189" s="44">
        <v>0.16003295293191155</v>
      </c>
      <c r="G189" s="44">
        <v>0.17253818133739535</v>
      </c>
      <c r="H189" s="44">
        <v>0.22183928731374436</v>
      </c>
      <c r="I189" s="44">
        <v>0.35228742166061439</v>
      </c>
      <c r="J189" s="44">
        <v>0.46463397736809436</v>
      </c>
      <c r="K189" s="44">
        <v>0.63889721696682988</v>
      </c>
      <c r="L189" s="44">
        <v>0.57794560777774695</v>
      </c>
      <c r="M189" s="44">
        <v>1.252681547917655</v>
      </c>
      <c r="N189" s="44">
        <v>1.4330533850077822</v>
      </c>
      <c r="O189" s="44">
        <v>4.4263493748954055</v>
      </c>
      <c r="P189" s="44">
        <v>1.7340437369620101</v>
      </c>
      <c r="Q189" s="44">
        <v>1.2723906181692848</v>
      </c>
      <c r="R189" s="44">
        <v>2.2903467737109362</v>
      </c>
      <c r="S189" s="44">
        <v>5.5543616200099031</v>
      </c>
      <c r="T189" s="44"/>
      <c r="U189" s="44"/>
    </row>
    <row r="190" spans="1:21" x14ac:dyDescent="0.55000000000000004">
      <c r="A190" s="1" t="str">
        <f>'Population Definitions'!$A$8</f>
        <v>Prisoners</v>
      </c>
      <c r="B190" s="1" t="s">
        <v>14</v>
      </c>
      <c r="C190" s="2" t="str">
        <f t="shared" si="13"/>
        <v>N.A.</v>
      </c>
      <c r="D190" s="1" t="s">
        <v>16</v>
      </c>
      <c r="E190" s="44">
        <v>0</v>
      </c>
      <c r="F190" s="44">
        <v>0</v>
      </c>
      <c r="G190" s="44">
        <v>0</v>
      </c>
      <c r="H190" s="44">
        <v>0</v>
      </c>
      <c r="I190" s="44">
        <v>0</v>
      </c>
      <c r="J190" s="44">
        <v>0</v>
      </c>
      <c r="K190" s="44">
        <v>0</v>
      </c>
      <c r="L190" s="44">
        <v>0</v>
      </c>
      <c r="M190" s="44">
        <v>0</v>
      </c>
      <c r="N190" s="44">
        <v>0</v>
      </c>
      <c r="O190" s="44">
        <v>0</v>
      </c>
      <c r="P190" s="44">
        <v>0</v>
      </c>
      <c r="Q190" s="44">
        <v>0</v>
      </c>
      <c r="R190" s="44">
        <v>0</v>
      </c>
      <c r="S190" s="44">
        <v>0</v>
      </c>
      <c r="T190" s="44"/>
      <c r="U190" s="44"/>
    </row>
    <row r="191" spans="1:21" x14ac:dyDescent="0.55000000000000004">
      <c r="A191" s="1" t="str">
        <f>'Population Definitions'!$A$9</f>
        <v>PLHIV Prisoners</v>
      </c>
      <c r="B191" s="1" t="s">
        <v>14</v>
      </c>
      <c r="C191" s="2" t="str">
        <f t="shared" si="13"/>
        <v>N.A.</v>
      </c>
      <c r="D191" s="1" t="s">
        <v>16</v>
      </c>
      <c r="E191" s="44">
        <v>0</v>
      </c>
      <c r="F191" s="44">
        <v>0</v>
      </c>
      <c r="G191" s="44">
        <v>0</v>
      </c>
      <c r="H191" s="44">
        <v>0</v>
      </c>
      <c r="I191" s="44">
        <v>0</v>
      </c>
      <c r="J191" s="44">
        <v>0</v>
      </c>
      <c r="K191" s="44">
        <v>0</v>
      </c>
      <c r="L191" s="44">
        <v>0</v>
      </c>
      <c r="M191" s="44">
        <v>0</v>
      </c>
      <c r="N191" s="44">
        <v>0</v>
      </c>
      <c r="O191" s="44">
        <v>0</v>
      </c>
      <c r="P191" s="44">
        <v>0</v>
      </c>
      <c r="Q191" s="44">
        <v>0</v>
      </c>
      <c r="R191" s="44">
        <v>0</v>
      </c>
      <c r="S191" s="44">
        <v>0</v>
      </c>
      <c r="T191" s="44"/>
      <c r="U191" s="44"/>
    </row>
    <row r="192" spans="1:21" x14ac:dyDescent="0.55000000000000004">
      <c r="A192" s="1" t="str">
        <f>'Population Definitions'!$A$10</f>
        <v>HCW</v>
      </c>
      <c r="B192" s="1" t="s">
        <v>14</v>
      </c>
      <c r="C192" s="2">
        <f t="shared" si="13"/>
        <v>0</v>
      </c>
      <c r="D192" s="1" t="s">
        <v>16</v>
      </c>
      <c r="E192" s="44"/>
      <c r="F192" s="44"/>
      <c r="G192" s="44"/>
      <c r="H192" s="44"/>
      <c r="I192" s="44"/>
      <c r="J192" s="44"/>
      <c r="K192" s="44"/>
      <c r="L192" s="44"/>
      <c r="M192" s="44"/>
      <c r="N192" s="44"/>
      <c r="O192" s="44"/>
      <c r="P192" s="44"/>
      <c r="Q192" s="44"/>
      <c r="R192" s="44"/>
      <c r="S192" s="44"/>
      <c r="T192" s="44"/>
      <c r="U192" s="44"/>
    </row>
    <row r="193" spans="1:21" x14ac:dyDescent="0.55000000000000004">
      <c r="A193" s="1" t="str">
        <f>'Population Definitions'!$A$11</f>
        <v>PLHIV HCW</v>
      </c>
      <c r="B193" s="1" t="s">
        <v>14</v>
      </c>
      <c r="C193" s="2">
        <f t="shared" si="13"/>
        <v>0</v>
      </c>
      <c r="D193" s="1" t="s">
        <v>16</v>
      </c>
      <c r="E193" s="44"/>
      <c r="F193" s="44"/>
      <c r="G193" s="44"/>
      <c r="H193" s="44"/>
      <c r="I193" s="44"/>
      <c r="J193" s="44"/>
      <c r="K193" s="44"/>
      <c r="L193" s="44"/>
      <c r="M193" s="44"/>
      <c r="N193" s="44"/>
      <c r="O193" s="44"/>
      <c r="P193" s="44"/>
      <c r="Q193" s="44"/>
      <c r="R193" s="44"/>
      <c r="S193" s="44"/>
      <c r="T193" s="44"/>
      <c r="U193" s="44"/>
    </row>
    <row r="194" spans="1:21" x14ac:dyDescent="0.55000000000000004">
      <c r="A194" s="1" t="str">
        <f>'Population Definitions'!$A$12</f>
        <v>Miners</v>
      </c>
      <c r="B194" s="1" t="s">
        <v>14</v>
      </c>
      <c r="C194" s="2" t="str">
        <f t="shared" si="13"/>
        <v>N.A.</v>
      </c>
      <c r="D194" s="1" t="s">
        <v>16</v>
      </c>
      <c r="E194" s="44"/>
      <c r="F194" s="44"/>
      <c r="G194" s="44"/>
      <c r="H194" s="44"/>
      <c r="I194" s="44"/>
      <c r="J194" s="44"/>
      <c r="K194" s="44"/>
      <c r="L194" s="44"/>
      <c r="M194" s="44"/>
      <c r="N194" s="44"/>
      <c r="O194" s="44"/>
      <c r="P194" s="44"/>
      <c r="Q194" s="44"/>
      <c r="R194" s="44"/>
      <c r="S194" s="44">
        <f>9.91726360489828/0.8</f>
        <v>12.396579506122848</v>
      </c>
      <c r="T194" s="44"/>
      <c r="U194" s="44"/>
    </row>
    <row r="195" spans="1:21" x14ac:dyDescent="0.55000000000000004">
      <c r="A195" s="1" t="str">
        <f>'Population Definitions'!$A$13</f>
        <v>PLHIV Miners</v>
      </c>
      <c r="B195" s="1" t="s">
        <v>14</v>
      </c>
      <c r="C195" s="2" t="str">
        <f t="shared" si="13"/>
        <v>N.A.</v>
      </c>
      <c r="D195" s="1" t="s">
        <v>16</v>
      </c>
      <c r="E195" s="44"/>
      <c r="F195" s="44"/>
      <c r="G195" s="44"/>
      <c r="H195" s="44"/>
      <c r="I195" s="44"/>
      <c r="J195" s="44"/>
      <c r="K195" s="44"/>
      <c r="L195" s="44"/>
      <c r="M195" s="44"/>
      <c r="N195" s="44"/>
      <c r="O195" s="44"/>
      <c r="P195" s="44"/>
      <c r="Q195" s="44"/>
      <c r="R195" s="44"/>
      <c r="S195" s="44">
        <f>15.1360055111778/0.8</f>
        <v>18.920006888972249</v>
      </c>
      <c r="T195" s="44"/>
      <c r="U195" s="44"/>
    </row>
    <row r="196" spans="1:21" x14ac:dyDescent="0.55000000000000004">
      <c r="E196" s="37"/>
      <c r="F196" s="37"/>
      <c r="G196" s="37"/>
      <c r="H196" s="37"/>
      <c r="I196" s="37"/>
      <c r="J196" s="37"/>
      <c r="K196" s="37"/>
      <c r="L196" s="37"/>
      <c r="M196" s="37"/>
      <c r="N196" s="37"/>
      <c r="O196" s="37"/>
      <c r="P196" s="37"/>
      <c r="Q196" s="37"/>
      <c r="R196" s="37"/>
      <c r="S196" s="37"/>
      <c r="T196" s="37"/>
      <c r="U196" s="37"/>
    </row>
    <row r="197" spans="1:21" x14ac:dyDescent="0.55000000000000004">
      <c r="A197" s="21" t="s">
        <v>95</v>
      </c>
      <c r="B197" s="1" t="s">
        <v>8</v>
      </c>
      <c r="C197" s="1" t="s">
        <v>9</v>
      </c>
      <c r="D197" s="1"/>
      <c r="E197" s="41">
        <v>2000</v>
      </c>
      <c r="F197" s="41">
        <v>2001</v>
      </c>
      <c r="G197" s="41">
        <v>2002</v>
      </c>
      <c r="H197" s="41">
        <v>2003</v>
      </c>
      <c r="I197" s="41">
        <v>2004</v>
      </c>
      <c r="J197" s="41">
        <v>2005</v>
      </c>
      <c r="K197" s="41">
        <v>2006</v>
      </c>
      <c r="L197" s="41">
        <v>2007</v>
      </c>
      <c r="M197" s="41">
        <v>2008</v>
      </c>
      <c r="N197" s="41">
        <v>2009</v>
      </c>
      <c r="O197" s="41">
        <v>2010</v>
      </c>
      <c r="P197" s="41">
        <v>2011</v>
      </c>
      <c r="Q197" s="41">
        <v>2012</v>
      </c>
      <c r="R197" s="41">
        <v>2013</v>
      </c>
      <c r="S197" s="41">
        <v>2014</v>
      </c>
      <c r="T197" s="41">
        <v>2015</v>
      </c>
      <c r="U197" s="41">
        <v>2016</v>
      </c>
    </row>
    <row r="198" spans="1:21" x14ac:dyDescent="0.55000000000000004">
      <c r="A198" s="1" t="str">
        <f>'Population Definitions'!$A$2</f>
        <v>Gen 0-4</v>
      </c>
      <c r="B198" s="1" t="s">
        <v>14</v>
      </c>
      <c r="C198" s="2" t="str">
        <f t="shared" ref="C198:C209" si="14">IF(SUMPRODUCT(--(E198:U198&lt;&gt;""))=0,0,"N.A.")</f>
        <v>N.A.</v>
      </c>
      <c r="D198" s="1" t="s">
        <v>16</v>
      </c>
      <c r="E198" s="44">
        <v>0</v>
      </c>
      <c r="F198" s="44">
        <v>0</v>
      </c>
      <c r="G198" s="44">
        <v>0</v>
      </c>
      <c r="H198" s="44">
        <v>0</v>
      </c>
      <c r="I198" s="44">
        <v>0</v>
      </c>
      <c r="J198" s="44">
        <v>0</v>
      </c>
      <c r="K198" s="44">
        <v>0</v>
      </c>
      <c r="L198" s="44">
        <v>0</v>
      </c>
      <c r="M198" s="44">
        <v>0</v>
      </c>
      <c r="N198" s="44">
        <v>0</v>
      </c>
      <c r="O198" s="44">
        <v>0</v>
      </c>
      <c r="P198" s="44">
        <v>0</v>
      </c>
      <c r="Q198" s="44">
        <v>1.2723906181692848</v>
      </c>
      <c r="R198" s="44">
        <v>0</v>
      </c>
      <c r="S198" s="44">
        <v>0</v>
      </c>
      <c r="T198" s="44"/>
      <c r="U198" s="44"/>
    </row>
    <row r="199" spans="1:21" x14ac:dyDescent="0.55000000000000004">
      <c r="A199" s="1" t="str">
        <f>'Population Definitions'!$A$3</f>
        <v>Gen 5-14</v>
      </c>
      <c r="B199" s="1" t="s">
        <v>14</v>
      </c>
      <c r="C199" s="2" t="str">
        <f t="shared" si="14"/>
        <v>N.A.</v>
      </c>
      <c r="D199" s="1" t="s">
        <v>16</v>
      </c>
      <c r="E199" s="44">
        <v>0</v>
      </c>
      <c r="F199" s="44">
        <v>0</v>
      </c>
      <c r="G199" s="44">
        <v>0</v>
      </c>
      <c r="H199" s="44">
        <v>0</v>
      </c>
      <c r="I199" s="44">
        <v>0</v>
      </c>
      <c r="J199" s="44">
        <v>0</v>
      </c>
      <c r="K199" s="44">
        <v>0</v>
      </c>
      <c r="L199" s="44">
        <v>1.455701093386234</v>
      </c>
      <c r="M199" s="44">
        <v>0</v>
      </c>
      <c r="N199" s="44">
        <v>0</v>
      </c>
      <c r="O199" s="44">
        <v>0</v>
      </c>
      <c r="P199" s="44">
        <v>0</v>
      </c>
      <c r="Q199" s="44">
        <v>0</v>
      </c>
      <c r="R199" s="44">
        <v>0</v>
      </c>
      <c r="S199" s="44">
        <v>0</v>
      </c>
      <c r="T199" s="44"/>
      <c r="U199" s="44"/>
    </row>
    <row r="200" spans="1:21" x14ac:dyDescent="0.55000000000000004">
      <c r="A200" s="1" t="str">
        <f>'Population Definitions'!$A$4</f>
        <v>Gen 15-64</v>
      </c>
      <c r="B200" s="1" t="s">
        <v>14</v>
      </c>
      <c r="C200" s="2" t="str">
        <f t="shared" si="14"/>
        <v>N.A.</v>
      </c>
      <c r="D200" s="1" t="s">
        <v>16</v>
      </c>
      <c r="E200" s="44">
        <v>2.7271188851172354</v>
      </c>
      <c r="F200" s="44">
        <v>2.9724171083982047</v>
      </c>
      <c r="G200" s="44">
        <v>3.1002521347406704</v>
      </c>
      <c r="H200" s="44">
        <v>3.455236384017923</v>
      </c>
      <c r="I200" s="44">
        <v>3.7618318304221479</v>
      </c>
      <c r="J200" s="44">
        <v>3.9658262443144352</v>
      </c>
      <c r="K200" s="44">
        <v>2.3573281212945023</v>
      </c>
      <c r="L200" s="44">
        <v>6.4360272495994275</v>
      </c>
      <c r="M200" s="44">
        <v>6.0590180151785624</v>
      </c>
      <c r="N200" s="44">
        <v>4.3965623652684167</v>
      </c>
      <c r="O200" s="44">
        <v>4.0808762403674166</v>
      </c>
      <c r="P200" s="44">
        <v>3.4800428329830497</v>
      </c>
      <c r="Q200" s="44">
        <v>4.4533671635924978</v>
      </c>
      <c r="R200" s="44">
        <v>3.1922331622434816</v>
      </c>
      <c r="S200" s="44">
        <v>3.7029077466732683</v>
      </c>
      <c r="T200" s="44"/>
      <c r="U200" s="44"/>
    </row>
    <row r="201" spans="1:21" x14ac:dyDescent="0.55000000000000004">
      <c r="A201" s="1" t="str">
        <f>'Population Definitions'!$A$5</f>
        <v>Gen 65+</v>
      </c>
      <c r="B201" s="1" t="s">
        <v>14</v>
      </c>
      <c r="C201" s="2" t="str">
        <f t="shared" si="14"/>
        <v>N.A.</v>
      </c>
      <c r="D201" s="1" t="s">
        <v>16</v>
      </c>
      <c r="E201" s="44">
        <v>0</v>
      </c>
      <c r="F201" s="44">
        <v>0</v>
      </c>
      <c r="G201" s="44">
        <v>0</v>
      </c>
      <c r="H201" s="44">
        <v>0</v>
      </c>
      <c r="I201" s="44">
        <v>0</v>
      </c>
      <c r="J201" s="44">
        <v>6.3107556654944025E-2</v>
      </c>
      <c r="K201" s="44">
        <v>0.10031167054455364</v>
      </c>
      <c r="L201" s="44">
        <v>0</v>
      </c>
      <c r="M201" s="44">
        <v>0</v>
      </c>
      <c r="N201" s="44">
        <v>0</v>
      </c>
      <c r="O201" s="44">
        <v>1.2442123148075099</v>
      </c>
      <c r="P201" s="44">
        <v>1.1600142776610163</v>
      </c>
      <c r="Q201" s="44">
        <v>0</v>
      </c>
      <c r="R201" s="44">
        <v>0</v>
      </c>
      <c r="S201" s="44">
        <v>0</v>
      </c>
      <c r="T201" s="44"/>
      <c r="U201" s="44"/>
    </row>
    <row r="202" spans="1:21" x14ac:dyDescent="0.55000000000000004">
      <c r="A202" s="1" t="str">
        <f>'Population Definitions'!$A$6</f>
        <v>PLHIV 15-64</v>
      </c>
      <c r="B202" s="1" t="s">
        <v>14</v>
      </c>
      <c r="C202" s="2" t="str">
        <f t="shared" si="14"/>
        <v>N.A.</v>
      </c>
      <c r="D202" s="1" t="s">
        <v>16</v>
      </c>
      <c r="E202" s="44">
        <v>4.7900075728704206</v>
      </c>
      <c r="F202" s="44">
        <v>5.1485725593844318</v>
      </c>
      <c r="G202" s="44">
        <v>5.2251901530683345</v>
      </c>
      <c r="H202" s="44">
        <v>5.8263392888977865</v>
      </c>
      <c r="I202" s="44">
        <v>6.6175986639520321</v>
      </c>
      <c r="J202" s="44">
        <v>7.2048578523456284</v>
      </c>
      <c r="K202" s="44">
        <v>10.617954398796073</v>
      </c>
      <c r="L202" s="44">
        <v>13.310874538944274</v>
      </c>
      <c r="M202" s="44">
        <v>4.7261612535959312</v>
      </c>
      <c r="N202" s="44">
        <v>9.0928903463505897</v>
      </c>
      <c r="O202" s="44">
        <v>15.355159916870466</v>
      </c>
      <c r="P202" s="44">
        <v>12.528154198738978</v>
      </c>
      <c r="Q202" s="44">
        <v>9.4306598758429363</v>
      </c>
      <c r="R202" s="44">
        <v>8.7060904424822212</v>
      </c>
      <c r="S202" s="44">
        <v>3.193757931505695</v>
      </c>
      <c r="T202" s="44"/>
      <c r="U202" s="44"/>
    </row>
    <row r="203" spans="1:21" x14ac:dyDescent="0.55000000000000004">
      <c r="A203" s="1" t="str">
        <f>'Population Definitions'!$A$7</f>
        <v>PLHIV 65+</v>
      </c>
      <c r="B203" s="1" t="s">
        <v>14</v>
      </c>
      <c r="C203" s="2" t="str">
        <f t="shared" si="14"/>
        <v>N.A.</v>
      </c>
      <c r="D203" s="1" t="s">
        <v>16</v>
      </c>
      <c r="E203" s="44">
        <v>0</v>
      </c>
      <c r="F203" s="44">
        <v>0</v>
      </c>
      <c r="G203" s="44">
        <v>0</v>
      </c>
      <c r="H203" s="44">
        <v>0</v>
      </c>
      <c r="I203" s="44">
        <v>0</v>
      </c>
      <c r="J203" s="44">
        <v>0</v>
      </c>
      <c r="K203" s="44">
        <v>0</v>
      </c>
      <c r="L203" s="44">
        <v>0</v>
      </c>
      <c r="M203" s="44">
        <v>0</v>
      </c>
      <c r="N203" s="44">
        <v>0</v>
      </c>
      <c r="O203" s="44">
        <v>0</v>
      </c>
      <c r="P203" s="44">
        <v>0</v>
      </c>
      <c r="Q203" s="44">
        <v>0</v>
      </c>
      <c r="R203" s="44">
        <v>0</v>
      </c>
      <c r="S203" s="44">
        <v>0</v>
      </c>
      <c r="T203" s="44"/>
      <c r="U203" s="44"/>
    </row>
    <row r="204" spans="1:21" x14ac:dyDescent="0.55000000000000004">
      <c r="A204" s="1" t="str">
        <f>'Population Definitions'!$A$8</f>
        <v>Prisoners</v>
      </c>
      <c r="B204" s="1" t="s">
        <v>14</v>
      </c>
      <c r="C204" s="2" t="str">
        <f t="shared" si="14"/>
        <v>N.A.</v>
      </c>
      <c r="D204" s="1" t="s">
        <v>16</v>
      </c>
      <c r="E204" s="44">
        <v>0</v>
      </c>
      <c r="F204" s="44">
        <v>0</v>
      </c>
      <c r="G204" s="44">
        <v>0</v>
      </c>
      <c r="H204" s="44">
        <v>0</v>
      </c>
      <c r="I204" s="44">
        <v>0</v>
      </c>
      <c r="J204" s="44">
        <v>0</v>
      </c>
      <c r="K204" s="44">
        <v>0</v>
      </c>
      <c r="L204" s="44">
        <v>0</v>
      </c>
      <c r="M204" s="44">
        <v>0</v>
      </c>
      <c r="N204" s="44">
        <v>0</v>
      </c>
      <c r="O204" s="44">
        <v>0</v>
      </c>
      <c r="P204" s="44">
        <v>0</v>
      </c>
      <c r="Q204" s="44">
        <v>0</v>
      </c>
      <c r="R204" s="44">
        <v>0</v>
      </c>
      <c r="S204" s="44">
        <v>0</v>
      </c>
      <c r="T204" s="44"/>
      <c r="U204" s="44"/>
    </row>
    <row r="205" spans="1:21" x14ac:dyDescent="0.55000000000000004">
      <c r="A205" s="1" t="str">
        <f>'Population Definitions'!$A$9</f>
        <v>PLHIV Prisoners</v>
      </c>
      <c r="B205" s="1" t="s">
        <v>14</v>
      </c>
      <c r="C205" s="2" t="str">
        <f t="shared" si="14"/>
        <v>N.A.</v>
      </c>
      <c r="D205" s="1" t="s">
        <v>16</v>
      </c>
      <c r="E205" s="44">
        <v>0</v>
      </c>
      <c r="F205" s="44">
        <v>0</v>
      </c>
      <c r="G205" s="44">
        <v>0</v>
      </c>
      <c r="H205" s="44">
        <v>0</v>
      </c>
      <c r="I205" s="44">
        <v>0</v>
      </c>
      <c r="J205" s="44">
        <v>0</v>
      </c>
      <c r="K205" s="44">
        <v>0</v>
      </c>
      <c r="L205" s="44">
        <v>0</v>
      </c>
      <c r="M205" s="44">
        <v>0</v>
      </c>
      <c r="N205" s="44">
        <v>0</v>
      </c>
      <c r="O205" s="44">
        <v>0</v>
      </c>
      <c r="P205" s="44">
        <v>0</v>
      </c>
      <c r="Q205" s="44">
        <v>0</v>
      </c>
      <c r="R205" s="44">
        <v>0</v>
      </c>
      <c r="S205" s="44">
        <v>0</v>
      </c>
      <c r="T205" s="44"/>
      <c r="U205" s="44"/>
    </row>
    <row r="206" spans="1:21" x14ac:dyDescent="0.55000000000000004">
      <c r="A206" s="1" t="str">
        <f>'Population Definitions'!$A$10</f>
        <v>HCW</v>
      </c>
      <c r="B206" s="1" t="s">
        <v>14</v>
      </c>
      <c r="C206" s="2">
        <f t="shared" si="14"/>
        <v>0</v>
      </c>
      <c r="D206" s="1" t="s">
        <v>16</v>
      </c>
      <c r="E206" s="44"/>
      <c r="F206" s="44"/>
      <c r="G206" s="44"/>
      <c r="H206" s="44"/>
      <c r="I206" s="44"/>
      <c r="J206" s="44"/>
      <c r="K206" s="44"/>
      <c r="L206" s="44"/>
      <c r="M206" s="44"/>
      <c r="N206" s="44"/>
      <c r="O206" s="44"/>
      <c r="P206" s="44"/>
      <c r="Q206" s="44"/>
      <c r="R206" s="44"/>
      <c r="S206" s="44"/>
      <c r="T206" s="44"/>
      <c r="U206" s="44"/>
    </row>
    <row r="207" spans="1:21" x14ac:dyDescent="0.55000000000000004">
      <c r="A207" s="1" t="str">
        <f>'Population Definitions'!$A$11</f>
        <v>PLHIV HCW</v>
      </c>
      <c r="B207" s="1" t="s">
        <v>14</v>
      </c>
      <c r="C207" s="2">
        <f t="shared" si="14"/>
        <v>0</v>
      </c>
      <c r="D207" s="1" t="s">
        <v>16</v>
      </c>
      <c r="E207" s="44"/>
      <c r="F207" s="44"/>
      <c r="G207" s="44"/>
      <c r="H207" s="44"/>
      <c r="I207" s="44"/>
      <c r="J207" s="44"/>
      <c r="K207" s="44"/>
      <c r="L207" s="44"/>
      <c r="M207" s="44"/>
      <c r="N207" s="44"/>
      <c r="O207" s="44"/>
      <c r="P207" s="44"/>
      <c r="Q207" s="44"/>
      <c r="R207" s="44"/>
      <c r="S207" s="44"/>
      <c r="T207" s="44"/>
      <c r="U207" s="44"/>
    </row>
    <row r="208" spans="1:21" x14ac:dyDescent="0.55000000000000004">
      <c r="A208" s="1" t="str">
        <f>'Population Definitions'!$A$12</f>
        <v>Miners</v>
      </c>
      <c r="B208" s="1" t="s">
        <v>14</v>
      </c>
      <c r="C208" s="2" t="str">
        <f t="shared" si="14"/>
        <v>N.A.</v>
      </c>
      <c r="D208" s="1" t="s">
        <v>16</v>
      </c>
      <c r="E208" s="44"/>
      <c r="F208" s="44"/>
      <c r="G208" s="44"/>
      <c r="H208" s="44"/>
      <c r="I208" s="44"/>
      <c r="J208" s="44"/>
      <c r="K208" s="44"/>
      <c r="L208" s="44"/>
      <c r="M208" s="44"/>
      <c r="N208" s="44"/>
      <c r="O208" s="44"/>
      <c r="P208" s="44"/>
      <c r="Q208" s="44"/>
      <c r="R208" s="44"/>
      <c r="S208" s="44">
        <f>0.881534542657625/0.8</f>
        <v>1.1019181783220311</v>
      </c>
      <c r="T208" s="44"/>
      <c r="U208" s="44"/>
    </row>
    <row r="209" spans="1:21" x14ac:dyDescent="0.55000000000000004">
      <c r="A209" s="1" t="str">
        <f>'Population Definitions'!$A$13</f>
        <v>PLHIV Miners</v>
      </c>
      <c r="B209" s="1" t="s">
        <v>14</v>
      </c>
      <c r="C209" s="2" t="str">
        <f t="shared" si="14"/>
        <v>N.A.</v>
      </c>
      <c r="D209" s="1" t="s">
        <v>16</v>
      </c>
      <c r="E209" s="44"/>
      <c r="F209" s="44"/>
      <c r="G209" s="44"/>
      <c r="H209" s="44"/>
      <c r="I209" s="44"/>
      <c r="J209" s="44"/>
      <c r="K209" s="44"/>
      <c r="L209" s="44"/>
      <c r="M209" s="44"/>
      <c r="N209" s="44"/>
      <c r="O209" s="44"/>
      <c r="P209" s="44"/>
      <c r="Q209" s="44"/>
      <c r="R209" s="44"/>
      <c r="S209" s="44">
        <f>1.3454227121047/0.8</f>
        <v>1.6817783901308749</v>
      </c>
      <c r="T209" s="44"/>
      <c r="U209" s="44"/>
    </row>
    <row r="210" spans="1:21" x14ac:dyDescent="0.55000000000000004">
      <c r="E210" s="37"/>
      <c r="F210" s="37"/>
      <c r="G210" s="37"/>
      <c r="H210" s="37"/>
      <c r="I210" s="37"/>
      <c r="J210" s="37"/>
      <c r="K210" s="37"/>
      <c r="L210" s="37"/>
      <c r="M210" s="37"/>
      <c r="N210" s="37"/>
      <c r="O210" s="37"/>
      <c r="P210" s="37"/>
      <c r="Q210" s="37"/>
      <c r="R210" s="37"/>
      <c r="S210" s="37"/>
      <c r="T210" s="37"/>
      <c r="U210" s="37"/>
    </row>
    <row r="211" spans="1:21" x14ac:dyDescent="0.55000000000000004">
      <c r="A211" s="21" t="s">
        <v>97</v>
      </c>
      <c r="B211" s="1" t="s">
        <v>8</v>
      </c>
      <c r="C211" s="1" t="s">
        <v>9</v>
      </c>
      <c r="D211" s="1"/>
      <c r="E211" s="41">
        <v>2000</v>
      </c>
      <c r="F211" s="41">
        <v>2001</v>
      </c>
      <c r="G211" s="41">
        <v>2002</v>
      </c>
      <c r="H211" s="41">
        <v>2003</v>
      </c>
      <c r="I211" s="41">
        <v>2004</v>
      </c>
      <c r="J211" s="41">
        <v>2005</v>
      </c>
      <c r="K211" s="41">
        <v>2006</v>
      </c>
      <c r="L211" s="41">
        <v>2007</v>
      </c>
      <c r="M211" s="41">
        <v>2008</v>
      </c>
      <c r="N211" s="41">
        <v>2009</v>
      </c>
      <c r="O211" s="41">
        <v>2010</v>
      </c>
      <c r="P211" s="41">
        <v>2011</v>
      </c>
      <c r="Q211" s="41">
        <v>2012</v>
      </c>
      <c r="R211" s="41">
        <v>2013</v>
      </c>
      <c r="S211" s="41">
        <v>2014</v>
      </c>
      <c r="T211" s="41">
        <v>2015</v>
      </c>
      <c r="U211" s="41">
        <v>2016</v>
      </c>
    </row>
    <row r="212" spans="1:21" x14ac:dyDescent="0.55000000000000004">
      <c r="A212" s="1" t="str">
        <f>'Population Definitions'!$A$2</f>
        <v>Gen 0-4</v>
      </c>
      <c r="B212" s="1" t="s">
        <v>14</v>
      </c>
      <c r="C212" s="2" t="str">
        <f t="shared" ref="C212:C223" si="15">IF(SUMPRODUCT(--(E212:U212&lt;&gt;""))=0,0,"N.A.")</f>
        <v>N.A.</v>
      </c>
      <c r="D212" s="1" t="s">
        <v>16</v>
      </c>
      <c r="E212" s="43">
        <f>E170*'Active TB Testing and Treatment'!G170</f>
        <v>178.88212218345666</v>
      </c>
      <c r="F212" s="44"/>
      <c r="G212" s="44"/>
      <c r="H212" s="44"/>
      <c r="I212" s="44"/>
      <c r="J212" s="44"/>
      <c r="K212" s="44"/>
      <c r="L212" s="44"/>
      <c r="M212" s="44"/>
      <c r="N212" s="44"/>
      <c r="O212" s="44"/>
      <c r="P212" s="44"/>
      <c r="Q212" s="44"/>
      <c r="R212" s="44"/>
      <c r="S212" s="44"/>
      <c r="T212" s="44"/>
      <c r="U212" s="44"/>
    </row>
    <row r="213" spans="1:21" x14ac:dyDescent="0.55000000000000004">
      <c r="A213" s="1" t="str">
        <f>'Population Definitions'!$A$3</f>
        <v>Gen 5-14</v>
      </c>
      <c r="B213" s="1" t="s">
        <v>14</v>
      </c>
      <c r="C213" s="2" t="str">
        <f t="shared" si="15"/>
        <v>N.A.</v>
      </c>
      <c r="D213" s="1" t="s">
        <v>16</v>
      </c>
      <c r="E213" s="43">
        <f>E171*'Active TB Testing and Treatment'!G171</f>
        <v>102.71636770678218</v>
      </c>
      <c r="F213" s="44"/>
      <c r="G213" s="44"/>
      <c r="H213" s="44"/>
      <c r="I213" s="44"/>
      <c r="J213" s="44"/>
      <c r="K213" s="44"/>
      <c r="L213" s="44"/>
      <c r="M213" s="44"/>
      <c r="N213" s="44"/>
      <c r="O213" s="44"/>
      <c r="P213" s="44"/>
      <c r="Q213" s="44"/>
      <c r="R213" s="44"/>
      <c r="S213" s="44"/>
      <c r="T213" s="44"/>
      <c r="U213" s="44"/>
    </row>
    <row r="214" spans="1:21" x14ac:dyDescent="0.55000000000000004">
      <c r="A214" s="1" t="str">
        <f>'Population Definitions'!$A$4</f>
        <v>Gen 15-64</v>
      </c>
      <c r="B214" s="1" t="s">
        <v>14</v>
      </c>
      <c r="C214" s="2" t="str">
        <f t="shared" si="15"/>
        <v>N.A.</v>
      </c>
      <c r="D214" s="1" t="s">
        <v>16</v>
      </c>
      <c r="E214" s="43">
        <f>E172*'Active TB Testing and Treatment'!G172</f>
        <v>198.10576465856585</v>
      </c>
      <c r="F214" s="44"/>
      <c r="G214" s="44"/>
      <c r="H214" s="44"/>
      <c r="I214" s="44"/>
      <c r="J214" s="44"/>
      <c r="K214" s="44"/>
      <c r="L214" s="44"/>
      <c r="M214" s="44"/>
      <c r="N214" s="44"/>
      <c r="O214" s="44"/>
      <c r="P214" s="44"/>
      <c r="Q214" s="44"/>
      <c r="R214" s="44"/>
      <c r="S214" s="44"/>
      <c r="T214" s="44"/>
      <c r="U214" s="44"/>
    </row>
    <row r="215" spans="1:21" x14ac:dyDescent="0.55000000000000004">
      <c r="A215" s="1" t="str">
        <f>'Population Definitions'!$A$5</f>
        <v>Gen 65+</v>
      </c>
      <c r="B215" s="1" t="s">
        <v>14</v>
      </c>
      <c r="C215" s="2" t="str">
        <f t="shared" si="15"/>
        <v>N.A.</v>
      </c>
      <c r="D215" s="1" t="s">
        <v>16</v>
      </c>
      <c r="E215" s="43">
        <f>E173*'Active TB Testing and Treatment'!G173</f>
        <v>24.122703403896331</v>
      </c>
      <c r="F215" s="44"/>
      <c r="G215" s="44"/>
      <c r="H215" s="44"/>
      <c r="I215" s="44"/>
      <c r="J215" s="44"/>
      <c r="K215" s="44"/>
      <c r="L215" s="44"/>
      <c r="M215" s="44"/>
      <c r="N215" s="44"/>
      <c r="O215" s="44"/>
      <c r="P215" s="44"/>
      <c r="Q215" s="44"/>
      <c r="R215" s="44"/>
      <c r="S215" s="44"/>
      <c r="T215" s="44"/>
      <c r="U215" s="44"/>
    </row>
    <row r="216" spans="1:21" x14ac:dyDescent="0.55000000000000004">
      <c r="A216" s="1" t="str">
        <f>'Population Definitions'!$A$6</f>
        <v>PLHIV 15-64</v>
      </c>
      <c r="B216" s="1" t="s">
        <v>14</v>
      </c>
      <c r="C216" s="2" t="str">
        <f t="shared" si="15"/>
        <v>N.A.</v>
      </c>
      <c r="D216" s="1" t="s">
        <v>16</v>
      </c>
      <c r="E216" s="43">
        <f>E174*'Active TB Testing and Treatment'!G174</f>
        <v>1447.6071711067266</v>
      </c>
      <c r="F216" s="44"/>
      <c r="G216" s="44"/>
      <c r="H216" s="44"/>
      <c r="I216" s="44"/>
      <c r="J216" s="44"/>
      <c r="K216" s="44"/>
      <c r="L216" s="44"/>
      <c r="M216" s="44"/>
      <c r="N216" s="44"/>
      <c r="O216" s="44"/>
      <c r="P216" s="44"/>
      <c r="Q216" s="44"/>
      <c r="R216" s="44"/>
      <c r="S216" s="44"/>
      <c r="T216" s="44"/>
      <c r="U216" s="44"/>
    </row>
    <row r="217" spans="1:21" x14ac:dyDescent="0.55000000000000004">
      <c r="A217" s="1" t="str">
        <f>'Population Definitions'!$A$7</f>
        <v>PLHIV 65+</v>
      </c>
      <c r="B217" s="1" t="s">
        <v>14</v>
      </c>
      <c r="C217" s="2" t="str">
        <f t="shared" si="15"/>
        <v>N.A.</v>
      </c>
      <c r="D217" s="1" t="s">
        <v>16</v>
      </c>
      <c r="E217" s="43">
        <f>E175*'Active TB Testing and Treatment'!G175</f>
        <v>9.284847911783725</v>
      </c>
      <c r="F217" s="44"/>
      <c r="G217" s="44"/>
      <c r="H217" s="44"/>
      <c r="I217" s="44"/>
      <c r="J217" s="44"/>
      <c r="K217" s="44"/>
      <c r="L217" s="44"/>
      <c r="M217" s="44"/>
      <c r="N217" s="44"/>
      <c r="O217" s="44"/>
      <c r="P217" s="44"/>
      <c r="Q217" s="44"/>
      <c r="R217" s="44"/>
      <c r="S217" s="44"/>
      <c r="T217" s="44"/>
      <c r="U217" s="44"/>
    </row>
    <row r="218" spans="1:21" x14ac:dyDescent="0.55000000000000004">
      <c r="A218" s="1" t="str">
        <f>'Population Definitions'!$A$8</f>
        <v>Prisoners</v>
      </c>
      <c r="B218" s="1" t="s">
        <v>14</v>
      </c>
      <c r="C218" s="2" t="str">
        <f t="shared" si="15"/>
        <v>N.A.</v>
      </c>
      <c r="D218" s="1" t="s">
        <v>16</v>
      </c>
      <c r="E218" s="43">
        <f>E176*'Active TB Testing and Treatment'!G176</f>
        <v>83.229296589255682</v>
      </c>
      <c r="F218" s="44"/>
      <c r="G218" s="44"/>
      <c r="H218" s="44"/>
      <c r="I218" s="44"/>
      <c r="J218" s="44"/>
      <c r="K218" s="44"/>
      <c r="L218" s="44"/>
      <c r="M218" s="44"/>
      <c r="N218" s="44"/>
      <c r="O218" s="44"/>
      <c r="P218" s="44"/>
      <c r="Q218" s="44"/>
      <c r="R218" s="44"/>
      <c r="S218" s="44"/>
      <c r="T218" s="44"/>
      <c r="U218" s="44"/>
    </row>
    <row r="219" spans="1:21" x14ac:dyDescent="0.55000000000000004">
      <c r="A219" s="1" t="str">
        <f>'Population Definitions'!$A$9</f>
        <v>PLHIV Prisoners</v>
      </c>
      <c r="B219" s="1" t="s">
        <v>14</v>
      </c>
      <c r="C219" s="2" t="str">
        <f t="shared" si="15"/>
        <v>N.A.</v>
      </c>
      <c r="D219" s="1" t="s">
        <v>16</v>
      </c>
      <c r="E219" s="43">
        <f>E177*'Active TB Testing and Treatment'!G177</f>
        <v>68.14670058125489</v>
      </c>
      <c r="F219" s="44"/>
      <c r="G219" s="44"/>
      <c r="H219" s="44"/>
      <c r="I219" s="44"/>
      <c r="J219" s="44"/>
      <c r="K219" s="44"/>
      <c r="L219" s="44"/>
      <c r="M219" s="44"/>
      <c r="N219" s="44"/>
      <c r="O219" s="44"/>
      <c r="P219" s="44"/>
      <c r="Q219" s="44"/>
      <c r="R219" s="44"/>
      <c r="S219" s="44"/>
      <c r="T219" s="44"/>
      <c r="U219" s="44"/>
    </row>
    <row r="220" spans="1:21" x14ac:dyDescent="0.55000000000000004">
      <c r="A220" s="1" t="str">
        <f>'Population Definitions'!$A$10</f>
        <v>HCW</v>
      </c>
      <c r="B220" s="1" t="s">
        <v>14</v>
      </c>
      <c r="C220" s="2">
        <f t="shared" si="15"/>
        <v>0</v>
      </c>
      <c r="D220" s="1" t="s">
        <v>16</v>
      </c>
      <c r="E220" s="44"/>
      <c r="F220" s="44"/>
      <c r="G220" s="44"/>
      <c r="H220" s="44"/>
      <c r="I220" s="44"/>
      <c r="J220" s="44"/>
      <c r="K220" s="44"/>
      <c r="L220" s="44"/>
      <c r="M220" s="44"/>
      <c r="N220" s="44"/>
      <c r="O220" s="44"/>
      <c r="P220" s="44"/>
      <c r="Q220" s="44"/>
      <c r="R220" s="44"/>
      <c r="S220" s="44"/>
      <c r="T220" s="44"/>
      <c r="U220" s="44"/>
    </row>
    <row r="221" spans="1:21" x14ac:dyDescent="0.55000000000000004">
      <c r="A221" s="1" t="str">
        <f>'Population Definitions'!$A$11</f>
        <v>PLHIV HCW</v>
      </c>
      <c r="B221" s="1" t="s">
        <v>14</v>
      </c>
      <c r="C221" s="2">
        <f t="shared" si="15"/>
        <v>0</v>
      </c>
      <c r="D221" s="1" t="s">
        <v>16</v>
      </c>
      <c r="E221" s="44"/>
      <c r="F221" s="44"/>
      <c r="G221" s="44"/>
      <c r="H221" s="44"/>
      <c r="I221" s="44"/>
      <c r="J221" s="44"/>
      <c r="K221" s="44"/>
      <c r="L221" s="44"/>
      <c r="M221" s="44"/>
      <c r="N221" s="44"/>
      <c r="O221" s="44"/>
      <c r="P221" s="44"/>
      <c r="Q221" s="44"/>
      <c r="R221" s="44"/>
      <c r="S221" s="44"/>
      <c r="T221" s="44"/>
      <c r="U221" s="44"/>
    </row>
    <row r="222" spans="1:21" x14ac:dyDescent="0.55000000000000004">
      <c r="A222" s="1" t="str">
        <f>'Population Definitions'!$A$12</f>
        <v>Miners</v>
      </c>
      <c r="B222" s="1" t="s">
        <v>14</v>
      </c>
      <c r="C222" s="2">
        <f t="shared" si="15"/>
        <v>0</v>
      </c>
      <c r="D222" s="1" t="s">
        <v>16</v>
      </c>
      <c r="E222" s="44"/>
      <c r="F222" s="44"/>
      <c r="G222" s="44"/>
      <c r="H222" s="44"/>
      <c r="I222" s="44"/>
      <c r="J222" s="44"/>
      <c r="K222" s="44"/>
      <c r="L222" s="44"/>
      <c r="M222" s="44"/>
      <c r="N222" s="44"/>
      <c r="O222" s="44"/>
      <c r="P222" s="44"/>
      <c r="Q222" s="44"/>
      <c r="R222" s="44"/>
      <c r="S222" s="44"/>
      <c r="T222" s="44"/>
      <c r="U222" s="44"/>
    </row>
    <row r="223" spans="1:21" x14ac:dyDescent="0.55000000000000004">
      <c r="A223" s="1" t="str">
        <f>'Population Definitions'!$A$13</f>
        <v>PLHIV Miners</v>
      </c>
      <c r="B223" s="1" t="s">
        <v>14</v>
      </c>
      <c r="C223" s="2">
        <f t="shared" si="15"/>
        <v>0</v>
      </c>
      <c r="D223" s="1" t="s">
        <v>16</v>
      </c>
      <c r="E223" s="44"/>
      <c r="F223" s="44"/>
      <c r="G223" s="44"/>
      <c r="H223" s="44"/>
      <c r="I223" s="44"/>
      <c r="J223" s="44"/>
      <c r="K223" s="44"/>
      <c r="L223" s="44"/>
      <c r="M223" s="44"/>
      <c r="N223" s="44"/>
      <c r="O223" s="44"/>
      <c r="P223" s="44"/>
      <c r="Q223" s="44"/>
      <c r="R223" s="44"/>
      <c r="S223" s="44"/>
      <c r="T223" s="44"/>
      <c r="U223" s="44"/>
    </row>
    <row r="224" spans="1:21" x14ac:dyDescent="0.55000000000000004">
      <c r="E224" s="37"/>
      <c r="F224" s="37"/>
      <c r="G224" s="37"/>
      <c r="H224" s="37"/>
      <c r="I224" s="37"/>
      <c r="J224" s="37"/>
      <c r="K224" s="37"/>
      <c r="L224" s="37"/>
      <c r="M224" s="37"/>
      <c r="N224" s="37"/>
      <c r="O224" s="37"/>
      <c r="P224" s="37"/>
      <c r="Q224" s="37"/>
      <c r="R224" s="37"/>
      <c r="S224" s="37"/>
      <c r="T224" s="37"/>
      <c r="U224" s="37"/>
    </row>
    <row r="225" spans="1:21" x14ac:dyDescent="0.55000000000000004">
      <c r="A225" s="21" t="s">
        <v>99</v>
      </c>
      <c r="B225" s="1" t="s">
        <v>8</v>
      </c>
      <c r="C225" s="1" t="s">
        <v>9</v>
      </c>
      <c r="D225" s="1"/>
      <c r="E225" s="41">
        <v>2000</v>
      </c>
      <c r="F225" s="41">
        <v>2001</v>
      </c>
      <c r="G225" s="41">
        <v>2002</v>
      </c>
      <c r="H225" s="41">
        <v>2003</v>
      </c>
      <c r="I225" s="41">
        <v>2004</v>
      </c>
      <c r="J225" s="41">
        <v>2005</v>
      </c>
      <c r="K225" s="41">
        <v>2006</v>
      </c>
      <c r="L225" s="41">
        <v>2007</v>
      </c>
      <c r="M225" s="41">
        <v>2008</v>
      </c>
      <c r="N225" s="41">
        <v>2009</v>
      </c>
      <c r="O225" s="41">
        <v>2010</v>
      </c>
      <c r="P225" s="41">
        <v>2011</v>
      </c>
      <c r="Q225" s="41">
        <v>2012</v>
      </c>
      <c r="R225" s="41">
        <v>2013</v>
      </c>
      <c r="S225" s="41">
        <v>2014</v>
      </c>
      <c r="T225" s="41">
        <v>2015</v>
      </c>
      <c r="U225" s="41">
        <v>2016</v>
      </c>
    </row>
    <row r="226" spans="1:21" x14ac:dyDescent="0.55000000000000004">
      <c r="A226" s="1" t="str">
        <f>'Population Definitions'!$A$2</f>
        <v>Gen 0-4</v>
      </c>
      <c r="B226" s="1" t="s">
        <v>14</v>
      </c>
      <c r="C226" s="2" t="str">
        <f t="shared" ref="C226:C237" si="16">IF(SUMPRODUCT(--(E226:U226&lt;&gt;""))=0,0,"N.A.")</f>
        <v>N.A.</v>
      </c>
      <c r="D226" s="1" t="s">
        <v>16</v>
      </c>
      <c r="E226" s="43">
        <f>E184*'Active TB Testing and Treatment'!M226</f>
        <v>1.2854479894527737</v>
      </c>
      <c r="F226" s="44"/>
      <c r="G226" s="44"/>
      <c r="H226" s="44"/>
      <c r="I226" s="44"/>
      <c r="J226" s="44"/>
      <c r="K226" s="44"/>
      <c r="L226" s="44"/>
      <c r="M226" s="44"/>
      <c r="N226" s="44"/>
      <c r="O226" s="44"/>
      <c r="P226" s="44"/>
      <c r="Q226" s="44"/>
      <c r="R226" s="44"/>
      <c r="S226" s="44"/>
      <c r="T226" s="44"/>
      <c r="U226" s="44"/>
    </row>
    <row r="227" spans="1:21" x14ac:dyDescent="0.55000000000000004">
      <c r="A227" s="1" t="str">
        <f>'Population Definitions'!$A$3</f>
        <v>Gen 5-14</v>
      </c>
      <c r="B227" s="1" t="s">
        <v>14</v>
      </c>
      <c r="C227" s="2" t="str">
        <f t="shared" si="16"/>
        <v>N.A.</v>
      </c>
      <c r="D227" s="1" t="s">
        <v>16</v>
      </c>
      <c r="E227" s="43">
        <f>E185*'Active TB Testing and Treatment'!L227</f>
        <v>2.4967869472433435</v>
      </c>
      <c r="F227" s="44"/>
      <c r="G227" s="44"/>
      <c r="H227" s="44"/>
      <c r="I227" s="44"/>
      <c r="J227" s="44"/>
      <c r="K227" s="44"/>
      <c r="L227" s="44"/>
      <c r="M227" s="44"/>
      <c r="N227" s="44"/>
      <c r="O227" s="44"/>
      <c r="P227" s="44"/>
      <c r="Q227" s="44"/>
      <c r="R227" s="44"/>
      <c r="S227" s="44"/>
      <c r="T227" s="44"/>
      <c r="U227" s="44"/>
    </row>
    <row r="228" spans="1:21" x14ac:dyDescent="0.55000000000000004">
      <c r="A228" s="1" t="str">
        <f>'Population Definitions'!$A$4</f>
        <v>Gen 15-64</v>
      </c>
      <c r="B228" s="1" t="s">
        <v>14</v>
      </c>
      <c r="C228" s="2" t="str">
        <f t="shared" si="16"/>
        <v>N.A.</v>
      </c>
      <c r="D228" s="1" t="s">
        <v>16</v>
      </c>
      <c r="E228" s="43">
        <f>E186*'Active TB Testing and Treatment'!L228</f>
        <v>29.408215859327498</v>
      </c>
      <c r="F228" s="44"/>
      <c r="G228" s="44"/>
      <c r="H228" s="44"/>
      <c r="I228" s="44"/>
      <c r="J228" s="44"/>
      <c r="K228" s="44"/>
      <c r="L228" s="44"/>
      <c r="M228" s="44"/>
      <c r="N228" s="44"/>
      <c r="O228" s="44"/>
      <c r="P228" s="44"/>
      <c r="Q228" s="44"/>
      <c r="R228" s="44"/>
      <c r="S228" s="44"/>
      <c r="T228" s="44"/>
      <c r="U228" s="44"/>
    </row>
    <row r="229" spans="1:21" x14ac:dyDescent="0.55000000000000004">
      <c r="A229" s="1" t="str">
        <f>'Population Definitions'!$A$5</f>
        <v>Gen 65+</v>
      </c>
      <c r="B229" s="1" t="s">
        <v>14</v>
      </c>
      <c r="C229" s="2" t="str">
        <f t="shared" si="16"/>
        <v>N.A.</v>
      </c>
      <c r="D229" s="1" t="s">
        <v>16</v>
      </c>
      <c r="E229" s="43">
        <f>E187*'Active TB Testing and Treatment'!M229</f>
        <v>0.92293585989307281</v>
      </c>
      <c r="F229" s="44"/>
      <c r="G229" s="44"/>
      <c r="H229" s="44"/>
      <c r="I229" s="44"/>
      <c r="J229" s="44"/>
      <c r="K229" s="44"/>
      <c r="L229" s="44"/>
      <c r="M229" s="44"/>
      <c r="N229" s="44"/>
      <c r="O229" s="44"/>
      <c r="P229" s="44"/>
      <c r="Q229" s="44"/>
      <c r="R229" s="44"/>
      <c r="S229" s="44"/>
      <c r="T229" s="44"/>
      <c r="U229" s="44"/>
    </row>
    <row r="230" spans="1:21" x14ac:dyDescent="0.55000000000000004">
      <c r="A230" s="1" t="str">
        <f>'Population Definitions'!$A$6</f>
        <v>PLHIV 15-64</v>
      </c>
      <c r="B230" s="1" t="s">
        <v>14</v>
      </c>
      <c r="C230" s="2" t="str">
        <f t="shared" si="16"/>
        <v>N.A.</v>
      </c>
      <c r="D230" s="1" t="s">
        <v>16</v>
      </c>
      <c r="E230" s="43">
        <f>E188*'Active TB Testing and Treatment'!L230</f>
        <v>7.5492510537538076</v>
      </c>
      <c r="F230" s="44"/>
      <c r="G230" s="44"/>
      <c r="H230" s="44"/>
      <c r="I230" s="44"/>
      <c r="J230" s="44"/>
      <c r="K230" s="44"/>
      <c r="L230" s="44"/>
      <c r="M230" s="44"/>
      <c r="N230" s="44"/>
      <c r="O230" s="44"/>
      <c r="P230" s="44"/>
      <c r="Q230" s="44"/>
      <c r="R230" s="44"/>
      <c r="S230" s="44"/>
      <c r="T230" s="44"/>
      <c r="U230" s="44"/>
    </row>
    <row r="231" spans="1:21" x14ac:dyDescent="0.55000000000000004">
      <c r="A231" s="1" t="str">
        <f>'Population Definitions'!$A$7</f>
        <v>PLHIV 65+</v>
      </c>
      <c r="B231" s="1" t="s">
        <v>14</v>
      </c>
      <c r="C231" s="2">
        <f t="shared" si="16"/>
        <v>0</v>
      </c>
      <c r="D231" s="1" t="s">
        <v>16</v>
      </c>
      <c r="E231" s="43"/>
      <c r="F231" s="44"/>
      <c r="G231" s="44"/>
      <c r="H231" s="44"/>
      <c r="I231" s="44"/>
      <c r="J231" s="44"/>
      <c r="K231" s="44"/>
      <c r="L231" s="44"/>
      <c r="M231" s="44"/>
      <c r="N231" s="44"/>
      <c r="O231" s="44"/>
      <c r="P231" s="44"/>
      <c r="Q231" s="44"/>
      <c r="R231" s="44"/>
      <c r="S231" s="44"/>
      <c r="T231" s="44"/>
      <c r="U231" s="44"/>
    </row>
    <row r="232" spans="1:21" x14ac:dyDescent="0.55000000000000004">
      <c r="A232" s="1" t="str">
        <f>'Population Definitions'!$A$8</f>
        <v>Prisoners</v>
      </c>
      <c r="B232" s="1" t="s">
        <v>14</v>
      </c>
      <c r="C232" s="2">
        <f t="shared" si="16"/>
        <v>0</v>
      </c>
      <c r="D232" s="1" t="s">
        <v>16</v>
      </c>
      <c r="E232" s="44"/>
      <c r="F232" s="44"/>
      <c r="G232" s="44"/>
      <c r="H232" s="44"/>
      <c r="I232" s="44"/>
      <c r="J232" s="44"/>
      <c r="K232" s="44"/>
      <c r="L232" s="44"/>
      <c r="M232" s="44"/>
      <c r="N232" s="44"/>
      <c r="O232" s="44"/>
      <c r="P232" s="44"/>
      <c r="Q232" s="44"/>
      <c r="R232" s="44"/>
      <c r="S232" s="44"/>
      <c r="T232" s="44"/>
      <c r="U232" s="44"/>
    </row>
    <row r="233" spans="1:21" x14ac:dyDescent="0.55000000000000004">
      <c r="A233" s="1" t="str">
        <f>'Population Definitions'!$A$9</f>
        <v>PLHIV Prisoners</v>
      </c>
      <c r="B233" s="1" t="s">
        <v>14</v>
      </c>
      <c r="C233" s="2">
        <f t="shared" si="16"/>
        <v>0</v>
      </c>
      <c r="D233" s="1" t="s">
        <v>16</v>
      </c>
      <c r="E233" s="44"/>
      <c r="F233" s="44"/>
      <c r="G233" s="44"/>
      <c r="H233" s="44"/>
      <c r="I233" s="44"/>
      <c r="J233" s="44"/>
      <c r="K233" s="44"/>
      <c r="L233" s="44"/>
      <c r="M233" s="44"/>
      <c r="N233" s="44"/>
      <c r="O233" s="44"/>
      <c r="P233" s="44"/>
      <c r="Q233" s="44"/>
      <c r="R233" s="44"/>
      <c r="S233" s="44"/>
      <c r="T233" s="44"/>
      <c r="U233" s="44"/>
    </row>
    <row r="234" spans="1:21" x14ac:dyDescent="0.55000000000000004">
      <c r="A234" s="1" t="str">
        <f>'Population Definitions'!$A$10</f>
        <v>HCW</v>
      </c>
      <c r="B234" s="1" t="s">
        <v>14</v>
      </c>
      <c r="C234" s="2">
        <f t="shared" si="16"/>
        <v>0</v>
      </c>
      <c r="D234" s="1" t="s">
        <v>16</v>
      </c>
      <c r="E234" s="44"/>
      <c r="F234" s="44"/>
      <c r="G234" s="44"/>
      <c r="H234" s="44"/>
      <c r="I234" s="44"/>
      <c r="J234" s="44"/>
      <c r="K234" s="44"/>
      <c r="L234" s="44"/>
      <c r="M234" s="44"/>
      <c r="N234" s="44"/>
      <c r="O234" s="44"/>
      <c r="P234" s="44"/>
      <c r="Q234" s="44"/>
      <c r="R234" s="44"/>
      <c r="S234" s="44"/>
      <c r="T234" s="44"/>
      <c r="U234" s="44"/>
    </row>
    <row r="235" spans="1:21" x14ac:dyDescent="0.55000000000000004">
      <c r="A235" s="1" t="str">
        <f>'Population Definitions'!$A$11</f>
        <v>PLHIV HCW</v>
      </c>
      <c r="B235" s="1" t="s">
        <v>14</v>
      </c>
      <c r="C235" s="2">
        <f t="shared" si="16"/>
        <v>0</v>
      </c>
      <c r="D235" s="1" t="s">
        <v>16</v>
      </c>
      <c r="E235" s="44"/>
      <c r="F235" s="44"/>
      <c r="G235" s="44"/>
      <c r="H235" s="44"/>
      <c r="I235" s="44"/>
      <c r="J235" s="44"/>
      <c r="K235" s="44"/>
      <c r="L235" s="44"/>
      <c r="M235" s="44"/>
      <c r="N235" s="44"/>
      <c r="O235" s="44"/>
      <c r="P235" s="44"/>
      <c r="Q235" s="44"/>
      <c r="R235" s="44"/>
      <c r="S235" s="44"/>
      <c r="T235" s="44"/>
      <c r="U235" s="44"/>
    </row>
    <row r="236" spans="1:21" x14ac:dyDescent="0.55000000000000004">
      <c r="A236" s="1" t="str">
        <f>'Population Definitions'!$A$12</f>
        <v>Miners</v>
      </c>
      <c r="B236" s="1" t="s">
        <v>14</v>
      </c>
      <c r="C236" s="2">
        <f t="shared" si="16"/>
        <v>0</v>
      </c>
      <c r="D236" s="1" t="s">
        <v>16</v>
      </c>
      <c r="E236" s="44"/>
      <c r="F236" s="44"/>
      <c r="G236" s="44"/>
      <c r="H236" s="44"/>
      <c r="I236" s="44"/>
      <c r="J236" s="44"/>
      <c r="K236" s="44"/>
      <c r="L236" s="44"/>
      <c r="M236" s="44"/>
      <c r="N236" s="44"/>
      <c r="O236" s="44"/>
      <c r="P236" s="44"/>
      <c r="Q236" s="44"/>
      <c r="R236" s="44"/>
      <c r="S236" s="44"/>
      <c r="T236" s="44"/>
      <c r="U236" s="44"/>
    </row>
    <row r="237" spans="1:21" x14ac:dyDescent="0.55000000000000004">
      <c r="A237" s="1" t="str">
        <f>'Population Definitions'!$A$13</f>
        <v>PLHIV Miners</v>
      </c>
      <c r="B237" s="1" t="s">
        <v>14</v>
      </c>
      <c r="C237" s="2">
        <f t="shared" si="16"/>
        <v>0</v>
      </c>
      <c r="D237" s="1" t="s">
        <v>16</v>
      </c>
      <c r="E237" s="44"/>
      <c r="F237" s="44"/>
      <c r="G237" s="44"/>
      <c r="H237" s="44"/>
      <c r="I237" s="44"/>
      <c r="J237" s="44"/>
      <c r="K237" s="44"/>
      <c r="L237" s="44"/>
      <c r="M237" s="44"/>
      <c r="N237" s="44"/>
      <c r="O237" s="44"/>
      <c r="P237" s="44"/>
      <c r="Q237" s="44"/>
      <c r="R237" s="44"/>
      <c r="S237" s="44"/>
      <c r="T237" s="44"/>
      <c r="U237" s="44"/>
    </row>
    <row r="238" spans="1:21" x14ac:dyDescent="0.55000000000000004">
      <c r="E238" s="37"/>
      <c r="F238" s="37"/>
      <c r="G238" s="37"/>
      <c r="H238" s="37"/>
      <c r="I238" s="37"/>
      <c r="J238" s="37"/>
      <c r="K238" s="37"/>
      <c r="L238" s="37"/>
      <c r="M238" s="37"/>
      <c r="N238" s="37"/>
      <c r="O238" s="37"/>
      <c r="P238" s="37"/>
      <c r="Q238" s="37"/>
      <c r="R238" s="37"/>
      <c r="S238" s="37"/>
      <c r="T238" s="37"/>
      <c r="U238" s="37"/>
    </row>
    <row r="239" spans="1:21" x14ac:dyDescent="0.55000000000000004">
      <c r="A239" s="21" t="s">
        <v>101</v>
      </c>
      <c r="B239" s="1" t="s">
        <v>8</v>
      </c>
      <c r="C239" s="1" t="s">
        <v>9</v>
      </c>
      <c r="D239" s="1"/>
      <c r="E239" s="41">
        <v>2000</v>
      </c>
      <c r="F239" s="41">
        <v>2001</v>
      </c>
      <c r="G239" s="41">
        <v>2002</v>
      </c>
      <c r="H239" s="41">
        <v>2003</v>
      </c>
      <c r="I239" s="41">
        <v>2004</v>
      </c>
      <c r="J239" s="41">
        <v>2005</v>
      </c>
      <c r="K239" s="41">
        <v>2006</v>
      </c>
      <c r="L239" s="41">
        <v>2007</v>
      </c>
      <c r="M239" s="41">
        <v>2008</v>
      </c>
      <c r="N239" s="41">
        <v>2009</v>
      </c>
      <c r="O239" s="41">
        <v>2010</v>
      </c>
      <c r="P239" s="41">
        <v>2011</v>
      </c>
      <c r="Q239" s="41">
        <v>2012</v>
      </c>
      <c r="R239" s="41">
        <v>2013</v>
      </c>
      <c r="S239" s="41">
        <v>2014</v>
      </c>
      <c r="T239" s="41">
        <v>2015</v>
      </c>
      <c r="U239" s="41">
        <v>2016</v>
      </c>
    </row>
    <row r="240" spans="1:21" x14ac:dyDescent="0.55000000000000004">
      <c r="A240" s="1" t="str">
        <f>'Population Definitions'!$A$2</f>
        <v>Gen 0-4</v>
      </c>
      <c r="B240" s="1" t="s">
        <v>14</v>
      </c>
      <c r="C240" s="2">
        <f t="shared" ref="C240:C251" si="17">IF(SUMPRODUCT(--(E240:U240&lt;&gt;""))=0,0,"N.A.")</f>
        <v>0</v>
      </c>
      <c r="D240" s="1" t="s">
        <v>16</v>
      </c>
      <c r="E240" s="44"/>
      <c r="F240" s="44"/>
      <c r="G240" s="44"/>
      <c r="H240" s="44"/>
      <c r="I240" s="44"/>
      <c r="J240" s="44"/>
      <c r="K240" s="44"/>
      <c r="L240" s="44"/>
      <c r="M240" s="44"/>
      <c r="N240" s="44"/>
      <c r="O240" s="44"/>
      <c r="P240" s="44"/>
      <c r="Q240" s="44"/>
      <c r="R240" s="44"/>
      <c r="S240" s="44"/>
      <c r="T240" s="44"/>
      <c r="U240" s="44"/>
    </row>
    <row r="241" spans="1:21" x14ac:dyDescent="0.55000000000000004">
      <c r="A241" s="1" t="str">
        <f>'Population Definitions'!$A$3</f>
        <v>Gen 5-14</v>
      </c>
      <c r="B241" s="1" t="s">
        <v>14</v>
      </c>
      <c r="C241" s="2">
        <f t="shared" si="17"/>
        <v>0</v>
      </c>
      <c r="D241" s="1" t="s">
        <v>16</v>
      </c>
      <c r="E241" s="44"/>
      <c r="F241" s="44"/>
      <c r="G241" s="44"/>
      <c r="H241" s="44"/>
      <c r="I241" s="44"/>
      <c r="J241" s="44"/>
      <c r="K241" s="44"/>
      <c r="L241" s="44"/>
      <c r="M241" s="44"/>
      <c r="N241" s="44"/>
      <c r="O241" s="44"/>
      <c r="P241" s="44"/>
      <c r="Q241" s="44"/>
      <c r="R241" s="44"/>
      <c r="S241" s="44"/>
      <c r="T241" s="44"/>
      <c r="U241" s="44"/>
    </row>
    <row r="242" spans="1:21" x14ac:dyDescent="0.55000000000000004">
      <c r="A242" s="1" t="str">
        <f>'Population Definitions'!$A$4</f>
        <v>Gen 15-64</v>
      </c>
      <c r="B242" s="1" t="s">
        <v>14</v>
      </c>
      <c r="C242" s="2" t="str">
        <f t="shared" si="17"/>
        <v>N.A.</v>
      </c>
      <c r="D242" s="1" t="s">
        <v>16</v>
      </c>
      <c r="E242" s="43">
        <f>E200*'Active TB Testing and Treatment'!L284</f>
        <v>0.90263812670682764</v>
      </c>
      <c r="F242" s="44"/>
      <c r="G242" s="44"/>
      <c r="H242" s="44"/>
      <c r="I242" s="44"/>
      <c r="J242" s="44"/>
      <c r="K242" s="44"/>
      <c r="L242" s="44"/>
      <c r="M242" s="44"/>
      <c r="N242" s="44"/>
      <c r="O242" s="44"/>
      <c r="P242" s="44"/>
      <c r="Q242" s="44"/>
      <c r="R242" s="44"/>
      <c r="S242" s="44"/>
      <c r="T242" s="44"/>
      <c r="U242" s="44"/>
    </row>
    <row r="243" spans="1:21" x14ac:dyDescent="0.55000000000000004">
      <c r="A243" s="1" t="str">
        <f>'Population Definitions'!$A$5</f>
        <v>Gen 65+</v>
      </c>
      <c r="B243" s="1" t="s">
        <v>14</v>
      </c>
      <c r="C243" s="2">
        <f t="shared" si="17"/>
        <v>0</v>
      </c>
      <c r="D243" s="1" t="s">
        <v>16</v>
      </c>
      <c r="E243" s="43"/>
      <c r="F243" s="44"/>
      <c r="G243" s="44"/>
      <c r="H243" s="44"/>
      <c r="I243" s="44"/>
      <c r="J243" s="44"/>
      <c r="K243" s="44"/>
      <c r="L243" s="44"/>
      <c r="M243" s="44"/>
      <c r="N243" s="44"/>
      <c r="O243" s="44"/>
      <c r="P243" s="44"/>
      <c r="Q243" s="44"/>
      <c r="R243" s="44"/>
      <c r="S243" s="44"/>
      <c r="T243" s="44"/>
      <c r="U243" s="44"/>
    </row>
    <row r="244" spans="1:21" x14ac:dyDescent="0.55000000000000004">
      <c r="A244" s="1" t="str">
        <f>'Population Definitions'!$A$6</f>
        <v>PLHIV 15-64</v>
      </c>
      <c r="B244" s="1" t="s">
        <v>14</v>
      </c>
      <c r="C244" s="2" t="str">
        <f t="shared" si="17"/>
        <v>N.A.</v>
      </c>
      <c r="D244" s="1" t="s">
        <v>16</v>
      </c>
      <c r="E244" s="43">
        <f>E202*'Active TB Testing and Treatment'!L286</f>
        <v>1.5854253681725352</v>
      </c>
      <c r="F244" s="44"/>
      <c r="G244" s="44"/>
      <c r="H244" s="44"/>
      <c r="I244" s="44"/>
      <c r="J244" s="44"/>
      <c r="K244" s="44"/>
      <c r="L244" s="44"/>
      <c r="M244" s="44"/>
      <c r="N244" s="44"/>
      <c r="O244" s="44"/>
      <c r="P244" s="44"/>
      <c r="Q244" s="44"/>
      <c r="R244" s="44"/>
      <c r="S244" s="44"/>
      <c r="T244" s="44"/>
      <c r="U244" s="44"/>
    </row>
    <row r="245" spans="1:21" x14ac:dyDescent="0.55000000000000004">
      <c r="A245" s="1" t="str">
        <f>'Population Definitions'!$A$7</f>
        <v>PLHIV 65+</v>
      </c>
      <c r="B245" s="1" t="s">
        <v>14</v>
      </c>
      <c r="C245" s="2">
        <f t="shared" si="17"/>
        <v>0</v>
      </c>
      <c r="D245" s="1" t="s">
        <v>16</v>
      </c>
      <c r="E245" s="44"/>
      <c r="F245" s="44"/>
      <c r="G245" s="44"/>
      <c r="H245" s="44"/>
      <c r="I245" s="44"/>
      <c r="J245" s="44"/>
      <c r="K245" s="44"/>
      <c r="L245" s="44"/>
      <c r="M245" s="44"/>
      <c r="N245" s="44"/>
      <c r="O245" s="44"/>
      <c r="P245" s="44"/>
      <c r="Q245" s="44"/>
      <c r="R245" s="44"/>
      <c r="S245" s="44"/>
      <c r="T245" s="44"/>
      <c r="U245" s="44"/>
    </row>
    <row r="246" spans="1:21" x14ac:dyDescent="0.55000000000000004">
      <c r="A246" s="1" t="str">
        <f>'Population Definitions'!$A$8</f>
        <v>Prisoners</v>
      </c>
      <c r="B246" s="1" t="s">
        <v>14</v>
      </c>
      <c r="C246" s="2">
        <f t="shared" si="17"/>
        <v>0</v>
      </c>
      <c r="D246" s="1" t="s">
        <v>16</v>
      </c>
      <c r="E246" s="44"/>
      <c r="F246" s="44"/>
      <c r="G246" s="44"/>
      <c r="H246" s="44"/>
      <c r="I246" s="44"/>
      <c r="J246" s="44"/>
      <c r="K246" s="44"/>
      <c r="L246" s="44"/>
      <c r="M246" s="44"/>
      <c r="N246" s="44"/>
      <c r="O246" s="44"/>
      <c r="P246" s="44"/>
      <c r="Q246" s="44"/>
      <c r="R246" s="44"/>
      <c r="S246" s="44"/>
      <c r="T246" s="44"/>
      <c r="U246" s="44"/>
    </row>
    <row r="247" spans="1:21" x14ac:dyDescent="0.55000000000000004">
      <c r="A247" s="1" t="str">
        <f>'Population Definitions'!$A$9</f>
        <v>PLHIV Prisoners</v>
      </c>
      <c r="B247" s="1" t="s">
        <v>14</v>
      </c>
      <c r="C247" s="2">
        <f t="shared" si="17"/>
        <v>0</v>
      </c>
      <c r="D247" s="1" t="s">
        <v>16</v>
      </c>
      <c r="E247" s="44"/>
      <c r="F247" s="44"/>
      <c r="G247" s="44"/>
      <c r="H247" s="44"/>
      <c r="I247" s="44"/>
      <c r="J247" s="44"/>
      <c r="K247" s="44"/>
      <c r="L247" s="44"/>
      <c r="M247" s="44"/>
      <c r="N247" s="44"/>
      <c r="O247" s="44"/>
      <c r="P247" s="44"/>
      <c r="Q247" s="44"/>
      <c r="R247" s="44"/>
      <c r="S247" s="44"/>
      <c r="T247" s="44"/>
      <c r="U247" s="44"/>
    </row>
    <row r="248" spans="1:21" x14ac:dyDescent="0.55000000000000004">
      <c r="A248" s="1" t="str">
        <f>'Population Definitions'!$A$10</f>
        <v>HCW</v>
      </c>
      <c r="B248" s="1" t="s">
        <v>14</v>
      </c>
      <c r="C248" s="2">
        <f t="shared" si="17"/>
        <v>0</v>
      </c>
      <c r="D248" s="1" t="s">
        <v>16</v>
      </c>
      <c r="E248" s="44"/>
      <c r="F248" s="44"/>
      <c r="G248" s="44"/>
      <c r="H248" s="44"/>
      <c r="I248" s="44"/>
      <c r="J248" s="44"/>
      <c r="K248" s="44"/>
      <c r="L248" s="44"/>
      <c r="M248" s="44"/>
      <c r="N248" s="44"/>
      <c r="O248" s="44"/>
      <c r="P248" s="44"/>
      <c r="Q248" s="44"/>
      <c r="R248" s="44"/>
      <c r="S248" s="44"/>
      <c r="T248" s="44"/>
      <c r="U248" s="44"/>
    </row>
    <row r="249" spans="1:21" x14ac:dyDescent="0.55000000000000004">
      <c r="A249" s="1" t="str">
        <f>'Population Definitions'!$A$11</f>
        <v>PLHIV HCW</v>
      </c>
      <c r="B249" s="1" t="s">
        <v>14</v>
      </c>
      <c r="C249" s="2">
        <f t="shared" si="17"/>
        <v>0</v>
      </c>
      <c r="D249" s="1" t="s">
        <v>16</v>
      </c>
      <c r="E249" s="44"/>
      <c r="F249" s="44"/>
      <c r="G249" s="44"/>
      <c r="H249" s="44"/>
      <c r="I249" s="44"/>
      <c r="J249" s="44"/>
      <c r="K249" s="44"/>
      <c r="L249" s="44"/>
      <c r="M249" s="44"/>
      <c r="N249" s="44"/>
      <c r="O249" s="44"/>
      <c r="P249" s="44"/>
      <c r="Q249" s="44"/>
      <c r="R249" s="44"/>
      <c r="S249" s="44"/>
      <c r="T249" s="44"/>
      <c r="U249" s="44"/>
    </row>
    <row r="250" spans="1:21" x14ac:dyDescent="0.55000000000000004">
      <c r="A250" s="1" t="str">
        <f>'Population Definitions'!$A$12</f>
        <v>Miners</v>
      </c>
      <c r="B250" s="1" t="s">
        <v>14</v>
      </c>
      <c r="C250" s="2">
        <f t="shared" si="17"/>
        <v>0</v>
      </c>
      <c r="D250" s="1" t="s">
        <v>16</v>
      </c>
      <c r="E250" s="44"/>
      <c r="F250" s="44"/>
      <c r="G250" s="44"/>
      <c r="H250" s="44"/>
      <c r="I250" s="44"/>
      <c r="J250" s="44"/>
      <c r="K250" s="44"/>
      <c r="L250" s="44"/>
      <c r="M250" s="44"/>
      <c r="N250" s="44"/>
      <c r="O250" s="44"/>
      <c r="P250" s="44"/>
      <c r="Q250" s="44"/>
      <c r="R250" s="44"/>
      <c r="S250" s="44"/>
      <c r="T250" s="44"/>
      <c r="U250" s="44"/>
    </row>
    <row r="251" spans="1:21" x14ac:dyDescent="0.55000000000000004">
      <c r="A251" s="1" t="str">
        <f>'Population Definitions'!$A$13</f>
        <v>PLHIV Miners</v>
      </c>
      <c r="B251" s="1" t="s">
        <v>14</v>
      </c>
      <c r="C251" s="2">
        <f t="shared" si="17"/>
        <v>0</v>
      </c>
      <c r="D251" s="1" t="s">
        <v>16</v>
      </c>
      <c r="E251" s="44"/>
      <c r="F251" s="44"/>
      <c r="G251" s="44"/>
      <c r="H251" s="44"/>
      <c r="I251" s="44"/>
      <c r="J251" s="44"/>
      <c r="K251" s="44"/>
      <c r="L251" s="44"/>
      <c r="M251" s="44"/>
      <c r="N251" s="44"/>
      <c r="O251" s="44"/>
      <c r="P251" s="44"/>
      <c r="Q251" s="44"/>
      <c r="R251" s="44"/>
      <c r="S251" s="44"/>
      <c r="T251" s="44"/>
      <c r="U251" s="44"/>
    </row>
    <row r="252" spans="1:21" x14ac:dyDescent="0.55000000000000004">
      <c r="E252" s="37"/>
      <c r="F252" s="37"/>
      <c r="G252" s="37"/>
      <c r="H252" s="37"/>
      <c r="I252" s="37"/>
      <c r="J252" s="37"/>
      <c r="K252" s="37"/>
      <c r="L252" s="37"/>
      <c r="M252" s="37"/>
      <c r="N252" s="37"/>
      <c r="O252" s="37"/>
      <c r="P252" s="37"/>
      <c r="Q252" s="37"/>
      <c r="R252" s="37"/>
      <c r="S252" s="37"/>
      <c r="T252" s="37"/>
      <c r="U252" s="37"/>
    </row>
    <row r="253" spans="1:21" x14ac:dyDescent="0.55000000000000004">
      <c r="A253" s="21" t="s">
        <v>103</v>
      </c>
      <c r="B253" s="1" t="s">
        <v>8</v>
      </c>
      <c r="C253" s="1" t="s">
        <v>9</v>
      </c>
      <c r="D253" s="1"/>
      <c r="E253" s="41">
        <v>2000</v>
      </c>
      <c r="F253" s="41">
        <v>2001</v>
      </c>
      <c r="G253" s="41">
        <v>2002</v>
      </c>
      <c r="H253" s="41">
        <v>2003</v>
      </c>
      <c r="I253" s="41">
        <v>2004</v>
      </c>
      <c r="J253" s="41">
        <v>2005</v>
      </c>
      <c r="K253" s="41">
        <v>2006</v>
      </c>
      <c r="L253" s="41">
        <v>2007</v>
      </c>
      <c r="M253" s="41">
        <v>2008</v>
      </c>
      <c r="N253" s="41">
        <v>2009</v>
      </c>
      <c r="O253" s="41">
        <v>2010</v>
      </c>
      <c r="P253" s="41">
        <v>2011</v>
      </c>
      <c r="Q253" s="41">
        <v>2012</v>
      </c>
      <c r="R253" s="41">
        <v>2013</v>
      </c>
      <c r="S253" s="41">
        <v>2014</v>
      </c>
      <c r="T253" s="41">
        <v>2015</v>
      </c>
      <c r="U253" s="41">
        <v>2016</v>
      </c>
    </row>
    <row r="254" spans="1:21" x14ac:dyDescent="0.55000000000000004">
      <c r="A254" s="1" t="str">
        <f>'Population Definitions'!$A$2</f>
        <v>Gen 0-4</v>
      </c>
      <c r="B254" s="1" t="s">
        <v>14</v>
      </c>
      <c r="C254" s="2" t="str">
        <f t="shared" ref="C254:C265" si="18">IF(SUMPRODUCT(--(E254:U254&lt;&gt;""))=0,0,"N.A.")</f>
        <v>N.A.</v>
      </c>
      <c r="D254" s="1" t="s">
        <v>16</v>
      </c>
      <c r="E254" s="37">
        <f>178.882122183457*(0.9)</f>
        <v>160.9939099651113</v>
      </c>
      <c r="F254" s="44"/>
      <c r="G254" s="44"/>
      <c r="H254" s="44"/>
      <c r="I254" s="44"/>
      <c r="J254" s="44"/>
      <c r="K254" s="44"/>
      <c r="L254" s="44"/>
      <c r="M254" s="44"/>
      <c r="N254" s="44"/>
      <c r="O254" s="44"/>
      <c r="P254" s="44"/>
      <c r="Q254" s="44"/>
      <c r="R254" s="44"/>
      <c r="S254" s="44"/>
      <c r="T254" s="44"/>
      <c r="U254" s="44"/>
    </row>
    <row r="255" spans="1:21" x14ac:dyDescent="0.55000000000000004">
      <c r="A255" s="1" t="str">
        <f>'Population Definitions'!$A$3</f>
        <v>Gen 5-14</v>
      </c>
      <c r="B255" s="1" t="s">
        <v>14</v>
      </c>
      <c r="C255" s="2" t="str">
        <f t="shared" si="18"/>
        <v>N.A.</v>
      </c>
      <c r="D255" s="1" t="s">
        <v>16</v>
      </c>
      <c r="E255" s="37">
        <f>102.716367706782*(0.9)</f>
        <v>92.444730936103795</v>
      </c>
      <c r="F255" s="44"/>
      <c r="G255" s="44"/>
      <c r="H255" s="44"/>
      <c r="I255" s="44"/>
      <c r="J255" s="44"/>
      <c r="K255" s="44"/>
      <c r="L255" s="44"/>
      <c r="M255" s="44"/>
      <c r="N255" s="44"/>
      <c r="O255" s="44"/>
      <c r="P255" s="44"/>
      <c r="Q255" s="44"/>
      <c r="R255" s="44"/>
      <c r="S255" s="44"/>
      <c r="T255" s="44"/>
      <c r="U255" s="44"/>
    </row>
    <row r="256" spans="1:21" x14ac:dyDescent="0.55000000000000004">
      <c r="A256" s="1" t="str">
        <f>'Population Definitions'!$A$4</f>
        <v>Gen 15-64</v>
      </c>
      <c r="B256" s="1" t="s">
        <v>14</v>
      </c>
      <c r="C256" s="2" t="str">
        <f t="shared" si="18"/>
        <v>N.A.</v>
      </c>
      <c r="D256" s="1" t="s">
        <v>16</v>
      </c>
      <c r="E256" s="37">
        <f>198.105764658566*(0.9)</f>
        <v>178.29518819270939</v>
      </c>
      <c r="F256" s="44"/>
      <c r="G256" s="44"/>
      <c r="H256" s="44"/>
      <c r="I256" s="44"/>
      <c r="J256" s="44"/>
      <c r="K256" s="44"/>
      <c r="L256" s="44"/>
      <c r="M256" s="44"/>
      <c r="N256" s="44"/>
      <c r="O256" s="44"/>
      <c r="P256" s="44"/>
      <c r="Q256" s="44"/>
      <c r="R256" s="44"/>
      <c r="S256" s="44"/>
      <c r="T256" s="44"/>
      <c r="U256" s="44"/>
    </row>
    <row r="257" spans="1:21" x14ac:dyDescent="0.55000000000000004">
      <c r="A257" s="1" t="str">
        <f>'Population Definitions'!$A$5</f>
        <v>Gen 65+</v>
      </c>
      <c r="B257" s="1" t="s">
        <v>14</v>
      </c>
      <c r="C257" s="2" t="str">
        <f t="shared" si="18"/>
        <v>N.A.</v>
      </c>
      <c r="D257" s="1" t="s">
        <v>16</v>
      </c>
      <c r="E257" s="37">
        <f>24.1227034038963*(0.9)</f>
        <v>21.71043306350667</v>
      </c>
      <c r="F257" s="44"/>
      <c r="G257" s="44"/>
      <c r="H257" s="44"/>
      <c r="I257" s="44"/>
      <c r="J257" s="44"/>
      <c r="K257" s="44"/>
      <c r="L257" s="44"/>
      <c r="M257" s="44"/>
      <c r="N257" s="44"/>
      <c r="O257" s="44"/>
      <c r="P257" s="44"/>
      <c r="Q257" s="44"/>
      <c r="R257" s="44"/>
      <c r="S257" s="44"/>
      <c r="T257" s="44"/>
      <c r="U257" s="44"/>
    </row>
    <row r="258" spans="1:21" x14ac:dyDescent="0.55000000000000004">
      <c r="A258" s="1" t="str">
        <f>'Population Definitions'!$A$6</f>
        <v>PLHIV 15-64</v>
      </c>
      <c r="B258" s="1" t="s">
        <v>14</v>
      </c>
      <c r="C258" s="2" t="str">
        <f t="shared" si="18"/>
        <v>N.A.</v>
      </c>
      <c r="D258" s="1" t="s">
        <v>16</v>
      </c>
      <c r="E258" s="37">
        <f>1447.60717110673*(0.9)</f>
        <v>1302.8464539960571</v>
      </c>
      <c r="F258" s="44"/>
      <c r="G258" s="44"/>
      <c r="H258" s="44"/>
      <c r="I258" s="44"/>
      <c r="J258" s="44"/>
      <c r="K258" s="44"/>
      <c r="L258" s="44"/>
      <c r="M258" s="44"/>
      <c r="N258" s="44"/>
      <c r="O258" s="44"/>
      <c r="P258" s="44"/>
      <c r="Q258" s="44"/>
      <c r="R258" s="44"/>
      <c r="S258" s="44"/>
      <c r="T258" s="44"/>
      <c r="U258" s="44"/>
    </row>
    <row r="259" spans="1:21" x14ac:dyDescent="0.55000000000000004">
      <c r="A259" s="1" t="str">
        <f>'Population Definitions'!$A$7</f>
        <v>PLHIV 65+</v>
      </c>
      <c r="B259" s="1" t="s">
        <v>14</v>
      </c>
      <c r="C259" s="2" t="str">
        <f t="shared" si="18"/>
        <v>N.A.</v>
      </c>
      <c r="D259" s="1" t="s">
        <v>16</v>
      </c>
      <c r="E259" s="37">
        <f>9.28484791178373*(0.9)</f>
        <v>8.3563631206053568</v>
      </c>
      <c r="F259" s="44"/>
      <c r="G259" s="44"/>
      <c r="H259" s="44"/>
      <c r="I259" s="44"/>
      <c r="J259" s="44"/>
      <c r="K259" s="44"/>
      <c r="L259" s="44"/>
      <c r="M259" s="44"/>
      <c r="N259" s="44"/>
      <c r="O259" s="44"/>
      <c r="P259" s="44"/>
      <c r="Q259" s="44"/>
      <c r="R259" s="44"/>
      <c r="S259" s="44"/>
      <c r="T259" s="44"/>
      <c r="U259" s="44"/>
    </row>
    <row r="260" spans="1:21" x14ac:dyDescent="0.55000000000000004">
      <c r="A260" s="1" t="str">
        <f>'Population Definitions'!$A$8</f>
        <v>Prisoners</v>
      </c>
      <c r="B260" s="1" t="s">
        <v>14</v>
      </c>
      <c r="C260" s="2" t="str">
        <f t="shared" si="18"/>
        <v>N.A.</v>
      </c>
      <c r="D260" s="1" t="s">
        <v>16</v>
      </c>
      <c r="E260" s="37">
        <f>33.2917186357023*(0.9)</f>
        <v>29.962546772132072</v>
      </c>
      <c r="F260" s="44"/>
      <c r="G260" s="44"/>
      <c r="H260" s="44"/>
      <c r="I260" s="44"/>
      <c r="J260" s="44"/>
      <c r="K260" s="44"/>
      <c r="L260" s="44"/>
      <c r="M260" s="44"/>
      <c r="N260" s="44"/>
      <c r="O260" s="44"/>
      <c r="P260" s="44"/>
      <c r="Q260" s="44"/>
      <c r="R260" s="44"/>
      <c r="S260" s="44"/>
      <c r="T260" s="44"/>
      <c r="U260" s="44"/>
    </row>
    <row r="261" spans="1:21" x14ac:dyDescent="0.55000000000000004">
      <c r="A261" s="1" t="str">
        <f>'Population Definitions'!$A$9</f>
        <v>PLHIV Prisoners</v>
      </c>
      <c r="B261" s="1" t="s">
        <v>14</v>
      </c>
      <c r="C261" s="2" t="str">
        <f t="shared" si="18"/>
        <v>N.A.</v>
      </c>
      <c r="D261" s="1" t="s">
        <v>16</v>
      </c>
      <c r="E261" s="37">
        <f>68.1467005812549*(0.9)</f>
        <v>61.332030523129418</v>
      </c>
      <c r="F261" s="44"/>
      <c r="G261" s="44"/>
      <c r="H261" s="44"/>
      <c r="I261" s="44"/>
      <c r="J261" s="44"/>
      <c r="K261" s="44"/>
      <c r="L261" s="44"/>
      <c r="M261" s="44"/>
      <c r="N261" s="44"/>
      <c r="O261" s="44"/>
      <c r="P261" s="44"/>
      <c r="Q261" s="44"/>
      <c r="R261" s="44"/>
      <c r="S261" s="44"/>
      <c r="T261" s="44"/>
      <c r="U261" s="44"/>
    </row>
    <row r="262" spans="1:21" x14ac:dyDescent="0.55000000000000004">
      <c r="A262" s="1" t="str">
        <f>'Population Definitions'!$A$10</f>
        <v>HCW</v>
      </c>
      <c r="B262" s="1" t="s">
        <v>14</v>
      </c>
      <c r="C262" s="2">
        <f t="shared" si="18"/>
        <v>0</v>
      </c>
      <c r="D262" s="1" t="s">
        <v>16</v>
      </c>
      <c r="E262" s="44"/>
      <c r="F262" s="44"/>
      <c r="G262" s="44"/>
      <c r="H262" s="44"/>
      <c r="I262" s="44"/>
      <c r="J262" s="44"/>
      <c r="K262" s="44"/>
      <c r="L262" s="44"/>
      <c r="M262" s="44"/>
      <c r="N262" s="44"/>
      <c r="O262" s="44"/>
      <c r="P262" s="44"/>
      <c r="Q262" s="44"/>
      <c r="R262" s="44"/>
      <c r="S262" s="44"/>
      <c r="T262" s="44"/>
      <c r="U262" s="44"/>
    </row>
    <row r="263" spans="1:21" x14ac:dyDescent="0.55000000000000004">
      <c r="A263" s="1" t="str">
        <f>'Population Definitions'!$A$11</f>
        <v>PLHIV HCW</v>
      </c>
      <c r="B263" s="1" t="s">
        <v>14</v>
      </c>
      <c r="C263" s="2">
        <f t="shared" si="18"/>
        <v>0</v>
      </c>
      <c r="D263" s="1" t="s">
        <v>16</v>
      </c>
      <c r="E263" s="44"/>
      <c r="F263" s="44"/>
      <c r="G263" s="44"/>
      <c r="H263" s="44"/>
      <c r="I263" s="44"/>
      <c r="J263" s="44"/>
      <c r="K263" s="44"/>
      <c r="L263" s="44"/>
      <c r="M263" s="44"/>
      <c r="N263" s="44"/>
      <c r="O263" s="44"/>
      <c r="P263" s="44"/>
      <c r="Q263" s="44"/>
      <c r="R263" s="44"/>
      <c r="S263" s="44"/>
      <c r="T263" s="44"/>
      <c r="U263" s="44"/>
    </row>
    <row r="264" spans="1:21" x14ac:dyDescent="0.55000000000000004">
      <c r="A264" s="1" t="str">
        <f>'Population Definitions'!$A$12</f>
        <v>Miners</v>
      </c>
      <c r="B264" s="1" t="s">
        <v>14</v>
      </c>
      <c r="C264" s="2">
        <f t="shared" si="18"/>
        <v>0</v>
      </c>
      <c r="D264" s="1" t="s">
        <v>16</v>
      </c>
      <c r="E264" s="44"/>
      <c r="F264" s="44"/>
      <c r="G264" s="44"/>
      <c r="H264" s="44"/>
      <c r="I264" s="44"/>
      <c r="J264" s="44"/>
      <c r="K264" s="44"/>
      <c r="L264" s="44"/>
      <c r="M264" s="44"/>
      <c r="N264" s="44"/>
      <c r="O264" s="44"/>
      <c r="P264" s="44"/>
      <c r="Q264" s="44"/>
      <c r="R264" s="44"/>
      <c r="S264" s="44"/>
      <c r="T264" s="44"/>
      <c r="U264" s="44"/>
    </row>
    <row r="265" spans="1:21" x14ac:dyDescent="0.55000000000000004">
      <c r="A265" s="1" t="str">
        <f>'Population Definitions'!$A$13</f>
        <v>PLHIV Miners</v>
      </c>
      <c r="B265" s="1" t="s">
        <v>14</v>
      </c>
      <c r="C265" s="2">
        <f t="shared" si="18"/>
        <v>0</v>
      </c>
      <c r="D265" s="1" t="s">
        <v>16</v>
      </c>
      <c r="E265" s="44"/>
      <c r="F265" s="44"/>
      <c r="G265" s="44"/>
      <c r="H265" s="44"/>
      <c r="I265" s="44"/>
      <c r="J265" s="44"/>
      <c r="K265" s="44"/>
      <c r="L265" s="44"/>
      <c r="M265" s="44"/>
      <c r="N265" s="44"/>
      <c r="O265" s="44"/>
      <c r="P265" s="44"/>
      <c r="Q265" s="44"/>
      <c r="R265" s="44"/>
      <c r="S265" s="44"/>
      <c r="T265" s="44"/>
      <c r="U265" s="44"/>
    </row>
    <row r="266" spans="1:21" x14ac:dyDescent="0.55000000000000004">
      <c r="E266" s="37"/>
      <c r="F266" s="37"/>
      <c r="G266" s="37"/>
      <c r="H266" s="37"/>
      <c r="I266" s="37"/>
      <c r="J266" s="37"/>
      <c r="K266" s="37"/>
      <c r="L266" s="37"/>
      <c r="M266" s="37"/>
      <c r="N266" s="37"/>
      <c r="O266" s="37"/>
      <c r="P266" s="37"/>
      <c r="Q266" s="37"/>
      <c r="R266" s="37"/>
      <c r="S266" s="37"/>
      <c r="T266" s="37"/>
      <c r="U266" s="37"/>
    </row>
    <row r="267" spans="1:21" x14ac:dyDescent="0.55000000000000004">
      <c r="A267" s="21" t="s">
        <v>105</v>
      </c>
      <c r="B267" s="1" t="s">
        <v>8</v>
      </c>
      <c r="C267" s="1" t="s">
        <v>9</v>
      </c>
      <c r="D267" s="1"/>
      <c r="E267" s="41">
        <v>2000</v>
      </c>
      <c r="F267" s="41">
        <v>2001</v>
      </c>
      <c r="G267" s="41">
        <v>2002</v>
      </c>
      <c r="H267" s="41">
        <v>2003</v>
      </c>
      <c r="I267" s="41">
        <v>2004</v>
      </c>
      <c r="J267" s="41">
        <v>2005</v>
      </c>
      <c r="K267" s="41">
        <v>2006</v>
      </c>
      <c r="L267" s="41">
        <v>2007</v>
      </c>
      <c r="M267" s="41">
        <v>2008</v>
      </c>
      <c r="N267" s="41">
        <v>2009</v>
      </c>
      <c r="O267" s="41">
        <v>2010</v>
      </c>
      <c r="P267" s="41">
        <v>2011</v>
      </c>
      <c r="Q267" s="41">
        <v>2012</v>
      </c>
      <c r="R267" s="41">
        <v>2013</v>
      </c>
      <c r="S267" s="41">
        <v>2014</v>
      </c>
      <c r="T267" s="41">
        <v>2015</v>
      </c>
      <c r="U267" s="41">
        <v>2016</v>
      </c>
    </row>
    <row r="268" spans="1:21" x14ac:dyDescent="0.55000000000000004">
      <c r="A268" s="1" t="str">
        <f>'Population Definitions'!$A$2</f>
        <v>Gen 0-4</v>
      </c>
      <c r="B268" s="1" t="s">
        <v>14</v>
      </c>
      <c r="C268" s="2" t="str">
        <f t="shared" ref="C268:C279" si="19">IF(SUMPRODUCT(--(E268:U268&lt;&gt;""))=0,0,"N.A.")</f>
        <v>N.A.</v>
      </c>
      <c r="D268" s="1" t="s">
        <v>16</v>
      </c>
      <c r="E268" s="37">
        <f>1.28544798945277*(0.9)</f>
        <v>1.1569031905074929</v>
      </c>
      <c r="F268" s="44"/>
      <c r="G268" s="44"/>
      <c r="H268" s="44"/>
      <c r="I268" s="44"/>
      <c r="J268" s="44"/>
      <c r="K268" s="44"/>
      <c r="L268" s="44"/>
      <c r="M268" s="44"/>
      <c r="N268" s="44"/>
      <c r="O268" s="44"/>
      <c r="P268" s="44"/>
      <c r="Q268" s="44"/>
      <c r="R268" s="44"/>
      <c r="S268" s="44"/>
      <c r="T268" s="44"/>
      <c r="U268" s="44"/>
    </row>
    <row r="269" spans="1:21" x14ac:dyDescent="0.55000000000000004">
      <c r="A269" s="1" t="str">
        <f>'Population Definitions'!$A$3</f>
        <v>Gen 5-14</v>
      </c>
      <c r="B269" s="1" t="s">
        <v>14</v>
      </c>
      <c r="C269" s="2" t="str">
        <f t="shared" si="19"/>
        <v>N.A.</v>
      </c>
      <c r="D269" s="1" t="s">
        <v>16</v>
      </c>
      <c r="E269" s="37">
        <f>2.49678694724334*(0.9)</f>
        <v>2.247108252519006</v>
      </c>
      <c r="F269" s="44"/>
      <c r="G269" s="44"/>
      <c r="H269" s="44"/>
      <c r="I269" s="44"/>
      <c r="J269" s="44"/>
      <c r="K269" s="44"/>
      <c r="L269" s="44"/>
      <c r="M269" s="44"/>
      <c r="N269" s="44"/>
      <c r="O269" s="44"/>
      <c r="P269" s="44"/>
      <c r="Q269" s="44"/>
      <c r="R269" s="44"/>
      <c r="S269" s="44"/>
      <c r="T269" s="44"/>
      <c r="U269" s="44"/>
    </row>
    <row r="270" spans="1:21" x14ac:dyDescent="0.55000000000000004">
      <c r="A270" s="1" t="str">
        <f>'Population Definitions'!$A$4</f>
        <v>Gen 15-64</v>
      </c>
      <c r="B270" s="1" t="s">
        <v>14</v>
      </c>
      <c r="C270" s="2" t="str">
        <f t="shared" si="19"/>
        <v>N.A.</v>
      </c>
      <c r="D270" s="1" t="s">
        <v>16</v>
      </c>
      <c r="E270" s="37">
        <f>29.4082158593275*(0.9)</f>
        <v>26.467394273394749</v>
      </c>
      <c r="F270" s="44"/>
      <c r="G270" s="44"/>
      <c r="H270" s="44"/>
      <c r="I270" s="44"/>
      <c r="J270" s="44"/>
      <c r="K270" s="44"/>
      <c r="L270" s="44"/>
      <c r="M270" s="44"/>
      <c r="N270" s="44"/>
      <c r="O270" s="44"/>
      <c r="P270" s="44"/>
      <c r="Q270" s="44"/>
      <c r="R270" s="44"/>
      <c r="S270" s="44"/>
      <c r="T270" s="44"/>
      <c r="U270" s="44"/>
    </row>
    <row r="271" spans="1:21" x14ac:dyDescent="0.55000000000000004">
      <c r="A271" s="1" t="str">
        <f>'Population Definitions'!$A$5</f>
        <v>Gen 65+</v>
      </c>
      <c r="B271" s="1" t="s">
        <v>14</v>
      </c>
      <c r="C271" s="2" t="str">
        <f t="shared" si="19"/>
        <v>N.A.</v>
      </c>
      <c r="D271" s="1" t="s">
        <v>16</v>
      </c>
      <c r="E271" s="37">
        <f>0.922935859893073*(0.9)</f>
        <v>0.83064227390376577</v>
      </c>
      <c r="F271" s="44"/>
      <c r="G271" s="44"/>
      <c r="H271" s="44"/>
      <c r="I271" s="44"/>
      <c r="J271" s="44"/>
      <c r="K271" s="44"/>
      <c r="L271" s="44"/>
      <c r="M271" s="44"/>
      <c r="N271" s="44"/>
      <c r="O271" s="44"/>
      <c r="P271" s="44"/>
      <c r="Q271" s="44"/>
      <c r="R271" s="44"/>
      <c r="S271" s="44"/>
      <c r="T271" s="44"/>
      <c r="U271" s="44"/>
    </row>
    <row r="272" spans="1:21" x14ac:dyDescent="0.55000000000000004">
      <c r="A272" s="1" t="str">
        <f>'Population Definitions'!$A$6</f>
        <v>PLHIV 15-64</v>
      </c>
      <c r="B272" s="1" t="s">
        <v>14</v>
      </c>
      <c r="C272" s="2" t="str">
        <f t="shared" si="19"/>
        <v>N.A.</v>
      </c>
      <c r="D272" s="1" t="s">
        <v>16</v>
      </c>
      <c r="E272" s="37">
        <f>7.54925105375381*(0.9)</f>
        <v>6.7943259483784297</v>
      </c>
      <c r="F272" s="44"/>
      <c r="G272" s="44"/>
      <c r="H272" s="44"/>
      <c r="I272" s="44"/>
      <c r="J272" s="44"/>
      <c r="K272" s="44"/>
      <c r="L272" s="44"/>
      <c r="M272" s="44"/>
      <c r="N272" s="44"/>
      <c r="O272" s="44"/>
      <c r="P272" s="44"/>
      <c r="Q272" s="44"/>
      <c r="R272" s="44"/>
      <c r="S272" s="44"/>
      <c r="T272" s="44"/>
      <c r="U272" s="44"/>
    </row>
    <row r="273" spans="1:21" x14ac:dyDescent="0.55000000000000004">
      <c r="A273" s="1" t="str">
        <f>'Population Definitions'!$A$7</f>
        <v>PLHIV 65+</v>
      </c>
      <c r="B273" s="1" t="s">
        <v>14</v>
      </c>
      <c r="C273" s="2">
        <f t="shared" si="19"/>
        <v>0</v>
      </c>
      <c r="D273" s="1" t="s">
        <v>16</v>
      </c>
      <c r="E273" s="44"/>
      <c r="F273" s="44"/>
      <c r="G273" s="44"/>
      <c r="H273" s="44"/>
      <c r="I273" s="44"/>
      <c r="J273" s="44"/>
      <c r="K273" s="44"/>
      <c r="L273" s="44"/>
      <c r="M273" s="44"/>
      <c r="N273" s="44"/>
      <c r="O273" s="44"/>
      <c r="P273" s="44"/>
      <c r="Q273" s="44"/>
      <c r="R273" s="44"/>
      <c r="S273" s="44"/>
      <c r="T273" s="44"/>
      <c r="U273" s="44"/>
    </row>
    <row r="274" spans="1:21" x14ac:dyDescent="0.55000000000000004">
      <c r="A274" s="1" t="str">
        <f>'Population Definitions'!$A$8</f>
        <v>Prisoners</v>
      </c>
      <c r="B274" s="1" t="s">
        <v>14</v>
      </c>
      <c r="C274" s="2">
        <f t="shared" si="19"/>
        <v>0</v>
      </c>
      <c r="D274" s="1" t="s">
        <v>16</v>
      </c>
      <c r="E274" s="44"/>
      <c r="F274" s="44"/>
      <c r="G274" s="44"/>
      <c r="H274" s="44"/>
      <c r="I274" s="44"/>
      <c r="J274" s="44"/>
      <c r="K274" s="44"/>
      <c r="L274" s="44"/>
      <c r="M274" s="44"/>
      <c r="N274" s="44"/>
      <c r="O274" s="44"/>
      <c r="P274" s="44"/>
      <c r="Q274" s="44"/>
      <c r="R274" s="44"/>
      <c r="S274" s="44"/>
      <c r="T274" s="44"/>
      <c r="U274" s="44"/>
    </row>
    <row r="275" spans="1:21" x14ac:dyDescent="0.55000000000000004">
      <c r="A275" s="1" t="str">
        <f>'Population Definitions'!$A$9</f>
        <v>PLHIV Prisoners</v>
      </c>
      <c r="B275" s="1" t="s">
        <v>14</v>
      </c>
      <c r="C275" s="2">
        <f t="shared" si="19"/>
        <v>0</v>
      </c>
      <c r="D275" s="1" t="s">
        <v>16</v>
      </c>
      <c r="E275" s="44"/>
      <c r="F275" s="44"/>
      <c r="G275" s="44"/>
      <c r="H275" s="44"/>
      <c r="I275" s="44"/>
      <c r="J275" s="44"/>
      <c r="K275" s="44"/>
      <c r="L275" s="44"/>
      <c r="M275" s="44"/>
      <c r="N275" s="44"/>
      <c r="O275" s="44"/>
      <c r="P275" s="44"/>
      <c r="Q275" s="44"/>
      <c r="R275" s="44"/>
      <c r="S275" s="44"/>
      <c r="T275" s="44"/>
      <c r="U275" s="44"/>
    </row>
    <row r="276" spans="1:21" x14ac:dyDescent="0.55000000000000004">
      <c r="A276" s="1" t="str">
        <f>'Population Definitions'!$A$10</f>
        <v>HCW</v>
      </c>
      <c r="B276" s="1" t="s">
        <v>14</v>
      </c>
      <c r="C276" s="2">
        <f t="shared" si="19"/>
        <v>0</v>
      </c>
      <c r="D276" s="1" t="s">
        <v>16</v>
      </c>
      <c r="E276" s="44"/>
      <c r="F276" s="44"/>
      <c r="G276" s="44"/>
      <c r="H276" s="44"/>
      <c r="I276" s="44"/>
      <c r="J276" s="44"/>
      <c r="K276" s="44"/>
      <c r="L276" s="44"/>
      <c r="M276" s="44"/>
      <c r="N276" s="44"/>
      <c r="O276" s="44"/>
      <c r="P276" s="44"/>
      <c r="Q276" s="44"/>
      <c r="R276" s="44"/>
      <c r="S276" s="44"/>
      <c r="T276" s="44"/>
      <c r="U276" s="44"/>
    </row>
    <row r="277" spans="1:21" x14ac:dyDescent="0.55000000000000004">
      <c r="A277" s="1" t="str">
        <f>'Population Definitions'!$A$11</f>
        <v>PLHIV HCW</v>
      </c>
      <c r="B277" s="1" t="s">
        <v>14</v>
      </c>
      <c r="C277" s="2">
        <f t="shared" si="19"/>
        <v>0</v>
      </c>
      <c r="D277" s="1" t="s">
        <v>16</v>
      </c>
      <c r="E277" s="44"/>
      <c r="F277" s="44"/>
      <c r="G277" s="44"/>
      <c r="H277" s="44"/>
      <c r="I277" s="44"/>
      <c r="J277" s="44"/>
      <c r="K277" s="44"/>
      <c r="L277" s="44"/>
      <c r="M277" s="44"/>
      <c r="N277" s="44"/>
      <c r="O277" s="44"/>
      <c r="P277" s="44"/>
      <c r="Q277" s="44"/>
      <c r="R277" s="44"/>
      <c r="S277" s="44"/>
      <c r="T277" s="44"/>
      <c r="U277" s="44"/>
    </row>
    <row r="278" spans="1:21" x14ac:dyDescent="0.55000000000000004">
      <c r="A278" s="1" t="str">
        <f>'Population Definitions'!$A$12</f>
        <v>Miners</v>
      </c>
      <c r="B278" s="1" t="s">
        <v>14</v>
      </c>
      <c r="C278" s="2">
        <f t="shared" si="19"/>
        <v>0</v>
      </c>
      <c r="D278" s="1" t="s">
        <v>16</v>
      </c>
      <c r="E278" s="44"/>
      <c r="F278" s="44"/>
      <c r="G278" s="44"/>
      <c r="H278" s="44"/>
      <c r="I278" s="44"/>
      <c r="J278" s="44"/>
      <c r="K278" s="44"/>
      <c r="L278" s="44"/>
      <c r="M278" s="44"/>
      <c r="N278" s="44"/>
      <c r="O278" s="44"/>
      <c r="P278" s="44"/>
      <c r="Q278" s="44"/>
      <c r="R278" s="44"/>
      <c r="S278" s="44"/>
      <c r="T278" s="44"/>
      <c r="U278" s="44"/>
    </row>
    <row r="279" spans="1:21" x14ac:dyDescent="0.55000000000000004">
      <c r="A279" s="1" t="str">
        <f>'Population Definitions'!$A$13</f>
        <v>PLHIV Miners</v>
      </c>
      <c r="B279" s="1" t="s">
        <v>14</v>
      </c>
      <c r="C279" s="2">
        <f t="shared" si="19"/>
        <v>0</v>
      </c>
      <c r="D279" s="1" t="s">
        <v>16</v>
      </c>
      <c r="E279" s="44"/>
      <c r="F279" s="44"/>
      <c r="G279" s="44"/>
      <c r="H279" s="44"/>
      <c r="I279" s="44"/>
      <c r="J279" s="44"/>
      <c r="K279" s="44"/>
      <c r="L279" s="44"/>
      <c r="M279" s="44"/>
      <c r="N279" s="44"/>
      <c r="O279" s="44"/>
      <c r="P279" s="44"/>
      <c r="Q279" s="44"/>
      <c r="R279" s="44"/>
      <c r="S279" s="44"/>
      <c r="T279" s="44"/>
      <c r="U279" s="44"/>
    </row>
    <row r="280" spans="1:21" x14ac:dyDescent="0.55000000000000004">
      <c r="E280" s="37"/>
      <c r="F280" s="37"/>
      <c r="G280" s="37"/>
      <c r="H280" s="37"/>
      <c r="I280" s="37"/>
      <c r="J280" s="37"/>
      <c r="K280" s="37"/>
      <c r="L280" s="37"/>
      <c r="M280" s="37"/>
      <c r="N280" s="37"/>
      <c r="O280" s="37"/>
      <c r="P280" s="37"/>
      <c r="Q280" s="37"/>
      <c r="R280" s="37"/>
      <c r="S280" s="37"/>
      <c r="T280" s="37"/>
      <c r="U280" s="37"/>
    </row>
    <row r="281" spans="1:21" x14ac:dyDescent="0.55000000000000004">
      <c r="A281" s="21" t="s">
        <v>107</v>
      </c>
      <c r="B281" s="1" t="s">
        <v>8</v>
      </c>
      <c r="C281" s="1" t="s">
        <v>9</v>
      </c>
      <c r="D281" s="1"/>
      <c r="E281" s="41">
        <v>2000</v>
      </c>
      <c r="F281" s="41">
        <v>2001</v>
      </c>
      <c r="G281" s="41">
        <v>2002</v>
      </c>
      <c r="H281" s="41">
        <v>2003</v>
      </c>
      <c r="I281" s="41">
        <v>2004</v>
      </c>
      <c r="J281" s="41">
        <v>2005</v>
      </c>
      <c r="K281" s="41">
        <v>2006</v>
      </c>
      <c r="L281" s="41">
        <v>2007</v>
      </c>
      <c r="M281" s="41">
        <v>2008</v>
      </c>
      <c r="N281" s="41">
        <v>2009</v>
      </c>
      <c r="O281" s="41">
        <v>2010</v>
      </c>
      <c r="P281" s="41">
        <v>2011</v>
      </c>
      <c r="Q281" s="41">
        <v>2012</v>
      </c>
      <c r="R281" s="41">
        <v>2013</v>
      </c>
      <c r="S281" s="41">
        <v>2014</v>
      </c>
      <c r="T281" s="41">
        <v>2015</v>
      </c>
      <c r="U281" s="41">
        <v>2016</v>
      </c>
    </row>
    <row r="282" spans="1:21" x14ac:dyDescent="0.55000000000000004">
      <c r="A282" s="1" t="str">
        <f>'Population Definitions'!$A$2</f>
        <v>Gen 0-4</v>
      </c>
      <c r="B282" s="1" t="s">
        <v>14</v>
      </c>
      <c r="C282" s="2">
        <f t="shared" ref="C282:C293" si="20">IF(SUMPRODUCT(--(E282:U282&lt;&gt;""))=0,0,"N.A.")</f>
        <v>0</v>
      </c>
      <c r="D282" s="1" t="s">
        <v>16</v>
      </c>
      <c r="E282" s="44"/>
      <c r="F282" s="44"/>
      <c r="G282" s="44"/>
      <c r="H282" s="44"/>
      <c r="I282" s="44"/>
      <c r="J282" s="44"/>
      <c r="K282" s="44"/>
      <c r="L282" s="44"/>
      <c r="M282" s="44"/>
      <c r="N282" s="44"/>
      <c r="O282" s="44"/>
      <c r="P282" s="44"/>
      <c r="Q282" s="44"/>
      <c r="R282" s="44"/>
      <c r="S282" s="44"/>
      <c r="T282" s="44"/>
      <c r="U282" s="44"/>
    </row>
    <row r="283" spans="1:21" x14ac:dyDescent="0.55000000000000004">
      <c r="A283" s="1" t="str">
        <f>'Population Definitions'!$A$3</f>
        <v>Gen 5-14</v>
      </c>
      <c r="B283" s="1" t="s">
        <v>14</v>
      </c>
      <c r="C283" s="2">
        <f t="shared" si="20"/>
        <v>0</v>
      </c>
      <c r="D283" s="1" t="s">
        <v>16</v>
      </c>
      <c r="E283" s="44"/>
      <c r="F283" s="44"/>
      <c r="G283" s="44"/>
      <c r="H283" s="44"/>
      <c r="I283" s="44"/>
      <c r="J283" s="44"/>
      <c r="K283" s="44"/>
      <c r="L283" s="44"/>
      <c r="M283" s="44"/>
      <c r="N283" s="44"/>
      <c r="O283" s="44"/>
      <c r="P283" s="44"/>
      <c r="Q283" s="44"/>
      <c r="R283" s="44"/>
      <c r="S283" s="44"/>
      <c r="T283" s="44"/>
      <c r="U283" s="44"/>
    </row>
    <row r="284" spans="1:21" x14ac:dyDescent="0.55000000000000004">
      <c r="A284" s="1" t="str">
        <f>'Population Definitions'!$A$4</f>
        <v>Gen 15-64</v>
      </c>
      <c r="B284" s="1" t="s">
        <v>14</v>
      </c>
      <c r="C284" s="2" t="str">
        <f t="shared" si="20"/>
        <v>N.A.</v>
      </c>
      <c r="D284" s="1" t="s">
        <v>16</v>
      </c>
      <c r="E284" s="42">
        <f>0.902638126706828*(0.9)</f>
        <v>0.81237431403614524</v>
      </c>
      <c r="F284" s="44"/>
      <c r="G284" s="44"/>
      <c r="H284" s="44"/>
      <c r="I284" s="44"/>
      <c r="J284" s="44"/>
      <c r="K284" s="44"/>
      <c r="L284" s="44"/>
      <c r="M284" s="44"/>
      <c r="N284" s="44"/>
      <c r="O284" s="44"/>
      <c r="P284" s="44"/>
      <c r="Q284" s="44"/>
      <c r="R284" s="44"/>
      <c r="S284" s="44"/>
      <c r="T284" s="44"/>
      <c r="U284" s="44"/>
    </row>
    <row r="285" spans="1:21" x14ac:dyDescent="0.55000000000000004">
      <c r="A285" s="1" t="str">
        <f>'Population Definitions'!$A$5</f>
        <v>Gen 65+</v>
      </c>
      <c r="B285" s="1" t="s">
        <v>14</v>
      </c>
      <c r="C285" s="2" t="str">
        <f t="shared" si="20"/>
        <v>N.A.</v>
      </c>
      <c r="D285" s="1" t="s">
        <v>16</v>
      </c>
      <c r="E285" s="44">
        <f>0*(0.9)</f>
        <v>0</v>
      </c>
      <c r="F285" s="44"/>
      <c r="G285" s="44"/>
      <c r="H285" s="44"/>
      <c r="I285" s="44"/>
      <c r="J285" s="44"/>
      <c r="K285" s="44"/>
      <c r="L285" s="44"/>
      <c r="M285" s="44"/>
      <c r="N285" s="44"/>
      <c r="O285" s="44"/>
      <c r="P285" s="44"/>
      <c r="Q285" s="44"/>
      <c r="R285" s="44"/>
      <c r="S285" s="44"/>
      <c r="T285" s="44"/>
      <c r="U285" s="44"/>
    </row>
    <row r="286" spans="1:21" x14ac:dyDescent="0.55000000000000004">
      <c r="A286" s="1" t="str">
        <f>'Population Definitions'!$A$6</f>
        <v>PLHIV 15-64</v>
      </c>
      <c r="B286" s="1" t="s">
        <v>14</v>
      </c>
      <c r="C286" s="2" t="str">
        <f t="shared" si="20"/>
        <v>N.A.</v>
      </c>
      <c r="D286" s="1" t="s">
        <v>16</v>
      </c>
      <c r="E286" s="42">
        <f>1.58542536817254*(0.9)</f>
        <v>1.4268828313552862</v>
      </c>
      <c r="F286" s="44"/>
      <c r="G286" s="44"/>
      <c r="H286" s="44"/>
      <c r="I286" s="44"/>
      <c r="J286" s="44"/>
      <c r="K286" s="44"/>
      <c r="L286" s="44"/>
      <c r="M286" s="44"/>
      <c r="N286" s="44"/>
      <c r="O286" s="44"/>
      <c r="P286" s="44"/>
      <c r="Q286" s="44"/>
      <c r="R286" s="44"/>
      <c r="S286" s="44"/>
      <c r="T286" s="44"/>
      <c r="U286" s="44"/>
    </row>
    <row r="287" spans="1:21" x14ac:dyDescent="0.55000000000000004">
      <c r="A287" s="1" t="str">
        <f>'Population Definitions'!$A$7</f>
        <v>PLHIV 65+</v>
      </c>
      <c r="B287" s="1" t="s">
        <v>14</v>
      </c>
      <c r="C287" s="2">
        <f t="shared" si="20"/>
        <v>0</v>
      </c>
      <c r="D287" s="1" t="s">
        <v>16</v>
      </c>
      <c r="E287" s="44"/>
      <c r="F287" s="44"/>
      <c r="G287" s="44"/>
      <c r="H287" s="44"/>
      <c r="I287" s="44"/>
      <c r="J287" s="44"/>
      <c r="K287" s="44"/>
      <c r="L287" s="44"/>
      <c r="M287" s="44"/>
      <c r="N287" s="44"/>
      <c r="O287" s="44"/>
      <c r="P287" s="44"/>
      <c r="Q287" s="44"/>
      <c r="R287" s="44"/>
      <c r="S287" s="44"/>
      <c r="T287" s="44"/>
      <c r="U287" s="44"/>
    </row>
    <row r="288" spans="1:21" x14ac:dyDescent="0.55000000000000004">
      <c r="A288" s="1" t="str">
        <f>'Population Definitions'!$A$8</f>
        <v>Prisoners</v>
      </c>
      <c r="B288" s="1" t="s">
        <v>14</v>
      </c>
      <c r="C288" s="2">
        <f t="shared" si="20"/>
        <v>0</v>
      </c>
      <c r="D288" s="1" t="s">
        <v>16</v>
      </c>
      <c r="E288" s="44"/>
      <c r="F288" s="44"/>
      <c r="G288" s="44"/>
      <c r="H288" s="44"/>
      <c r="I288" s="44"/>
      <c r="J288" s="44"/>
      <c r="K288" s="44"/>
      <c r="L288" s="44"/>
      <c r="M288" s="44"/>
      <c r="N288" s="44"/>
      <c r="O288" s="44"/>
      <c r="P288" s="44"/>
      <c r="Q288" s="44"/>
      <c r="R288" s="44"/>
      <c r="S288" s="44"/>
      <c r="T288" s="44"/>
      <c r="U288" s="44"/>
    </row>
    <row r="289" spans="1:21" x14ac:dyDescent="0.55000000000000004">
      <c r="A289" s="1" t="str">
        <f>'Population Definitions'!$A$9</f>
        <v>PLHIV Prisoners</v>
      </c>
      <c r="B289" s="1" t="s">
        <v>14</v>
      </c>
      <c r="C289" s="2">
        <f t="shared" si="20"/>
        <v>0</v>
      </c>
      <c r="D289" s="1" t="s">
        <v>16</v>
      </c>
      <c r="E289" s="44"/>
      <c r="F289" s="44"/>
      <c r="G289" s="44"/>
      <c r="H289" s="44"/>
      <c r="I289" s="44"/>
      <c r="J289" s="44"/>
      <c r="K289" s="44"/>
      <c r="L289" s="44"/>
      <c r="M289" s="44"/>
      <c r="N289" s="44"/>
      <c r="O289" s="44"/>
      <c r="P289" s="44"/>
      <c r="Q289" s="44"/>
      <c r="R289" s="44"/>
      <c r="S289" s="44"/>
      <c r="T289" s="44"/>
      <c r="U289" s="44"/>
    </row>
    <row r="290" spans="1:21" x14ac:dyDescent="0.55000000000000004">
      <c r="A290" s="1" t="str">
        <f>'Population Definitions'!$A$10</f>
        <v>HCW</v>
      </c>
      <c r="B290" s="1" t="s">
        <v>14</v>
      </c>
      <c r="C290" s="2">
        <f t="shared" si="20"/>
        <v>0</v>
      </c>
      <c r="D290" s="1" t="s">
        <v>16</v>
      </c>
      <c r="E290" s="44"/>
      <c r="F290" s="44"/>
      <c r="G290" s="44"/>
      <c r="H290" s="44"/>
      <c r="I290" s="44"/>
      <c r="J290" s="44"/>
      <c r="K290" s="44"/>
      <c r="L290" s="44"/>
      <c r="M290" s="44"/>
      <c r="N290" s="44"/>
      <c r="O290" s="44"/>
      <c r="P290" s="44"/>
      <c r="Q290" s="44"/>
      <c r="R290" s="44"/>
      <c r="S290" s="44"/>
      <c r="T290" s="44"/>
      <c r="U290" s="44"/>
    </row>
    <row r="291" spans="1:21" x14ac:dyDescent="0.55000000000000004">
      <c r="A291" s="1" t="str">
        <f>'Population Definitions'!$A$11</f>
        <v>PLHIV HCW</v>
      </c>
      <c r="B291" s="1" t="s">
        <v>14</v>
      </c>
      <c r="C291" s="2">
        <f t="shared" si="20"/>
        <v>0</v>
      </c>
      <c r="D291" s="1" t="s">
        <v>16</v>
      </c>
      <c r="E291" s="44"/>
      <c r="F291" s="44"/>
      <c r="G291" s="44"/>
      <c r="H291" s="44"/>
      <c r="I291" s="44"/>
      <c r="J291" s="44"/>
      <c r="K291" s="44"/>
      <c r="L291" s="44"/>
      <c r="M291" s="44"/>
      <c r="N291" s="44"/>
      <c r="O291" s="44"/>
      <c r="P291" s="44"/>
      <c r="Q291" s="44"/>
      <c r="R291" s="44"/>
      <c r="S291" s="44"/>
      <c r="T291" s="44"/>
      <c r="U291" s="44"/>
    </row>
    <row r="292" spans="1:21" x14ac:dyDescent="0.55000000000000004">
      <c r="A292" s="1" t="str">
        <f>'Population Definitions'!$A$12</f>
        <v>Miners</v>
      </c>
      <c r="B292" s="1" t="s">
        <v>14</v>
      </c>
      <c r="C292" s="2">
        <f t="shared" si="20"/>
        <v>0</v>
      </c>
      <c r="D292" s="1" t="s">
        <v>16</v>
      </c>
      <c r="E292" s="44"/>
      <c r="F292" s="44"/>
      <c r="G292" s="44"/>
      <c r="H292" s="44"/>
      <c r="I292" s="44"/>
      <c r="J292" s="44"/>
      <c r="K292" s="44"/>
      <c r="L292" s="44"/>
      <c r="M292" s="44"/>
      <c r="N292" s="44"/>
      <c r="O292" s="44"/>
      <c r="P292" s="44"/>
      <c r="Q292" s="44"/>
      <c r="R292" s="44"/>
      <c r="S292" s="44"/>
      <c r="T292" s="44"/>
      <c r="U292" s="44"/>
    </row>
    <row r="293" spans="1:21" x14ac:dyDescent="0.55000000000000004">
      <c r="A293" s="1" t="str">
        <f>'Population Definitions'!$A$13</f>
        <v>PLHIV Miners</v>
      </c>
      <c r="B293" s="1" t="s">
        <v>14</v>
      </c>
      <c r="C293" s="2">
        <f t="shared" si="20"/>
        <v>0</v>
      </c>
      <c r="D293" s="1" t="s">
        <v>16</v>
      </c>
      <c r="E293" s="44"/>
      <c r="F293" s="44"/>
      <c r="G293" s="44"/>
      <c r="H293" s="44"/>
      <c r="I293" s="44"/>
      <c r="J293" s="44"/>
      <c r="K293" s="44"/>
      <c r="L293" s="44"/>
      <c r="M293" s="44"/>
      <c r="N293" s="44"/>
      <c r="O293" s="44"/>
      <c r="P293" s="44"/>
      <c r="Q293" s="44"/>
      <c r="R293" s="44"/>
      <c r="S293" s="44"/>
      <c r="T293" s="44"/>
      <c r="U293" s="44"/>
    </row>
    <row r="294" spans="1:21" x14ac:dyDescent="0.55000000000000004">
      <c r="E294" s="37"/>
      <c r="F294" s="37"/>
      <c r="G294" s="37"/>
      <c r="H294" s="37"/>
      <c r="I294" s="37"/>
      <c r="J294" s="37"/>
      <c r="K294" s="37"/>
      <c r="L294" s="37"/>
      <c r="M294" s="37"/>
      <c r="N294" s="37"/>
      <c r="O294" s="37"/>
      <c r="P294" s="37"/>
      <c r="Q294" s="37"/>
      <c r="R294" s="37"/>
      <c r="S294" s="37"/>
      <c r="T294" s="37"/>
      <c r="U294" s="37"/>
    </row>
    <row r="295" spans="1:21" x14ac:dyDescent="0.55000000000000004">
      <c r="A295" s="21" t="s">
        <v>109</v>
      </c>
      <c r="B295" s="1" t="s">
        <v>8</v>
      </c>
      <c r="C295" s="1" t="s">
        <v>9</v>
      </c>
      <c r="D295" s="1"/>
      <c r="E295" s="41">
        <v>2000</v>
      </c>
      <c r="F295" s="41">
        <v>2001</v>
      </c>
      <c r="G295" s="41">
        <v>2002</v>
      </c>
      <c r="H295" s="41">
        <v>2003</v>
      </c>
      <c r="I295" s="41">
        <v>2004</v>
      </c>
      <c r="J295" s="41">
        <v>2005</v>
      </c>
      <c r="K295" s="41">
        <v>2006</v>
      </c>
      <c r="L295" s="41">
        <v>2007</v>
      </c>
      <c r="M295" s="41">
        <v>2008</v>
      </c>
      <c r="N295" s="41">
        <v>2009</v>
      </c>
      <c r="O295" s="41">
        <v>2010</v>
      </c>
      <c r="P295" s="41">
        <v>2011</v>
      </c>
      <c r="Q295" s="41">
        <v>2012</v>
      </c>
      <c r="R295" s="41">
        <v>2013</v>
      </c>
      <c r="S295" s="41">
        <v>2014</v>
      </c>
      <c r="T295" s="41">
        <v>2015</v>
      </c>
      <c r="U295" s="41">
        <v>2016</v>
      </c>
    </row>
    <row r="296" spans="1:21" x14ac:dyDescent="0.55000000000000004">
      <c r="A296" s="1" t="str">
        <f>'Population Definitions'!$A$2</f>
        <v>Gen 0-4</v>
      </c>
      <c r="B296" s="1" t="s">
        <v>14</v>
      </c>
      <c r="C296" s="2" t="str">
        <f t="shared" ref="C296:C307" si="21">IF(SUMPRODUCT(--(E296:U296&lt;&gt;""))=0,0,"N.A.")</f>
        <v>N.A.</v>
      </c>
      <c r="D296" s="1" t="s">
        <v>16</v>
      </c>
      <c r="E296" s="44">
        <f>0.07*E2</f>
        <v>264.09966401000003</v>
      </c>
      <c r="F296" s="44"/>
      <c r="G296" s="44"/>
      <c r="H296" s="44"/>
      <c r="I296" s="44"/>
      <c r="J296" s="44"/>
      <c r="K296" s="44"/>
      <c r="L296" s="44"/>
      <c r="M296" s="44"/>
      <c r="N296" s="44"/>
      <c r="O296" s="44"/>
      <c r="P296" s="44"/>
      <c r="Q296" s="44"/>
      <c r="R296" s="44"/>
      <c r="S296" s="44"/>
      <c r="T296" s="44"/>
      <c r="U296" s="44"/>
    </row>
    <row r="297" spans="1:21" x14ac:dyDescent="0.55000000000000004">
      <c r="A297" s="1" t="str">
        <f>'Population Definitions'!$A$3</f>
        <v>Gen 5-14</v>
      </c>
      <c r="B297" s="1" t="s">
        <v>14</v>
      </c>
      <c r="C297" s="2" t="str">
        <f t="shared" si="21"/>
        <v>N.A.</v>
      </c>
      <c r="D297" s="1" t="s">
        <v>16</v>
      </c>
      <c r="E297" s="44">
        <f>0.8*E3</f>
        <v>1378.1346600000002</v>
      </c>
      <c r="F297" s="44"/>
      <c r="G297" s="44"/>
      <c r="H297" s="44"/>
      <c r="I297" s="44"/>
      <c r="J297" s="44"/>
      <c r="K297" s="44"/>
      <c r="L297" s="44"/>
      <c r="M297" s="44"/>
      <c r="N297" s="44"/>
      <c r="O297" s="44"/>
      <c r="P297" s="44"/>
      <c r="Q297" s="44"/>
      <c r="R297" s="44"/>
      <c r="S297" s="44"/>
      <c r="T297" s="44"/>
      <c r="U297" s="44"/>
    </row>
    <row r="298" spans="1:21" x14ac:dyDescent="0.55000000000000004">
      <c r="A298" s="1" t="str">
        <f>'Population Definitions'!$A$4</f>
        <v>Gen 15-64</v>
      </c>
      <c r="B298" s="1" t="s">
        <v>14</v>
      </c>
      <c r="C298" s="2" t="str">
        <f t="shared" si="21"/>
        <v>N.A.</v>
      </c>
      <c r="D298" s="1" t="s">
        <v>16</v>
      </c>
      <c r="E298" s="44">
        <f>1.33*E4</f>
        <v>7643.2497136800012</v>
      </c>
      <c r="F298" s="44"/>
      <c r="G298" s="44"/>
      <c r="H298" s="44"/>
      <c r="I298" s="44"/>
      <c r="J298" s="44"/>
      <c r="K298" s="44"/>
      <c r="L298" s="44"/>
      <c r="M298" s="44"/>
      <c r="N298" s="44"/>
      <c r="O298" s="44"/>
      <c r="P298" s="44"/>
      <c r="Q298" s="44"/>
      <c r="R298" s="44"/>
      <c r="S298" s="44"/>
      <c r="T298" s="44"/>
      <c r="U298" s="44"/>
    </row>
    <row r="299" spans="1:21" x14ac:dyDescent="0.55000000000000004">
      <c r="A299" s="1" t="str">
        <f>'Population Definitions'!$A$5</f>
        <v>Gen 65+</v>
      </c>
      <c r="B299" s="1" t="s">
        <v>14</v>
      </c>
      <c r="C299" s="2" t="str">
        <f t="shared" si="21"/>
        <v>N.A.</v>
      </c>
      <c r="D299" s="1" t="s">
        <v>16</v>
      </c>
      <c r="E299" s="44">
        <f>2.1*E5</f>
        <v>870.52809795000007</v>
      </c>
      <c r="F299" s="44"/>
      <c r="G299" s="44"/>
      <c r="H299" s="44"/>
      <c r="I299" s="44"/>
      <c r="J299" s="44"/>
      <c r="K299" s="44"/>
      <c r="L299" s="44"/>
      <c r="M299" s="44"/>
      <c r="N299" s="44"/>
      <c r="O299" s="44"/>
      <c r="P299" s="44"/>
      <c r="Q299" s="44"/>
      <c r="R299" s="44"/>
      <c r="S299" s="44"/>
      <c r="T299" s="44"/>
      <c r="U299" s="44"/>
    </row>
    <row r="300" spans="1:21" x14ac:dyDescent="0.55000000000000004">
      <c r="A300" s="1" t="str">
        <f>'Population Definitions'!$A$6</f>
        <v>PLHIV 15-64</v>
      </c>
      <c r="B300" s="1" t="s">
        <v>14</v>
      </c>
      <c r="C300" s="2" t="str">
        <f t="shared" si="21"/>
        <v>N.A.</v>
      </c>
      <c r="D300" s="1" t="s">
        <v>16</v>
      </c>
      <c r="E300" s="44">
        <f>1.3*E6</f>
        <v>41037.760542999997</v>
      </c>
      <c r="F300" s="44"/>
      <c r="G300" s="44"/>
      <c r="H300" s="44"/>
      <c r="I300" s="44"/>
      <c r="J300" s="44"/>
      <c r="K300" s="44"/>
      <c r="L300" s="44"/>
      <c r="M300" s="44"/>
      <c r="N300" s="44"/>
      <c r="O300" s="44"/>
      <c r="P300" s="44"/>
      <c r="Q300" s="44"/>
      <c r="R300" s="44"/>
      <c r="S300" s="44"/>
      <c r="T300" s="44"/>
      <c r="U300" s="44"/>
    </row>
    <row r="301" spans="1:21" x14ac:dyDescent="0.55000000000000004">
      <c r="A301" s="1" t="str">
        <f>'Population Definitions'!$A$7</f>
        <v>PLHIV 65+</v>
      </c>
      <c r="B301" s="1" t="s">
        <v>14</v>
      </c>
      <c r="C301" s="2" t="str">
        <f t="shared" si="21"/>
        <v>N.A.</v>
      </c>
      <c r="D301" s="1" t="s">
        <v>16</v>
      </c>
      <c r="E301" s="44">
        <f>2.1*E7</f>
        <v>400.52177424000001</v>
      </c>
      <c r="F301" s="44"/>
      <c r="G301" s="44"/>
      <c r="H301" s="44"/>
      <c r="I301" s="44"/>
      <c r="J301" s="44"/>
      <c r="K301" s="44"/>
      <c r="L301" s="44"/>
      <c r="M301" s="44"/>
      <c r="N301" s="44"/>
      <c r="O301" s="44"/>
      <c r="P301" s="44"/>
      <c r="Q301" s="44"/>
      <c r="R301" s="44"/>
      <c r="S301" s="44"/>
      <c r="T301" s="44"/>
      <c r="U301" s="44"/>
    </row>
    <row r="302" spans="1:21" x14ac:dyDescent="0.55000000000000004">
      <c r="A302" s="1" t="str">
        <f>'Population Definitions'!$A$8</f>
        <v>Prisoners</v>
      </c>
      <c r="B302" s="1" t="s">
        <v>14</v>
      </c>
      <c r="C302" s="2" t="str">
        <f t="shared" si="21"/>
        <v>N.A.</v>
      </c>
      <c r="D302" s="1" t="s">
        <v>16</v>
      </c>
      <c r="E302" s="44">
        <f>1.3*E8</f>
        <v>504.51775107499998</v>
      </c>
      <c r="F302" s="44"/>
      <c r="G302" s="44"/>
      <c r="H302" s="44"/>
      <c r="I302" s="44"/>
      <c r="J302" s="44"/>
      <c r="K302" s="44"/>
      <c r="L302" s="44"/>
      <c r="M302" s="44"/>
      <c r="N302" s="44"/>
      <c r="O302" s="44"/>
      <c r="P302" s="44"/>
      <c r="Q302" s="44"/>
      <c r="R302" s="44"/>
      <c r="S302" s="44"/>
      <c r="T302" s="44"/>
      <c r="U302" s="44"/>
    </row>
    <row r="303" spans="1:21" x14ac:dyDescent="0.55000000000000004">
      <c r="A303" s="1" t="str">
        <f>'Population Definitions'!$A$9</f>
        <v>PLHIV Prisoners</v>
      </c>
      <c r="B303" s="1" t="s">
        <v>14</v>
      </c>
      <c r="C303" s="2" t="str">
        <f t="shared" si="21"/>
        <v>N.A.</v>
      </c>
      <c r="D303" s="1" t="s">
        <v>16</v>
      </c>
      <c r="E303" s="44">
        <f>E9/1.3</f>
        <v>494.37069438461538</v>
      </c>
      <c r="F303" s="44"/>
      <c r="G303" s="44"/>
      <c r="H303" s="44"/>
      <c r="I303" s="44"/>
      <c r="J303" s="44"/>
      <c r="K303" s="44"/>
      <c r="L303" s="44"/>
      <c r="M303" s="44"/>
      <c r="N303" s="44"/>
      <c r="O303" s="44"/>
      <c r="P303" s="44"/>
      <c r="Q303" s="44"/>
      <c r="R303" s="44"/>
      <c r="S303" s="44"/>
      <c r="T303" s="44"/>
      <c r="U303" s="44"/>
    </row>
    <row r="304" spans="1:21" x14ac:dyDescent="0.55000000000000004">
      <c r="A304" s="1" t="str">
        <f>'Population Definitions'!$A$10</f>
        <v>HCW</v>
      </c>
      <c r="B304" s="1" t="s">
        <v>14</v>
      </c>
      <c r="C304" s="2" t="str">
        <f t="shared" si="21"/>
        <v>N.A.</v>
      </c>
      <c r="D304" s="1" t="s">
        <v>16</v>
      </c>
      <c r="E304" s="44">
        <f t="shared" ref="E304:E307" si="22">1.3*E10</f>
        <v>0</v>
      </c>
      <c r="F304" s="44"/>
      <c r="G304" s="44"/>
      <c r="H304" s="44"/>
      <c r="I304" s="44"/>
      <c r="J304" s="44"/>
      <c r="K304" s="44"/>
      <c r="L304" s="44"/>
      <c r="M304" s="44"/>
      <c r="N304" s="44"/>
      <c r="O304" s="44"/>
      <c r="P304" s="44"/>
      <c r="Q304" s="44"/>
      <c r="R304" s="44"/>
      <c r="S304" s="44"/>
      <c r="T304" s="44"/>
      <c r="U304" s="44"/>
    </row>
    <row r="305" spans="1:21" x14ac:dyDescent="0.55000000000000004">
      <c r="A305" s="1" t="str">
        <f>'Population Definitions'!$A$11</f>
        <v>PLHIV HCW</v>
      </c>
      <c r="B305" s="1" t="s">
        <v>14</v>
      </c>
      <c r="C305" s="2" t="str">
        <f t="shared" si="21"/>
        <v>N.A.</v>
      </c>
      <c r="D305" s="1" t="s">
        <v>16</v>
      </c>
      <c r="E305" s="44">
        <f t="shared" si="22"/>
        <v>0</v>
      </c>
      <c r="F305" s="44"/>
      <c r="G305" s="44"/>
      <c r="H305" s="44"/>
      <c r="I305" s="44"/>
      <c r="J305" s="44"/>
      <c r="K305" s="44"/>
      <c r="L305" s="44"/>
      <c r="M305" s="44"/>
      <c r="N305" s="44"/>
      <c r="O305" s="44"/>
      <c r="P305" s="44"/>
      <c r="Q305" s="44"/>
      <c r="R305" s="44"/>
      <c r="S305" s="44"/>
      <c r="T305" s="44"/>
      <c r="U305" s="44"/>
    </row>
    <row r="306" spans="1:21" x14ac:dyDescent="0.55000000000000004">
      <c r="A306" s="1" t="str">
        <f>'Population Definitions'!$A$12</f>
        <v>Miners</v>
      </c>
      <c r="B306" s="1" t="s">
        <v>14</v>
      </c>
      <c r="C306" s="2" t="str">
        <f t="shared" si="21"/>
        <v>N.A.</v>
      </c>
      <c r="D306" s="1" t="s">
        <v>16</v>
      </c>
      <c r="E306" s="44">
        <f t="shared" si="22"/>
        <v>0</v>
      </c>
      <c r="F306" s="44"/>
      <c r="G306" s="44"/>
      <c r="H306" s="44"/>
      <c r="I306" s="44"/>
      <c r="J306" s="44"/>
      <c r="K306" s="44"/>
      <c r="L306" s="44"/>
      <c r="M306" s="44"/>
      <c r="N306" s="44"/>
      <c r="O306" s="44"/>
      <c r="P306" s="44"/>
      <c r="Q306" s="44"/>
      <c r="R306" s="44"/>
      <c r="S306" s="44"/>
      <c r="T306" s="44"/>
      <c r="U306" s="44"/>
    </row>
    <row r="307" spans="1:21" x14ac:dyDescent="0.55000000000000004">
      <c r="A307" s="1" t="str">
        <f>'Population Definitions'!$A$13</f>
        <v>PLHIV Miners</v>
      </c>
      <c r="B307" s="1" t="s">
        <v>14</v>
      </c>
      <c r="C307" s="2" t="str">
        <f t="shared" si="21"/>
        <v>N.A.</v>
      </c>
      <c r="D307" s="1" t="s">
        <v>16</v>
      </c>
      <c r="E307" s="44">
        <f t="shared" si="22"/>
        <v>0</v>
      </c>
      <c r="F307" s="44"/>
      <c r="G307" s="44"/>
      <c r="H307" s="44"/>
      <c r="I307" s="44"/>
      <c r="J307" s="44"/>
      <c r="K307" s="44"/>
      <c r="L307" s="44"/>
      <c r="M307" s="44"/>
      <c r="N307" s="44"/>
      <c r="O307" s="44"/>
      <c r="P307" s="44"/>
      <c r="Q307" s="44"/>
      <c r="R307" s="44"/>
      <c r="S307" s="44"/>
      <c r="T307" s="44"/>
      <c r="U307" s="44"/>
    </row>
  </sheetData>
  <dataValidations count="264">
    <dataValidation type="list" showInputMessage="1" showErrorMessage="1" sqref="B2">
      <formula1>"Number"</formula1>
    </dataValidation>
    <dataValidation type="list" showInputMessage="1" showErrorMessage="1" sqref="B3">
      <formula1>"Number"</formula1>
    </dataValidation>
    <dataValidation type="list" showInputMessage="1" showErrorMessage="1" sqref="B4">
      <formula1>"Number"</formula1>
    </dataValidation>
    <dataValidation type="list" showInputMessage="1" showErrorMessage="1" sqref="B5">
      <formula1>"Number"</formula1>
    </dataValidation>
    <dataValidation type="list" showInputMessage="1" showErrorMessage="1" sqref="B6">
      <formula1>"Number"</formula1>
    </dataValidation>
    <dataValidation type="list" showInputMessage="1" showErrorMessage="1" sqref="B7">
      <formula1>"Number"</formula1>
    </dataValidation>
    <dataValidation type="list" showInputMessage="1" showErrorMessage="1" sqref="B8">
      <formula1>"Number"</formula1>
    </dataValidation>
    <dataValidation type="list" showInputMessage="1" showErrorMessage="1" sqref="B9">
      <formula1>"Number"</formula1>
    </dataValidation>
    <dataValidation type="list" showInputMessage="1" showErrorMessage="1" sqref="B10">
      <formula1>"Number"</formula1>
    </dataValidation>
    <dataValidation type="list" showInputMessage="1" showErrorMessage="1" sqref="B11">
      <formula1>"Number"</formula1>
    </dataValidation>
    <dataValidation type="list" showInputMessage="1" showErrorMessage="1" sqref="B12">
      <formula1>"Number"</formula1>
    </dataValidation>
    <dataValidation type="list" showInputMessage="1" showErrorMessage="1" sqref="B13">
      <formula1>"Number"</formula1>
    </dataValidation>
    <dataValidation type="list" showInputMessage="1" showErrorMessage="1" sqref="B16">
      <formula1>"Number"</formula1>
    </dataValidation>
    <dataValidation type="list" showInputMessage="1" showErrorMessage="1" sqref="B17">
      <formula1>"Number"</formula1>
    </dataValidation>
    <dataValidation type="list" showInputMessage="1" showErrorMessage="1" sqref="B18">
      <formula1>"Number"</formula1>
    </dataValidation>
    <dataValidation type="list" showInputMessage="1" showErrorMessage="1" sqref="B19">
      <formula1>"Number"</formula1>
    </dataValidation>
    <dataValidation type="list" showInputMessage="1" showErrorMessage="1" sqref="B20">
      <formula1>"Number"</formula1>
    </dataValidation>
    <dataValidation type="list" showInputMessage="1" showErrorMessage="1" sqref="B21">
      <formula1>"Number"</formula1>
    </dataValidation>
    <dataValidation type="list" showInputMessage="1" showErrorMessage="1" sqref="B22">
      <formula1>"Number"</formula1>
    </dataValidation>
    <dataValidation type="list" showInputMessage="1" showErrorMessage="1" sqref="B23">
      <formula1>"Number"</formula1>
    </dataValidation>
    <dataValidation type="list" showInputMessage="1" showErrorMessage="1" sqref="B24">
      <formula1>"Number"</formula1>
    </dataValidation>
    <dataValidation type="list" showInputMessage="1" showErrorMessage="1" sqref="B25">
      <formula1>"Number"</formula1>
    </dataValidation>
    <dataValidation type="list" showInputMessage="1" showErrorMessage="1" sqref="B26">
      <formula1>"Number"</formula1>
    </dataValidation>
    <dataValidation type="list" showInputMessage="1" showErrorMessage="1" sqref="B27">
      <formula1>"Number"</formula1>
    </dataValidation>
    <dataValidation type="list" showInputMessage="1" showErrorMessage="1" sqref="B30">
      <formula1>"Number"</formula1>
    </dataValidation>
    <dataValidation type="list" showInputMessage="1" showErrorMessage="1" sqref="B31">
      <formula1>"Number"</formula1>
    </dataValidation>
    <dataValidation type="list" showInputMessage="1" showErrorMessage="1" sqref="B32">
      <formula1>"Number"</formula1>
    </dataValidation>
    <dataValidation type="list" showInputMessage="1" showErrorMessage="1" sqref="B33">
      <formula1>"Number"</formula1>
    </dataValidation>
    <dataValidation type="list" showInputMessage="1" showErrorMessage="1" sqref="B34">
      <formula1>"Number"</formula1>
    </dataValidation>
    <dataValidation type="list" showInputMessage="1" showErrorMessage="1" sqref="B35">
      <formula1>"Number"</formula1>
    </dataValidation>
    <dataValidation type="list" showInputMessage="1" showErrorMessage="1" sqref="B36">
      <formula1>"Number"</formula1>
    </dataValidation>
    <dataValidation type="list" showInputMessage="1" showErrorMessage="1" sqref="B37">
      <formula1>"Number"</formula1>
    </dataValidation>
    <dataValidation type="list" showInputMessage="1" showErrorMessage="1" sqref="B38">
      <formula1>"Number"</formula1>
    </dataValidation>
    <dataValidation type="list" showInputMessage="1" showErrorMessage="1" sqref="B39">
      <formula1>"Number"</formula1>
    </dataValidation>
    <dataValidation type="list" showInputMessage="1" showErrorMessage="1" sqref="B40">
      <formula1>"Number"</formula1>
    </dataValidation>
    <dataValidation type="list" showInputMessage="1" showErrorMessage="1" sqref="B41">
      <formula1>"Number"</formula1>
    </dataValidation>
    <dataValidation type="list" showInputMessage="1" showErrorMessage="1" sqref="B44">
      <formula1>"Number"</formula1>
    </dataValidation>
    <dataValidation type="list" showInputMessage="1" showErrorMessage="1" sqref="B45">
      <formula1>"Number"</formula1>
    </dataValidation>
    <dataValidation type="list" showInputMessage="1" showErrorMessage="1" sqref="B46">
      <formula1>"Number"</formula1>
    </dataValidation>
    <dataValidation type="list" showInputMessage="1" showErrorMessage="1" sqref="B47">
      <formula1>"Number"</formula1>
    </dataValidation>
    <dataValidation type="list" showInputMessage="1" showErrorMessage="1" sqref="B48">
      <formula1>"Number"</formula1>
    </dataValidation>
    <dataValidation type="list" showInputMessage="1" showErrorMessage="1" sqref="B49">
      <formula1>"Number"</formula1>
    </dataValidation>
    <dataValidation type="list" showInputMessage="1" showErrorMessage="1" sqref="B50">
      <formula1>"Number"</formula1>
    </dataValidation>
    <dataValidation type="list" showInputMessage="1" showErrorMessage="1" sqref="B51">
      <formula1>"Number"</formula1>
    </dataValidation>
    <dataValidation type="list" showInputMessage="1" showErrorMessage="1" sqref="B52">
      <formula1>"Number"</formula1>
    </dataValidation>
    <dataValidation type="list" showInputMessage="1" showErrorMessage="1" sqref="B53">
      <formula1>"Number"</formula1>
    </dataValidation>
    <dataValidation type="list" showInputMessage="1" showErrorMessage="1" sqref="B54">
      <formula1>"Number"</formula1>
    </dataValidation>
    <dataValidation type="list" showInputMessage="1" showErrorMessage="1" sqref="B55">
      <formula1>"Number"</formula1>
    </dataValidation>
    <dataValidation type="list" showInputMessage="1" showErrorMessage="1" sqref="B58">
      <formula1>"Number"</formula1>
    </dataValidation>
    <dataValidation type="list" showInputMessage="1" showErrorMessage="1" sqref="B59">
      <formula1>"Number"</formula1>
    </dataValidation>
    <dataValidation type="list" showInputMessage="1" showErrorMessage="1" sqref="B60">
      <formula1>"Number"</formula1>
    </dataValidation>
    <dataValidation type="list" showInputMessage="1" showErrorMessage="1" sqref="B61">
      <formula1>"Number"</formula1>
    </dataValidation>
    <dataValidation type="list" showInputMessage="1" showErrorMessage="1" sqref="B62">
      <formula1>"Number"</formula1>
    </dataValidation>
    <dataValidation type="list" showInputMessage="1" showErrorMessage="1" sqref="B63">
      <formula1>"Number"</formula1>
    </dataValidation>
    <dataValidation type="list" showInputMessage="1" showErrorMessage="1" sqref="B64">
      <formula1>"Number"</formula1>
    </dataValidation>
    <dataValidation type="list" showInputMessage="1" showErrorMessage="1" sqref="B65">
      <formula1>"Number"</formula1>
    </dataValidation>
    <dataValidation type="list" showInputMessage="1" showErrorMessage="1" sqref="B66">
      <formula1>"Number"</formula1>
    </dataValidation>
    <dataValidation type="list" showInputMessage="1" showErrorMessage="1" sqref="B67">
      <formula1>"Number"</formula1>
    </dataValidation>
    <dataValidation type="list" showInputMessage="1" showErrorMessage="1" sqref="B68">
      <formula1>"Number"</formula1>
    </dataValidation>
    <dataValidation type="list" showInputMessage="1" showErrorMessage="1" sqref="B69">
      <formula1>"Number"</formula1>
    </dataValidation>
    <dataValidation type="list" showInputMessage="1" showErrorMessage="1" sqref="B72">
      <formula1>"Number"</formula1>
    </dataValidation>
    <dataValidation type="list" showInputMessage="1" showErrorMessage="1" sqref="B73">
      <formula1>"Number"</formula1>
    </dataValidation>
    <dataValidation type="list" showInputMessage="1" showErrorMessage="1" sqref="B74">
      <formula1>"Number"</formula1>
    </dataValidation>
    <dataValidation type="list" showInputMessage="1" showErrorMessage="1" sqref="B75">
      <formula1>"Number"</formula1>
    </dataValidation>
    <dataValidation type="list" showInputMessage="1" showErrorMessage="1" sqref="B76">
      <formula1>"Number"</formula1>
    </dataValidation>
    <dataValidation type="list" showInputMessage="1" showErrorMessage="1" sqref="B77">
      <formula1>"Number"</formula1>
    </dataValidation>
    <dataValidation type="list" showInputMessage="1" showErrorMessage="1" sqref="B78">
      <formula1>"Number"</formula1>
    </dataValidation>
    <dataValidation type="list" showInputMessage="1" showErrorMessage="1" sqref="B79">
      <formula1>"Number"</formula1>
    </dataValidation>
    <dataValidation type="list" showInputMessage="1" showErrorMessage="1" sqref="B80">
      <formula1>"Number"</formula1>
    </dataValidation>
    <dataValidation type="list" showInputMessage="1" showErrorMessage="1" sqref="B81">
      <formula1>"Number"</formula1>
    </dataValidation>
    <dataValidation type="list" showInputMessage="1" showErrorMessage="1" sqref="B82">
      <formula1>"Number"</formula1>
    </dataValidation>
    <dataValidation type="list" showInputMessage="1" showErrorMessage="1" sqref="B83">
      <formula1>"Number"</formula1>
    </dataValidation>
    <dataValidation type="list" showInputMessage="1" showErrorMessage="1" sqref="B86">
      <formula1>"Number"</formula1>
    </dataValidation>
    <dataValidation type="list" showInputMessage="1" showErrorMessage="1" sqref="B87">
      <formula1>"Number"</formula1>
    </dataValidation>
    <dataValidation type="list" showInputMessage="1" showErrorMessage="1" sqref="B88">
      <formula1>"Number"</formula1>
    </dataValidation>
    <dataValidation type="list" showInputMessage="1" showErrorMessage="1" sqref="B89">
      <formula1>"Number"</formula1>
    </dataValidation>
    <dataValidation type="list" showInputMessage="1" showErrorMessage="1" sqref="B90">
      <formula1>"Number"</formula1>
    </dataValidation>
    <dataValidation type="list" showInputMessage="1" showErrorMessage="1" sqref="B91">
      <formula1>"Number"</formula1>
    </dataValidation>
    <dataValidation type="list" showInputMessage="1" showErrorMessage="1" sqref="B92">
      <formula1>"Number"</formula1>
    </dataValidation>
    <dataValidation type="list" showInputMessage="1" showErrorMessage="1" sqref="B93">
      <formula1>"Number"</formula1>
    </dataValidation>
    <dataValidation type="list" showInputMessage="1" showErrorMessage="1" sqref="B94">
      <formula1>"Number"</formula1>
    </dataValidation>
    <dataValidation type="list" showInputMessage="1" showErrorMessage="1" sqref="B95">
      <formula1>"Number"</formula1>
    </dataValidation>
    <dataValidation type="list" showInputMessage="1" showErrorMessage="1" sqref="B96">
      <formula1>"Number"</formula1>
    </dataValidation>
    <dataValidation type="list" showInputMessage="1" showErrorMessage="1" sqref="B97">
      <formula1>"Number"</formula1>
    </dataValidation>
    <dataValidation type="list" showInputMessage="1" showErrorMessage="1" sqref="B100">
      <formula1>"Number"</formula1>
    </dataValidation>
    <dataValidation type="list" showInputMessage="1" showErrorMessage="1" sqref="B101">
      <formula1>"Number"</formula1>
    </dataValidation>
    <dataValidation type="list" showInputMessage="1" showErrorMessage="1" sqref="B102">
      <formula1>"Number"</formula1>
    </dataValidation>
    <dataValidation type="list" showInputMessage="1" showErrorMessage="1" sqref="B103">
      <formula1>"Number"</formula1>
    </dataValidation>
    <dataValidation type="list" showInputMessage="1" showErrorMessage="1" sqref="B104">
      <formula1>"Number"</formula1>
    </dataValidation>
    <dataValidation type="list" showInputMessage="1" showErrorMessage="1" sqref="B105">
      <formula1>"Number"</formula1>
    </dataValidation>
    <dataValidation type="list" showInputMessage="1" showErrorMessage="1" sqref="B106">
      <formula1>"Number"</formula1>
    </dataValidation>
    <dataValidation type="list" showInputMessage="1" showErrorMessage="1" sqref="B107">
      <formula1>"Number"</formula1>
    </dataValidation>
    <dataValidation type="list" showInputMessage="1" showErrorMessage="1" sqref="B108">
      <formula1>"Number"</formula1>
    </dataValidation>
    <dataValidation type="list" showInputMessage="1" showErrorMessage="1" sqref="B109">
      <formula1>"Number"</formula1>
    </dataValidation>
    <dataValidation type="list" showInputMessage="1" showErrorMessage="1" sqref="B110">
      <formula1>"Number"</formula1>
    </dataValidation>
    <dataValidation type="list" showInputMessage="1" showErrorMessage="1" sqref="B111">
      <formula1>"Number"</formula1>
    </dataValidation>
    <dataValidation type="list" showInputMessage="1" showErrorMessage="1" sqref="B114">
      <formula1>"Number"</formula1>
    </dataValidation>
    <dataValidation type="list" showInputMessage="1" showErrorMessage="1" sqref="B115">
      <formula1>"Number"</formula1>
    </dataValidation>
    <dataValidation type="list" showInputMessage="1" showErrorMessage="1" sqref="B116">
      <formula1>"Number"</formula1>
    </dataValidation>
    <dataValidation type="list" showInputMessage="1" showErrorMessage="1" sqref="B117">
      <formula1>"Number"</formula1>
    </dataValidation>
    <dataValidation type="list" showInputMessage="1" showErrorMessage="1" sqref="B118">
      <formula1>"Number"</formula1>
    </dataValidation>
    <dataValidation type="list" showInputMessage="1" showErrorMessage="1" sqref="B119">
      <formula1>"Number"</formula1>
    </dataValidation>
    <dataValidation type="list" showInputMessage="1" showErrorMessage="1" sqref="B120">
      <formula1>"Number"</formula1>
    </dataValidation>
    <dataValidation type="list" showInputMessage="1" showErrorMessage="1" sqref="B121">
      <formula1>"Number"</formula1>
    </dataValidation>
    <dataValidation type="list" showInputMessage="1" showErrorMessage="1" sqref="B122">
      <formula1>"Number"</formula1>
    </dataValidation>
    <dataValidation type="list" showInputMessage="1" showErrorMessage="1" sqref="B123">
      <formula1>"Number"</formula1>
    </dataValidation>
    <dataValidation type="list" showInputMessage="1" showErrorMessage="1" sqref="B124">
      <formula1>"Number"</formula1>
    </dataValidation>
    <dataValidation type="list" showInputMessage="1" showErrorMessage="1" sqref="B125">
      <formula1>"Number"</formula1>
    </dataValidation>
    <dataValidation type="list" showInputMessage="1" showErrorMessage="1" sqref="B128">
      <formula1>"Number"</formula1>
    </dataValidation>
    <dataValidation type="list" showInputMessage="1" showErrorMessage="1" sqref="B129">
      <formula1>"Number"</formula1>
    </dataValidation>
    <dataValidation type="list" showInputMessage="1" showErrorMessage="1" sqref="B130">
      <formula1>"Number"</formula1>
    </dataValidation>
    <dataValidation type="list" showInputMessage="1" showErrorMessage="1" sqref="B131">
      <formula1>"Number"</formula1>
    </dataValidation>
    <dataValidation type="list" showInputMessage="1" showErrorMessage="1" sqref="B132">
      <formula1>"Number"</formula1>
    </dataValidation>
    <dataValidation type="list" showInputMessage="1" showErrorMessage="1" sqref="B133">
      <formula1>"Number"</formula1>
    </dataValidation>
    <dataValidation type="list" showInputMessage="1" showErrorMessage="1" sqref="B134">
      <formula1>"Number"</formula1>
    </dataValidation>
    <dataValidation type="list" showInputMessage="1" showErrorMessage="1" sqref="B135">
      <formula1>"Number"</formula1>
    </dataValidation>
    <dataValidation type="list" showInputMessage="1" showErrorMessage="1" sqref="B136">
      <formula1>"Number"</formula1>
    </dataValidation>
    <dataValidation type="list" showInputMessage="1" showErrorMessage="1" sqref="B137">
      <formula1>"Number"</formula1>
    </dataValidation>
    <dataValidation type="list" showInputMessage="1" showErrorMessage="1" sqref="B138">
      <formula1>"Number"</formula1>
    </dataValidation>
    <dataValidation type="list" showInputMessage="1" showErrorMessage="1" sqref="B139">
      <formula1>"Number"</formula1>
    </dataValidation>
    <dataValidation type="list" showInputMessage="1" showErrorMessage="1" sqref="B142">
      <formula1>"Number"</formula1>
    </dataValidation>
    <dataValidation type="list" showInputMessage="1" showErrorMessage="1" sqref="B143">
      <formula1>"Number"</formula1>
    </dataValidation>
    <dataValidation type="list" showInputMessage="1" showErrorMessage="1" sqref="B144">
      <formula1>"Number"</formula1>
    </dataValidation>
    <dataValidation type="list" showInputMessage="1" showErrorMessage="1" sqref="B145">
      <formula1>"Number"</formula1>
    </dataValidation>
    <dataValidation type="list" showInputMessage="1" showErrorMessage="1" sqref="B146">
      <formula1>"Number"</formula1>
    </dataValidation>
    <dataValidation type="list" showInputMessage="1" showErrorMessage="1" sqref="B147">
      <formula1>"Number"</formula1>
    </dataValidation>
    <dataValidation type="list" showInputMessage="1" showErrorMessage="1" sqref="B148">
      <formula1>"Number"</formula1>
    </dataValidation>
    <dataValidation type="list" showInputMessage="1" showErrorMessage="1" sqref="B149">
      <formula1>"Number"</formula1>
    </dataValidation>
    <dataValidation type="list" showInputMessage="1" showErrorMessage="1" sqref="B150">
      <formula1>"Number"</formula1>
    </dataValidation>
    <dataValidation type="list" showInputMessage="1" showErrorMessage="1" sqref="B151">
      <formula1>"Number"</formula1>
    </dataValidation>
    <dataValidation type="list" showInputMessage="1" showErrorMessage="1" sqref="B152">
      <formula1>"Number"</formula1>
    </dataValidation>
    <dataValidation type="list" showInputMessage="1" showErrorMessage="1" sqref="B153">
      <formula1>"Number"</formula1>
    </dataValidation>
    <dataValidation type="list" showInputMessage="1" showErrorMessage="1" sqref="B156">
      <formula1>"Number"</formula1>
    </dataValidation>
    <dataValidation type="list" showInputMessage="1" showErrorMessage="1" sqref="B157">
      <formula1>"Number"</formula1>
    </dataValidation>
    <dataValidation type="list" showInputMessage="1" showErrorMessage="1" sqref="B158">
      <formula1>"Number"</formula1>
    </dataValidation>
    <dataValidation type="list" showInputMessage="1" showErrorMessage="1" sqref="B159">
      <formula1>"Number"</formula1>
    </dataValidation>
    <dataValidation type="list" showInputMessage="1" showErrorMessage="1" sqref="B160">
      <formula1>"Number"</formula1>
    </dataValidation>
    <dataValidation type="list" showInputMessage="1" showErrorMessage="1" sqref="B161">
      <formula1>"Number"</formula1>
    </dataValidation>
    <dataValidation type="list" showInputMessage="1" showErrorMessage="1" sqref="B162">
      <formula1>"Number"</formula1>
    </dataValidation>
    <dataValidation type="list" showInputMessage="1" showErrorMessage="1" sqref="B163">
      <formula1>"Number"</formula1>
    </dataValidation>
    <dataValidation type="list" showInputMessage="1" showErrorMessage="1" sqref="B164">
      <formula1>"Number"</formula1>
    </dataValidation>
    <dataValidation type="list" showInputMessage="1" showErrorMessage="1" sqref="B165">
      <formula1>"Number"</formula1>
    </dataValidation>
    <dataValidation type="list" showInputMessage="1" showErrorMessage="1" sqref="B166">
      <formula1>"Number"</formula1>
    </dataValidation>
    <dataValidation type="list" showInputMessage="1" showErrorMessage="1" sqref="B167">
      <formula1>"Number"</formula1>
    </dataValidation>
    <dataValidation type="list" showInputMessage="1" showErrorMessage="1" sqref="B170">
      <formula1>"Number"</formula1>
    </dataValidation>
    <dataValidation type="list" showInputMessage="1" showErrorMessage="1" sqref="B171">
      <formula1>"Number"</formula1>
    </dataValidation>
    <dataValidation type="list" showInputMessage="1" showErrorMessage="1" sqref="B172">
      <formula1>"Number"</formula1>
    </dataValidation>
    <dataValidation type="list" showInputMessage="1" showErrorMessage="1" sqref="B173">
      <formula1>"Number"</formula1>
    </dataValidation>
    <dataValidation type="list" showInputMessage="1" showErrorMessage="1" sqref="B174">
      <formula1>"Number"</formula1>
    </dataValidation>
    <dataValidation type="list" showInputMessage="1" showErrorMessage="1" sqref="B175">
      <formula1>"Number"</formula1>
    </dataValidation>
    <dataValidation type="list" showInputMessage="1" showErrorMessage="1" sqref="B176">
      <formula1>"Number"</formula1>
    </dataValidation>
    <dataValidation type="list" showInputMessage="1" showErrorMessage="1" sqref="B177">
      <formula1>"Number"</formula1>
    </dataValidation>
    <dataValidation type="list" showInputMessage="1" showErrorMessage="1" sqref="B178">
      <formula1>"Number"</formula1>
    </dataValidation>
    <dataValidation type="list" showInputMessage="1" showErrorMessage="1" sqref="B179">
      <formula1>"Number"</formula1>
    </dataValidation>
    <dataValidation type="list" showInputMessage="1" showErrorMessage="1" sqref="B180">
      <formula1>"Number"</formula1>
    </dataValidation>
    <dataValidation type="list" showInputMessage="1" showErrorMessage="1" sqref="B181">
      <formula1>"Number"</formula1>
    </dataValidation>
    <dataValidation type="list" showInputMessage="1" showErrorMessage="1" sqref="B184">
      <formula1>"Number"</formula1>
    </dataValidation>
    <dataValidation type="list" showInputMessage="1" showErrorMessage="1" sqref="B185">
      <formula1>"Number"</formula1>
    </dataValidation>
    <dataValidation type="list" showInputMessage="1" showErrorMessage="1" sqref="B186">
      <formula1>"Number"</formula1>
    </dataValidation>
    <dataValidation type="list" showInputMessage="1" showErrorMessage="1" sqref="B187">
      <formula1>"Number"</formula1>
    </dataValidation>
    <dataValidation type="list" showInputMessage="1" showErrorMessage="1" sqref="B188">
      <formula1>"Number"</formula1>
    </dataValidation>
    <dataValidation type="list" showInputMessage="1" showErrorMessage="1" sqref="B189">
      <formula1>"Number"</formula1>
    </dataValidation>
    <dataValidation type="list" showInputMessage="1" showErrorMessage="1" sqref="B190">
      <formula1>"Number"</formula1>
    </dataValidation>
    <dataValidation type="list" showInputMessage="1" showErrorMessage="1" sqref="B191">
      <formula1>"Number"</formula1>
    </dataValidation>
    <dataValidation type="list" showInputMessage="1" showErrorMessage="1" sqref="B192">
      <formula1>"Number"</formula1>
    </dataValidation>
    <dataValidation type="list" showInputMessage="1" showErrorMessage="1" sqref="B193">
      <formula1>"Number"</formula1>
    </dataValidation>
    <dataValidation type="list" showInputMessage="1" showErrorMessage="1" sqref="B194">
      <formula1>"Number"</formula1>
    </dataValidation>
    <dataValidation type="list" showInputMessage="1" showErrorMessage="1" sqref="B195">
      <formula1>"Number"</formula1>
    </dataValidation>
    <dataValidation type="list" showInputMessage="1" showErrorMessage="1" sqref="B198">
      <formula1>"Number"</formula1>
    </dataValidation>
    <dataValidation type="list" showInputMessage="1" showErrorMessage="1" sqref="B199">
      <formula1>"Number"</formula1>
    </dataValidation>
    <dataValidation type="list" showInputMessage="1" showErrorMessage="1" sqref="B200">
      <formula1>"Number"</formula1>
    </dataValidation>
    <dataValidation type="list" showInputMessage="1" showErrorMessage="1" sqref="B201">
      <formula1>"Number"</formula1>
    </dataValidation>
    <dataValidation type="list" showInputMessage="1" showErrorMessage="1" sqref="B202">
      <formula1>"Number"</formula1>
    </dataValidation>
    <dataValidation type="list" showInputMessage="1" showErrorMessage="1" sqref="B203">
      <formula1>"Number"</formula1>
    </dataValidation>
    <dataValidation type="list" showInputMessage="1" showErrorMessage="1" sqref="B204">
      <formula1>"Number"</formula1>
    </dataValidation>
    <dataValidation type="list" showInputMessage="1" showErrorMessage="1" sqref="B205">
      <formula1>"Number"</formula1>
    </dataValidation>
    <dataValidation type="list" showInputMessage="1" showErrorMessage="1" sqref="B206">
      <formula1>"Number"</formula1>
    </dataValidation>
    <dataValidation type="list" showInputMessage="1" showErrorMessage="1" sqref="B207">
      <formula1>"Number"</formula1>
    </dataValidation>
    <dataValidation type="list" showInputMessage="1" showErrorMessage="1" sqref="B208">
      <formula1>"Number"</formula1>
    </dataValidation>
    <dataValidation type="list" showInputMessage="1" showErrorMessage="1" sqref="B209">
      <formula1>"Number"</formula1>
    </dataValidation>
    <dataValidation type="list" showInputMessage="1" showErrorMessage="1" sqref="B212">
      <formula1>"Number"</formula1>
    </dataValidation>
    <dataValidation type="list" showInputMessage="1" showErrorMessage="1" sqref="B213">
      <formula1>"Number"</formula1>
    </dataValidation>
    <dataValidation type="list" showInputMessage="1" showErrorMessage="1" sqref="B214">
      <formula1>"Number"</formula1>
    </dataValidation>
    <dataValidation type="list" showInputMessage="1" showErrorMessage="1" sqref="B215">
      <formula1>"Number"</formula1>
    </dataValidation>
    <dataValidation type="list" showInputMessage="1" showErrorMessage="1" sqref="B216">
      <formula1>"Number"</formula1>
    </dataValidation>
    <dataValidation type="list" showInputMessage="1" showErrorMessage="1" sqref="B217">
      <formula1>"Number"</formula1>
    </dataValidation>
    <dataValidation type="list" showInputMessage="1" showErrorMessage="1" sqref="B218">
      <formula1>"Number"</formula1>
    </dataValidation>
    <dataValidation type="list" showInputMessage="1" showErrorMessage="1" sqref="B219">
      <formula1>"Number"</formula1>
    </dataValidation>
    <dataValidation type="list" showInputMessage="1" showErrorMessage="1" sqref="B220">
      <formula1>"Number"</formula1>
    </dataValidation>
    <dataValidation type="list" showInputMessage="1" showErrorMessage="1" sqref="B221">
      <formula1>"Number"</formula1>
    </dataValidation>
    <dataValidation type="list" showInputMessage="1" showErrorMessage="1" sqref="B222">
      <formula1>"Number"</formula1>
    </dataValidation>
    <dataValidation type="list" showInputMessage="1" showErrorMessage="1" sqref="B223">
      <formula1>"Number"</formula1>
    </dataValidation>
    <dataValidation type="list" showInputMessage="1" showErrorMessage="1" sqref="B226">
      <formula1>"Number"</formula1>
    </dataValidation>
    <dataValidation type="list" showInputMessage="1" showErrorMessage="1" sqref="B227">
      <formula1>"Number"</formula1>
    </dataValidation>
    <dataValidation type="list" showInputMessage="1" showErrorMessage="1" sqref="B228">
      <formula1>"Number"</formula1>
    </dataValidation>
    <dataValidation type="list" showInputMessage="1" showErrorMessage="1" sqref="B229">
      <formula1>"Number"</formula1>
    </dataValidation>
    <dataValidation type="list" showInputMessage="1" showErrorMessage="1" sqref="B230">
      <formula1>"Number"</formula1>
    </dataValidation>
    <dataValidation type="list" showInputMessage="1" showErrorMessage="1" sqref="B231">
      <formula1>"Number"</formula1>
    </dataValidation>
    <dataValidation type="list" showInputMessage="1" showErrorMessage="1" sqref="B232">
      <formula1>"Number"</formula1>
    </dataValidation>
    <dataValidation type="list" showInputMessage="1" showErrorMessage="1" sqref="B233">
      <formula1>"Number"</formula1>
    </dataValidation>
    <dataValidation type="list" showInputMessage="1" showErrorMessage="1" sqref="B234">
      <formula1>"Number"</formula1>
    </dataValidation>
    <dataValidation type="list" showInputMessage="1" showErrorMessage="1" sqref="B235">
      <formula1>"Number"</formula1>
    </dataValidation>
    <dataValidation type="list" showInputMessage="1" showErrorMessage="1" sqref="B236">
      <formula1>"Number"</formula1>
    </dataValidation>
    <dataValidation type="list" showInputMessage="1" showErrorMessage="1" sqref="B237">
      <formula1>"Number"</formula1>
    </dataValidation>
    <dataValidation type="list" showInputMessage="1" showErrorMessage="1" sqref="B240">
      <formula1>"Number"</formula1>
    </dataValidation>
    <dataValidation type="list" showInputMessage="1" showErrorMessage="1" sqref="B241">
      <formula1>"Number"</formula1>
    </dataValidation>
    <dataValidation type="list" showInputMessage="1" showErrorMessage="1" sqref="B242">
      <formula1>"Number"</formula1>
    </dataValidation>
    <dataValidation type="list" showInputMessage="1" showErrorMessage="1" sqref="B243">
      <formula1>"Number"</formula1>
    </dataValidation>
    <dataValidation type="list" showInputMessage="1" showErrorMessage="1" sqref="B244">
      <formula1>"Number"</formula1>
    </dataValidation>
    <dataValidation type="list" showInputMessage="1" showErrorMessage="1" sqref="B245">
      <formula1>"Number"</formula1>
    </dataValidation>
    <dataValidation type="list" showInputMessage="1" showErrorMessage="1" sqref="B246">
      <formula1>"Number"</formula1>
    </dataValidation>
    <dataValidation type="list" showInputMessage="1" showErrorMessage="1" sqref="B247">
      <formula1>"Number"</formula1>
    </dataValidation>
    <dataValidation type="list" showInputMessage="1" showErrorMessage="1" sqref="B248">
      <formula1>"Number"</formula1>
    </dataValidation>
    <dataValidation type="list" showInputMessage="1" showErrorMessage="1" sqref="B249">
      <formula1>"Number"</formula1>
    </dataValidation>
    <dataValidation type="list" showInputMessage="1" showErrorMessage="1" sqref="B250">
      <formula1>"Number"</formula1>
    </dataValidation>
    <dataValidation type="list" showInputMessage="1" showErrorMessage="1" sqref="B251">
      <formula1>"Number"</formula1>
    </dataValidation>
    <dataValidation type="list" showInputMessage="1" showErrorMessage="1" sqref="B254">
      <formula1>"Number"</formula1>
    </dataValidation>
    <dataValidation type="list" showInputMessage="1" showErrorMessage="1" sqref="B255">
      <formula1>"Number"</formula1>
    </dataValidation>
    <dataValidation type="list" showInputMessage="1" showErrorMessage="1" sqref="B256">
      <formula1>"Number"</formula1>
    </dataValidation>
    <dataValidation type="list" showInputMessage="1" showErrorMessage="1" sqref="B257">
      <formula1>"Number"</formula1>
    </dataValidation>
    <dataValidation type="list" showInputMessage="1" showErrorMessage="1" sqref="B258">
      <formula1>"Number"</formula1>
    </dataValidation>
    <dataValidation type="list" showInputMessage="1" showErrorMessage="1" sqref="B259">
      <formula1>"Number"</formula1>
    </dataValidation>
    <dataValidation type="list" showInputMessage="1" showErrorMessage="1" sqref="B260">
      <formula1>"Number"</formula1>
    </dataValidation>
    <dataValidation type="list" showInputMessage="1" showErrorMessage="1" sqref="B261">
      <formula1>"Number"</formula1>
    </dataValidation>
    <dataValidation type="list" showInputMessage="1" showErrorMessage="1" sqref="B262">
      <formula1>"Number"</formula1>
    </dataValidation>
    <dataValidation type="list" showInputMessage="1" showErrorMessage="1" sqref="B263">
      <formula1>"Number"</formula1>
    </dataValidation>
    <dataValidation type="list" showInputMessage="1" showErrorMessage="1" sqref="B264">
      <formula1>"Number"</formula1>
    </dataValidation>
    <dataValidation type="list" showInputMessage="1" showErrorMessage="1" sqref="B265">
      <formula1>"Number"</formula1>
    </dataValidation>
    <dataValidation type="list" showInputMessage="1" showErrorMessage="1" sqref="B268">
      <formula1>"Number"</formula1>
    </dataValidation>
    <dataValidation type="list" showInputMessage="1" showErrorMessage="1" sqref="B269">
      <formula1>"Number"</formula1>
    </dataValidation>
    <dataValidation type="list" showInputMessage="1" showErrorMessage="1" sqref="B270">
      <formula1>"Number"</formula1>
    </dataValidation>
    <dataValidation type="list" showInputMessage="1" showErrorMessage="1" sqref="B271">
      <formula1>"Number"</formula1>
    </dataValidation>
    <dataValidation type="list" showInputMessage="1" showErrorMessage="1" sqref="B272">
      <formula1>"Number"</formula1>
    </dataValidation>
    <dataValidation type="list" showInputMessage="1" showErrorMessage="1" sqref="B273">
      <formula1>"Number"</formula1>
    </dataValidation>
    <dataValidation type="list" showInputMessage="1" showErrorMessage="1" sqref="B274">
      <formula1>"Number"</formula1>
    </dataValidation>
    <dataValidation type="list" showInputMessage="1" showErrorMessage="1" sqref="B275">
      <formula1>"Number"</formula1>
    </dataValidation>
    <dataValidation type="list" showInputMessage="1" showErrorMessage="1" sqref="B276">
      <formula1>"Number"</formula1>
    </dataValidation>
    <dataValidation type="list" showInputMessage="1" showErrorMessage="1" sqref="B277">
      <formula1>"Number"</formula1>
    </dataValidation>
    <dataValidation type="list" showInputMessage="1" showErrorMessage="1" sqref="B278">
      <formula1>"Number"</formula1>
    </dataValidation>
    <dataValidation type="list" showInputMessage="1" showErrorMessage="1" sqref="B279">
      <formula1>"Number"</formula1>
    </dataValidation>
    <dataValidation type="list" showInputMessage="1" showErrorMessage="1" sqref="B282">
      <formula1>"Number"</formula1>
    </dataValidation>
    <dataValidation type="list" showInputMessage="1" showErrorMessage="1" sqref="B283">
      <formula1>"Number"</formula1>
    </dataValidation>
    <dataValidation type="list" showInputMessage="1" showErrorMessage="1" sqref="B284">
      <formula1>"Number"</formula1>
    </dataValidation>
    <dataValidation type="list" showInputMessage="1" showErrorMessage="1" sqref="B285">
      <formula1>"Number"</formula1>
    </dataValidation>
    <dataValidation type="list" showInputMessage="1" showErrorMessage="1" sqref="B286">
      <formula1>"Number"</formula1>
    </dataValidation>
    <dataValidation type="list" showInputMessage="1" showErrorMessage="1" sqref="B287">
      <formula1>"Number"</formula1>
    </dataValidation>
    <dataValidation type="list" showInputMessage="1" showErrorMessage="1" sqref="B288">
      <formula1>"Number"</formula1>
    </dataValidation>
    <dataValidation type="list" showInputMessage="1" showErrorMessage="1" sqref="B289">
      <formula1>"Number"</formula1>
    </dataValidation>
    <dataValidation type="list" showInputMessage="1" showErrorMessage="1" sqref="B290">
      <formula1>"Number"</formula1>
    </dataValidation>
    <dataValidation type="list" showInputMessage="1" showErrorMessage="1" sqref="B291">
      <formula1>"Number"</formula1>
    </dataValidation>
    <dataValidation type="list" showInputMessage="1" showErrorMessage="1" sqref="B292">
      <formula1>"Number"</formula1>
    </dataValidation>
    <dataValidation type="list" showInputMessage="1" showErrorMessage="1" sqref="B293">
      <formula1>"Number"</formula1>
    </dataValidation>
    <dataValidation type="list" showInputMessage="1" showErrorMessage="1" sqref="B296">
      <formula1>"Number"</formula1>
    </dataValidation>
    <dataValidation type="list" showInputMessage="1" showErrorMessage="1" sqref="B297">
      <formula1>"Number"</formula1>
    </dataValidation>
    <dataValidation type="list" showInputMessage="1" showErrorMessage="1" sqref="B298">
      <formula1>"Number"</formula1>
    </dataValidation>
    <dataValidation type="list" showInputMessage="1" showErrorMessage="1" sqref="B299">
      <formula1>"Number"</formula1>
    </dataValidation>
    <dataValidation type="list" showInputMessage="1" showErrorMessage="1" sqref="B300">
      <formula1>"Number"</formula1>
    </dataValidation>
    <dataValidation type="list" showInputMessage="1" showErrorMessage="1" sqref="B301">
      <formula1>"Number"</formula1>
    </dataValidation>
    <dataValidation type="list" showInputMessage="1" showErrorMessage="1" sqref="B302">
      <formula1>"Number"</formula1>
    </dataValidation>
    <dataValidation type="list" showInputMessage="1" showErrorMessage="1" sqref="B303">
      <formula1>"Number"</formula1>
    </dataValidation>
    <dataValidation type="list" showInputMessage="1" showErrorMessage="1" sqref="B304">
      <formula1>"Number"</formula1>
    </dataValidation>
    <dataValidation type="list" showInputMessage="1" showErrorMessage="1" sqref="B305">
      <formula1>"Number"</formula1>
    </dataValidation>
    <dataValidation type="list" showInputMessage="1" showErrorMessage="1" sqref="B306">
      <formula1>"Number"</formula1>
    </dataValidation>
    <dataValidation type="list" showInputMessage="1" showErrorMessage="1" sqref="B307">
      <formula1>"Number"</formula1>
    </dataValidation>
  </dataValidations>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Population Definitions</vt:lpstr>
      <vt:lpstr>Population Contacts</vt:lpstr>
      <vt:lpstr>Transfer Definitions</vt:lpstr>
      <vt:lpstr>Transfer Details</vt:lpstr>
      <vt:lpstr>Program Definitions</vt:lpstr>
      <vt:lpstr>Program Details</vt:lpstr>
      <vt:lpstr>General Demographics</vt:lpstr>
      <vt:lpstr>Working copy General Demograph</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Azfar Hussain</cp:lastModifiedBy>
  <dcterms:created xsi:type="dcterms:W3CDTF">2017-04-20T23:18:41Z</dcterms:created>
  <dcterms:modified xsi:type="dcterms:W3CDTF">2017-07-14T11:39:19Z</dcterms:modified>
</cp:coreProperties>
</file>