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Hunting" state="visible" r:id="rId3"/>
    <sheet sheetId="2" name="Crafting" state="visible" r:id="rId4"/>
    <sheet sheetId="3" name="Mining" state="visible" r:id="rId5"/>
    <sheet sheetId="4" name="Stats By Date" state="visible" r:id="rId6"/>
    <sheet sheetId="5" name="Sellables" state="visible" r:id="rId7"/>
    <sheet sheetId="6" name="Purchased" state="visible" r:id="rId8"/>
    <sheet sheetId="7" name="Craft Mats" state="visible" r:id="rId9"/>
    <sheet sheetId="8" name="Skills" state="visible" r:id="rId10"/>
    <sheet sheetId="9" name="Net Worth" state="visible" r:id="rId11"/>
    <sheet sheetId="10" name="By Mob - Current" state="visible" r:id="rId12"/>
    <sheet sheetId="11" name="MM" state="visible" r:id="rId13"/>
  </sheets>
  <definedNames/>
  <calcPr/>
  <pivotCaches>
    <pivotCache cacheId="0" r:id="rId14"/>
  </pivotCaches>
</workbook>
</file>

<file path=xl/sharedStrings.xml><?xml version="1.0" encoding="utf-8"?>
<sst xmlns="http://schemas.openxmlformats.org/spreadsheetml/2006/main" count="7603" uniqueCount="931">
  <si>
    <t>Run #</t>
  </si>
  <si>
    <t>Prof</t>
  </si>
  <si>
    <t>Date</t>
  </si>
  <si>
    <t>Time</t>
  </si>
  <si>
    <t>Ammo</t>
  </si>
  <si>
    <t>Consumables</t>
  </si>
  <si>
    <t>Weapon Decay</t>
  </si>
  <si>
    <t>Attachment Decay</t>
  </si>
  <si>
    <t>Armor Decay</t>
  </si>
  <si>
    <t>Tool Decay</t>
  </si>
  <si>
    <t>Mindforce Decay</t>
  </si>
  <si>
    <t>Total Repair Cost</t>
  </si>
  <si>
    <t>Ammo Return</t>
  </si>
  <si>
    <t>TT Return</t>
  </si>
  <si>
    <t>[MU]</t>
  </si>
  <si>
    <t>Skills</t>
  </si>
  <si>
    <t>Total Return</t>
  </si>
  <si>
    <t>Cost of Run</t>
  </si>
  <si>
    <t>Plus/Minus</t>
  </si>
  <si>
    <t>Return %</t>
  </si>
  <si>
    <t>Cost Per Mob</t>
  </si>
  <si>
    <t>Profit Per Mob</t>
  </si>
  <si>
    <t>What was the run on (mob)</t>
  </si>
  <si>
    <t>Kills</t>
  </si>
  <si>
    <t>Location</t>
  </si>
  <si>
    <t>Planet</t>
  </si>
  <si>
    <t>Bonus PED</t>
  </si>
  <si>
    <t>Skill Boosts</t>
  </si>
  <si>
    <t>Globals</t>
  </si>
  <si>
    <t>HOFs</t>
  </si>
  <si>
    <t>Notes</t>
  </si>
  <si>
    <t>Defensive Costs</t>
  </si>
  <si>
    <t>Weapon Decay/Mob</t>
  </si>
  <si>
    <t>Attachment Decay/Mob</t>
  </si>
  <si>
    <t>Armor Decay/Mob</t>
  </si>
  <si>
    <t>Tool Decay/Mob</t>
  </si>
  <si>
    <t>Mind force Decay/Mob</t>
  </si>
  <si>
    <t>Weight</t>
  </si>
  <si>
    <t>Hunting</t>
  </si>
  <si>
    <t>NA</t>
  </si>
  <si>
    <t>Mining Bots</t>
  </si>
  <si>
    <t>Riverside</t>
  </si>
  <si>
    <t>Calypso</t>
  </si>
  <si>
    <t>Warriors</t>
  </si>
  <si>
    <t>Boreas</t>
  </si>
  <si>
    <t>Harbingers</t>
  </si>
  <si>
    <t>Corinth West</t>
  </si>
  <si>
    <t>Vampire Chicks</t>
  </si>
  <si>
    <t>Cathedral</t>
  </si>
  <si>
    <t>Rocktropia</t>
  </si>
  <si>
    <t>Pop Dragons</t>
  </si>
  <si>
    <t>London Blockade</t>
  </si>
  <si>
    <t>Aurli</t>
  </si>
  <si>
    <t>Dome 1</t>
  </si>
  <si>
    <t>Crystal Palace</t>
  </si>
  <si>
    <t>Crafting</t>
  </si>
  <si>
    <t>Simple I Conductors</t>
  </si>
  <si>
    <t>Space Station</t>
  </si>
  <si>
    <t>Kreltin</t>
  </si>
  <si>
    <t>Planet Hunt</t>
  </si>
  <si>
    <t>Whole Planet</t>
  </si>
  <si>
    <t>Cyrene</t>
  </si>
  <si>
    <t>Next Island</t>
  </si>
  <si>
    <t>Oratan Miners, Riptors</t>
  </si>
  <si>
    <t>Quad Desert Camp, Event 3</t>
  </si>
  <si>
    <t>Arkadia</t>
  </si>
  <si>
    <t>Kadra</t>
  </si>
  <si>
    <t>Sanctuary Cove</t>
  </si>
  <si>
    <t>Simple I Plastic Ruds</t>
  </si>
  <si>
    <t>Yuka, Riptors</t>
  </si>
  <si>
    <t>Taipan Digsite, Event 3</t>
  </si>
  <si>
    <t>Steadfast</t>
  </si>
  <si>
    <t>Riptors</t>
  </si>
  <si>
    <t>Event 3</t>
  </si>
  <si>
    <t>Kiana</t>
  </si>
  <si>
    <t>SW Outpost</t>
  </si>
  <si>
    <t>Horrors</t>
  </si>
  <si>
    <t>Calypso Training Grounds</t>
  </si>
  <si>
    <t>Space</t>
  </si>
  <si>
    <t>Otorugi</t>
  </si>
  <si>
    <t>Jaguar Digsite</t>
  </si>
  <si>
    <t>Yuka</t>
  </si>
  <si>
    <t>Taipan Digsite</t>
  </si>
  <si>
    <t>Scoria, Oratan Miner Providers (Team)</t>
  </si>
  <si>
    <t>8 Coins, Dauntable Base</t>
  </si>
  <si>
    <t>Oratan Miners</t>
  </si>
  <si>
    <t>Terra Amp I (L)</t>
  </si>
  <si>
    <t>Quarry</t>
  </si>
  <si>
    <t>Simple II Conductors</t>
  </si>
  <si>
    <t>Large Ribbed Wool Fabric Texture Blueprint (L)</t>
  </si>
  <si>
    <t>Oratan Miners, Otorugi</t>
  </si>
  <si>
    <t>Miluca Texture</t>
  </si>
  <si>
    <t>Weapon Accuracy Enhancer I</t>
  </si>
  <si>
    <t>Mining</t>
  </si>
  <si>
    <t>Ore, Enmatter, Treasure</t>
  </si>
  <si>
    <t>Falcon Digsite</t>
  </si>
  <si>
    <t>Oweko</t>
  </si>
  <si>
    <t>Outpost</t>
  </si>
  <si>
    <t>Large Striped Cotton Fabric Texture</t>
  </si>
  <si>
    <t>Miner Bots</t>
  </si>
  <si>
    <t>Ambu</t>
  </si>
  <si>
    <t>Nea's Place</t>
  </si>
  <si>
    <t>Ambu, Miner Bots</t>
  </si>
  <si>
    <t>Galaxy SI Ion Conductors</t>
  </si>
  <si>
    <t>Twin Peaks</t>
  </si>
  <si>
    <t>Generic Leather</t>
  </si>
  <si>
    <t>Shinkibas</t>
  </si>
  <si>
    <t>OLA 65</t>
  </si>
  <si>
    <t>Riverside + Crater (Amp V)</t>
  </si>
  <si>
    <t>Drones</t>
  </si>
  <si>
    <t>Crater</t>
  </si>
  <si>
    <t>Proteron, Longu</t>
  </si>
  <si>
    <t>Scylla Mountains</t>
  </si>
  <si>
    <t>FOMA</t>
  </si>
  <si>
    <t>FOMA 6, 7</t>
  </si>
  <si>
    <t>Minting</t>
  </si>
  <si>
    <t>TI Castle</t>
  </si>
  <si>
    <t>Oratan Miners, Kadra, Otorugi</t>
  </si>
  <si>
    <t>Atrox</t>
  </si>
  <si>
    <t>Ithica</t>
  </si>
  <si>
    <t>Genuine Leather</t>
  </si>
  <si>
    <t>Cunting</t>
  </si>
  <si>
    <t>Allophyl, Estophyl, Atrax Event</t>
  </si>
  <si>
    <t>Livas, OLA7</t>
  </si>
  <si>
    <t>Allophyl, Estophyl</t>
  </si>
  <si>
    <t>Livas</t>
  </si>
  <si>
    <t>Genuine Leather [Condition]</t>
  </si>
  <si>
    <t>Basic Sheet Metal</t>
  </si>
  <si>
    <t>Lysterium Texture (L)</t>
  </si>
  <si>
    <t>Jester D-1</t>
  </si>
  <si>
    <t>Combibo Leather (L)</t>
  </si>
  <si>
    <t>Argonauts</t>
  </si>
  <si>
    <t>New Switzerland</t>
  </si>
  <si>
    <t>Soft Leather Texture</t>
  </si>
  <si>
    <t>L/Murdand Groover</t>
  </si>
  <si>
    <t>Mannel Shoes (C)</t>
  </si>
  <si>
    <t>Large Ribbed Wool Fabric Texture (L)</t>
  </si>
  <si>
    <t>Ambulimax</t>
  </si>
  <si>
    <t>Alekz Precision Scope</t>
  </si>
  <si>
    <t>Simple I Plastic Springs</t>
  </si>
  <si>
    <t>Allophyl/Estophyl</t>
  </si>
  <si>
    <t>Livas, OLA28</t>
  </si>
  <si>
    <t>Miner Bots, Furor</t>
  </si>
  <si>
    <t>South Grace</t>
  </si>
  <si>
    <t>Settler Harness</t>
  </si>
  <si>
    <t>Galaxy SI Ion Conductors [Green Condition]</t>
  </si>
  <si>
    <t>Ambulimax, Miner Bots, Furor</t>
  </si>
  <si>
    <t>Kaldon Stone Texture</t>
  </si>
  <si>
    <t>Fine Hessian Fabric Texture</t>
  </si>
  <si>
    <t>Camp Posideon</t>
  </si>
  <si>
    <t>Weapon Range Enhancer I</t>
  </si>
  <si>
    <t>Traeskerons</t>
  </si>
  <si>
    <t>OLA #1</t>
  </si>
  <si>
    <t>Furor, Miner Bots</t>
  </si>
  <si>
    <t>Treasure Island</t>
  </si>
  <si>
    <t>Traeskerons, Molisks</t>
  </si>
  <si>
    <t>Nymphtown</t>
  </si>
  <si>
    <t>Basic Pattern Pants (C)</t>
  </si>
  <si>
    <t>Harbor</t>
  </si>
  <si>
    <t>Huon</t>
  </si>
  <si>
    <t>Thunder Ridge</t>
  </si>
  <si>
    <t>Beladoth</t>
  </si>
  <si>
    <t>Event Area 1 East</t>
  </si>
  <si>
    <t>Rextelum, Proteron</t>
  </si>
  <si>
    <t>Triton</t>
  </si>
  <si>
    <t>Boorums, Miner Bots, Molisks</t>
  </si>
  <si>
    <t>Atami's TP</t>
  </si>
  <si>
    <t>Beladoth, Huon, Kadra</t>
  </si>
  <si>
    <t>Fine Frieze Fabric Texture</t>
  </si>
  <si>
    <t>Arkace Texture</t>
  </si>
  <si>
    <t>Galaxy SI Ion Conductors [Red Condition]</t>
  </si>
  <si>
    <t>Generic Leather Texture</t>
  </si>
  <si>
    <t>OLA42 East</t>
  </si>
  <si>
    <t>Atrax</t>
  </si>
  <si>
    <t>OLA7</t>
  </si>
  <si>
    <t>Soft Leather Texture [Green Condition]</t>
  </si>
  <si>
    <t>Mannell Shoes (C)</t>
  </si>
  <si>
    <t>Basic Pattern Shirt (C)</t>
  </si>
  <si>
    <t>Level 3 Finder Amplifier (L)</t>
  </si>
  <si>
    <t>Settler Shin Guards</t>
  </si>
  <si>
    <t>Neconu, Traeskerons</t>
  </si>
  <si>
    <t>Club Royal, OLA7</t>
  </si>
  <si>
    <t>Shinook Jungle</t>
  </si>
  <si>
    <t>Soft Leather Texture [YELLOW CONDITION]</t>
  </si>
  <si>
    <t>Fine Frieze Fabric Texture (L) [YELLOW CONDITION]</t>
  </si>
  <si>
    <t>Genuine Leather Texture [RED CONDITION]</t>
  </si>
  <si>
    <t>Mining Finder Depth Enhancer I</t>
  </si>
  <si>
    <t>Atrox, Rextellum [FAP]</t>
  </si>
  <si>
    <t>Camp Poisedon</t>
  </si>
  <si>
    <t>Fine Frieze Fabric Texture (L)</t>
  </si>
  <si>
    <t>Genuine Leather Texture</t>
  </si>
  <si>
    <t>Carabok Leather Texture</t>
  </si>
  <si>
    <t>Medical Tool Economy Enhancer I</t>
  </si>
  <si>
    <t>Armor Durability Enhancement I</t>
  </si>
  <si>
    <t>Allophyl, Rextellum, Miner Bots</t>
  </si>
  <si>
    <t>OLA42 West</t>
  </si>
  <si>
    <t>Atrox, Atrax, Traeskerons, Rextellums</t>
  </si>
  <si>
    <t>Rextellums</t>
  </si>
  <si>
    <t>OLA49</t>
  </si>
  <si>
    <t>Miner Bots/Shared Loot</t>
  </si>
  <si>
    <t>Virtual Tycoon</t>
  </si>
  <si>
    <t>Evenweave Cotton Fabric</t>
  </si>
  <si>
    <t>Proteron</t>
  </si>
  <si>
    <t>Fort Troy</t>
  </si>
  <si>
    <t>Weapon Accuracy Enhancer IV</t>
  </si>
  <si>
    <t>Rextellum</t>
  </si>
  <si>
    <t>Fort Ithica</t>
  </si>
  <si>
    <t>Punies</t>
  </si>
  <si>
    <t>Camp Icarus</t>
  </si>
  <si>
    <t>OLA42 West, Fort Ithaca</t>
  </si>
  <si>
    <t>Hekia Texture</t>
  </si>
  <si>
    <t>Arkadia Event 1</t>
  </si>
  <si>
    <t>Dusters, Tide Claw</t>
  </si>
  <si>
    <t>Proteron, Furor</t>
  </si>
  <si>
    <t>Fort Troy, Castle</t>
  </si>
  <si>
    <t>Harbinger</t>
  </si>
  <si>
    <t>Camp Phoenix</t>
  </si>
  <si>
    <t>Atrox, Miner Bots</t>
  </si>
  <si>
    <t>OLA42 West, Castle</t>
  </si>
  <si>
    <t>OLA41 North</t>
  </si>
  <si>
    <t>OLA 1</t>
  </si>
  <si>
    <t>Merp</t>
  </si>
  <si>
    <t>SE of PVP3</t>
  </si>
  <si>
    <t>Scriptors (Team/Heal)</t>
  </si>
  <si>
    <t>Dyno Island</t>
  </si>
  <si>
    <t>OLA41 West</t>
  </si>
  <si>
    <t>Large Striped Cotton Fabric Texture [GREEN CONDITION]</t>
  </si>
  <si>
    <t>Weapon Damage Enhancer I</t>
  </si>
  <si>
    <t>Steadfast Base</t>
  </si>
  <si>
    <t>Teladon</t>
  </si>
  <si>
    <t>8 Coins</t>
  </si>
  <si>
    <t>Madana</t>
  </si>
  <si>
    <t>Dauntless Base</t>
  </si>
  <si>
    <t>Scoria</t>
  </si>
  <si>
    <t>Halloween Mayhem Lvl 3</t>
  </si>
  <si>
    <t>Fort Zeus</t>
  </si>
  <si>
    <t>Canvas Texture</t>
  </si>
  <si>
    <t>Feffox</t>
  </si>
  <si>
    <t>Issyle</t>
  </si>
  <si>
    <t>Scriptors</t>
  </si>
  <si>
    <t>Deino Island - Medusa</t>
  </si>
  <si>
    <t>Basic Filters</t>
  </si>
  <si>
    <t>Halix Texture</t>
  </si>
  <si>
    <t>Genuine Leather [CONDITION]</t>
  </si>
  <si>
    <t>8Coins</t>
  </si>
  <si>
    <t>Large Ribbed Wool Fabric Texture</t>
  </si>
  <si>
    <t>Allophyl, Traeskeron, Feffox</t>
  </si>
  <si>
    <t>Prim Longu, Proteron, Chompers, Atrox, Argo Elites</t>
  </si>
  <si>
    <t>Canvas Fabric Texture</t>
  </si>
  <si>
    <t>Halloween Mayhem Lvl 2</t>
  </si>
  <si>
    <t>Genuine Leather Texture [Condition]</t>
  </si>
  <si>
    <t>Allophyls</t>
  </si>
  <si>
    <t>Mercury's Massacre</t>
  </si>
  <si>
    <t>Eviscerators</t>
  </si>
  <si>
    <t>Osere</t>
  </si>
  <si>
    <t>Halloween Mayhem Lvl 4</t>
  </si>
  <si>
    <t>Large Striped Cotton Fabric</t>
  </si>
  <si>
    <t>Camp Sweat</t>
  </si>
  <si>
    <t>Fine Silk Fabric Texture</t>
  </si>
  <si>
    <t>Hogglo</t>
  </si>
  <si>
    <t>Hogglos</t>
  </si>
  <si>
    <t>Oasis</t>
  </si>
  <si>
    <t>East of PVP3</t>
  </si>
  <si>
    <t>Cultists and Shobs</t>
  </si>
  <si>
    <t>Cave 1</t>
  </si>
  <si>
    <t>Monria</t>
  </si>
  <si>
    <t>LA40</t>
  </si>
  <si>
    <t>Halix</t>
  </si>
  <si>
    <t>Medusa's Head</t>
  </si>
  <si>
    <t>Sumimas</t>
  </si>
  <si>
    <t>Naga Island</t>
  </si>
  <si>
    <t>Furors, Miner Bots, Letomie</t>
  </si>
  <si>
    <t>Welding Wire</t>
  </si>
  <si>
    <t>Scipulors</t>
  </si>
  <si>
    <t>Kadra/Huon</t>
  </si>
  <si>
    <t>Cornucadas/Prancers</t>
  </si>
  <si>
    <t>North Port Atlantis</t>
  </si>
  <si>
    <t>Dome 3</t>
  </si>
  <si>
    <t>Dome 4</t>
  </si>
  <si>
    <t>OLA65</t>
  </si>
  <si>
    <t>Miner Bots, Shinkibas, Corns</t>
  </si>
  <si>
    <t>OLA65, Fort Zeus</t>
  </si>
  <si>
    <t>Camp Rusla</t>
  </si>
  <si>
    <t>OLA42</t>
  </si>
  <si>
    <t>Akoz Event Mobs</t>
  </si>
  <si>
    <t>Eudoria</t>
  </si>
  <si>
    <t>Cornucadas/Snablesnots</t>
  </si>
  <si>
    <t>Dome 1 [Team]</t>
  </si>
  <si>
    <t>Sumimas/Scriptors</t>
  </si>
  <si>
    <t>Proterons</t>
  </si>
  <si>
    <t>Issyle (Points)</t>
  </si>
  <si>
    <t>Brood of Bram</t>
  </si>
  <si>
    <t>Labs</t>
  </si>
  <si>
    <t>Brood of Dotty</t>
  </si>
  <si>
    <t>Merry Mayhem (S, 2)</t>
  </si>
  <si>
    <t>Minopolis</t>
  </si>
  <si>
    <t>Merry Mayhem (T, 2)</t>
  </si>
  <si>
    <t>Combibos</t>
  </si>
  <si>
    <t>Aakas 9</t>
  </si>
  <si>
    <t>Aakas</t>
  </si>
  <si>
    <t>130ped for Key</t>
  </si>
  <si>
    <t>Yukas</t>
  </si>
  <si>
    <t>Aakas 10</t>
  </si>
  <si>
    <t>Korwii</t>
  </si>
  <si>
    <t>Cheetah Digsite</t>
  </si>
  <si>
    <t>Aakas 7</t>
  </si>
  <si>
    <t>30ped for Warp</t>
  </si>
  <si>
    <t>Cornundacauda</t>
  </si>
  <si>
    <t>Mining Misc</t>
  </si>
  <si>
    <t>&gt; 15 Minis</t>
  </si>
  <si>
    <t>OLA2</t>
  </si>
  <si>
    <t>Oratan Event</t>
  </si>
  <si>
    <t>Aakas 2</t>
  </si>
  <si>
    <t>Attempts</t>
  </si>
  <si>
    <t>Item</t>
  </si>
  <si>
    <t>Quality</t>
  </si>
  <si>
    <t>Cost Per</t>
  </si>
  <si>
    <t>Applied Residue</t>
  </si>
  <si>
    <t>Total PED Earned</t>
  </si>
  <si>
    <t>Return</t>
  </si>
  <si>
    <t>(+/-)</t>
  </si>
  <si>
    <t>Total Cost</t>
  </si>
  <si>
    <t>Avg. Combine</t>
  </si>
  <si>
    <t>Q</t>
  </si>
  <si>
    <t>Armor Defense Enhancer I</t>
  </si>
  <si>
    <t>Simple II Plastic Springs</t>
  </si>
  <si>
    <t>Evenweave Cotton Fabric Texture</t>
  </si>
  <si>
    <t>Basic Bearings</t>
  </si>
  <si>
    <t>Basic Screws</t>
  </si>
  <si>
    <t>C</t>
  </si>
  <si>
    <t>G</t>
  </si>
  <si>
    <t>Basic Nuts</t>
  </si>
  <si>
    <t>Basic Processor</t>
  </si>
  <si>
    <t>Akmuul</t>
  </si>
  <si>
    <t>Standard Matrix Improved (L)</t>
  </si>
  <si>
    <t>Gyro FAP-2 (L)</t>
  </si>
  <si>
    <t>Standard Matrix Modified (L)</t>
  </si>
  <si>
    <t>Copper Texture (L)</t>
  </si>
  <si>
    <t>Level 1 Finder Amplifier Light (L)</t>
  </si>
  <si>
    <t>Settler Shin Guards (L)</t>
  </si>
  <si>
    <t>Guardian Foot Guards (L)</t>
  </si>
  <si>
    <t>Large Ribbon Wool Fabric Texture (L)</t>
  </si>
  <si>
    <t>Short Curtain (C) Blueprint (L)</t>
  </si>
  <si>
    <t>Large Striped Carpet (C) (L)</t>
  </si>
  <si>
    <t>Canvas Fabric Texture (L)</t>
  </si>
  <si>
    <t>Zinc Texture Blueprint (L)</t>
  </si>
  <si>
    <t>Shear XR50 (L)</t>
  </si>
  <si>
    <t>Bull Tac20 (L)</t>
  </si>
  <si>
    <t>Large Cotton Striped Fabric Texture</t>
  </si>
  <si>
    <t>Vivo T5 (L)</t>
  </si>
  <si>
    <t>Crystal Palace Space Station</t>
  </si>
  <si>
    <t>u</t>
  </si>
  <si>
    <t>Dino Shoes (M, C)</t>
  </si>
  <si>
    <t>Weapon Damage Enhancer II</t>
  </si>
  <si>
    <t>Armor Defense Enhancer V</t>
  </si>
  <si>
    <t>Armor Durability Enhancer I</t>
  </si>
  <si>
    <t>Simple III Conductors</t>
  </si>
  <si>
    <t>EMT Kit Ek-1000</t>
  </si>
  <si>
    <t>Striped Sport Shirt (C)</t>
  </si>
  <si>
    <t>Explorer Foot Guards</t>
  </si>
  <si>
    <t>Quantium Texture</t>
  </si>
  <si>
    <t>Armor Defense Enhancer III</t>
  </si>
  <si>
    <t>Weapon Damage Enhancer III</t>
  </si>
  <si>
    <t>Armor Durability Enhancer V</t>
  </si>
  <si>
    <t>Armor Plating Mark.1C</t>
  </si>
  <si>
    <t>Weapon Accuracy Enhancer II</t>
  </si>
  <si>
    <t>Weapon Damage Enhancer IV</t>
  </si>
  <si>
    <t>Vivo T15 (L)</t>
  </si>
  <si>
    <t>Medium Tied Lina Curtain (C) (L)</t>
  </si>
  <si>
    <t>Celesial Quarry</t>
  </si>
  <si>
    <t>Ziplex Z5 Seeker (L)</t>
  </si>
  <si>
    <t>Iron Texture (L)</t>
  </si>
  <si>
    <t>Q/C</t>
  </si>
  <si>
    <t>Level 2 Finder Amplifier Light (L)</t>
  </si>
  <si>
    <t>Mining Finder Depth Enhancer III</t>
  </si>
  <si>
    <t>Mining Finder Depth Enhancer II</t>
  </si>
  <si>
    <t>Mining Finder Depth Enhancer V</t>
  </si>
  <si>
    <t>Mining Finder Range Enhancer III</t>
  </si>
  <si>
    <t>Mining Finder Range Enhancer I</t>
  </si>
  <si>
    <t>Standard Matrix Adjusted (L)</t>
  </si>
  <si>
    <t>D-Class Mining Amp</t>
  </si>
  <si>
    <t>Short Tied Royal Katu Curtain (C)</t>
  </si>
  <si>
    <t>Make up Mask - Large (L)</t>
  </si>
  <si>
    <t>Weapon Accuracy Enhancer V</t>
  </si>
  <si>
    <t>Metal Residue</t>
  </si>
  <si>
    <t>Basic Sensor</t>
  </si>
  <si>
    <t>Level 2 Finder Amplifier (L)</t>
  </si>
  <si>
    <t>Weapon Damage Enhancer V</t>
  </si>
  <si>
    <t>Arkadian Key 9</t>
  </si>
  <si>
    <t>Arkadian Key 7</t>
  </si>
  <si>
    <t>Welding Wire (L)</t>
  </si>
  <si>
    <t>Roadie BLP Amp MK I</t>
  </si>
  <si>
    <t>DetPil Rv 50 (L)</t>
  </si>
  <si>
    <t>Alloy Plate</t>
  </si>
  <si>
    <t>Dragon Face Guard (M)</t>
  </si>
  <si>
    <t>Combustor</t>
  </si>
  <si>
    <t>Mining Finder Depth Enhancer IV</t>
  </si>
  <si>
    <t>Adaptor</t>
  </si>
  <si>
    <t>Samurai Shin Guards</t>
  </si>
  <si>
    <t>Madana Leather Texture</t>
  </si>
  <si>
    <t>Resonation Amplifier 7</t>
  </si>
  <si>
    <t>Ganganite Texture</t>
  </si>
  <si>
    <t>Portable TT Unit (L)</t>
  </si>
  <si>
    <t>Probes</t>
  </si>
  <si>
    <t>Probe Return</t>
  </si>
  <si>
    <t>Attachment Return</t>
  </si>
  <si>
    <t>TT Return (Hunting)</t>
  </si>
  <si>
    <t>Probes Dropped</t>
  </si>
  <si>
    <t>OLA61</t>
  </si>
  <si>
    <t>a</t>
  </si>
  <si>
    <t>Repair [TT]</t>
  </si>
  <si>
    <t>Purchases</t>
  </si>
  <si>
    <t>Crafting Markup</t>
  </si>
  <si>
    <t>Items [MU]</t>
  </si>
  <si>
    <t>Bonus from Skills</t>
  </si>
  <si>
    <t>Skills Earned Today</t>
  </si>
  <si>
    <t>Trading Sales</t>
  </si>
  <si>
    <t>Plus/Minus (H)</t>
  </si>
  <si>
    <t>Plus/Minus (C)</t>
  </si>
  <si>
    <t>Plus/Minus (M)</t>
  </si>
  <si>
    <t>Acquired in Run</t>
  </si>
  <si>
    <t>Qty</t>
  </si>
  <si>
    <t>Name of Item</t>
  </si>
  <si>
    <t>Base Item TT</t>
  </si>
  <si>
    <t>Total TT Value</t>
  </si>
  <si>
    <t>Markup+</t>
  </si>
  <si>
    <t>Sold Value</t>
  </si>
  <si>
    <t>MU</t>
  </si>
  <si>
    <t>Crap</t>
  </si>
  <si>
    <t>x</t>
  </si>
  <si>
    <t>Electric Attack Nanochip VII</t>
  </si>
  <si>
    <t>Cobalt Stone</t>
  </si>
  <si>
    <t>Durillium Stone</t>
  </si>
  <si>
    <t>Blausarium Stone</t>
  </si>
  <si>
    <t>Caldorite Stone</t>
  </si>
  <si>
    <t>Cable Slot Adapter Component II</t>
  </si>
  <si>
    <t>A.R.C. Elite Shin Guards (M,L)</t>
  </si>
  <si>
    <t>Miluca Timber</t>
  </si>
  <si>
    <t>Ore</t>
  </si>
  <si>
    <t>Arkace Timber</t>
  </si>
  <si>
    <t>Hekia Timber</t>
  </si>
  <si>
    <t>Milcua Veneer</t>
  </si>
  <si>
    <t>Corria Veneer</t>
  </si>
  <si>
    <t>Generic Fuse</t>
  </si>
  <si>
    <t>Hekia Veneer</t>
  </si>
  <si>
    <t>Yuka Shoulder Plate</t>
  </si>
  <si>
    <t>Residue</t>
  </si>
  <si>
    <t>Energy Matter Residue</t>
  </si>
  <si>
    <t>Items</t>
  </si>
  <si>
    <t>Blausarium Ingot</t>
  </si>
  <si>
    <t>Cobalt Ingot</t>
  </si>
  <si>
    <t>Caldorite Ignot</t>
  </si>
  <si>
    <t>Durillium Ingot</t>
  </si>
  <si>
    <t>Materials</t>
  </si>
  <si>
    <t>Caldorite Ingot</t>
  </si>
  <si>
    <t>Azzurdite Ingot</t>
  </si>
  <si>
    <t>Oil</t>
  </si>
  <si>
    <t>Energized Crystal</t>
  </si>
  <si>
    <t>Force Nexus</t>
  </si>
  <si>
    <t>Growth Molecules</t>
  </si>
  <si>
    <t>Blausariam Ingot</t>
  </si>
  <si>
    <t>Devil's Tail</t>
  </si>
  <si>
    <t>Cumbriz Stone</t>
  </si>
  <si>
    <t>Gazzurdite Ingot</t>
  </si>
  <si>
    <t>Typonolic Gas</t>
  </si>
  <si>
    <t>Dianthus Liquid</t>
  </si>
  <si>
    <t>Misc Ore</t>
  </si>
  <si>
    <t>CalyTrek CR Soul MK.II</t>
  </si>
  <si>
    <t>Regeneration Chip IV (L)</t>
  </si>
  <si>
    <t>Melchi Crystal</t>
  </si>
  <si>
    <t>Cumbriz Ingot</t>
  </si>
  <si>
    <t>Ares Head</t>
  </si>
  <si>
    <t>Alicenies Gel</t>
  </si>
  <si>
    <t>Zinc Ingot</t>
  </si>
  <si>
    <t>Azzurdite Stone</t>
  </si>
  <si>
    <t>Blausariam Stone</t>
  </si>
  <si>
    <t>Narcanism Stone</t>
  </si>
  <si>
    <t>Isis Project Zero-Two (L)</t>
  </si>
  <si>
    <t>Omegaton A101</t>
  </si>
  <si>
    <t>Bear Helmet (F, L)</t>
  </si>
  <si>
    <t>Iolite Ingot</t>
  </si>
  <si>
    <t>Lysterium Ingot</t>
  </si>
  <si>
    <t>Megan Ingot</t>
  </si>
  <si>
    <t>Narcanism Ingot</t>
  </si>
  <si>
    <t>Copper Ingot</t>
  </si>
  <si>
    <t>Garcen Grease</t>
  </si>
  <si>
    <t>Iron Ingot</t>
  </si>
  <si>
    <t>Belkar Ingot</t>
  </si>
  <si>
    <t>Fanfare Trumpet</t>
  </si>
  <si>
    <t>Teleportation Chip I (Ten Edition) (L)</t>
  </si>
  <si>
    <t>Iron Stone</t>
  </si>
  <si>
    <t>Melchi Water</t>
  </si>
  <si>
    <t>Erodite Stone</t>
  </si>
  <si>
    <t>Omegaton Igni L1000 (L)</t>
  </si>
  <si>
    <t>Leonis Special Edition (L)</t>
  </si>
  <si>
    <t>Isis CB20 (L)</t>
  </si>
  <si>
    <t>Valurite Stone</t>
  </si>
  <si>
    <t>Platinum Stone</t>
  </si>
  <si>
    <t>Cetus Foot Guards (M, L)</t>
  </si>
  <si>
    <t>Empty Skill Implant</t>
  </si>
  <si>
    <t>Beladoth Nail</t>
  </si>
  <si>
    <t>Boom BCC</t>
  </si>
  <si>
    <t>Level 3 Finder Amplifiers (L)</t>
  </si>
  <si>
    <t>Combustive Attack Nanochip V (L)</t>
  </si>
  <si>
    <t>Aurli Bone Piece</t>
  </si>
  <si>
    <t>Omegaton B101 (L)</t>
  </si>
  <si>
    <t>Vibrant Sweat</t>
  </si>
  <si>
    <t>Calypso Bone Samples</t>
  </si>
  <si>
    <t>Alien Acid</t>
  </si>
  <si>
    <t>Aurli Shock Flesh</t>
  </si>
  <si>
    <t>Animal Eye Oil</t>
  </si>
  <si>
    <t>Marcorp Kallous-3</t>
  </si>
  <si>
    <t>CCA/Chikara LR-1 Arrivals</t>
  </si>
  <si>
    <t>Animal Oil Residue</t>
  </si>
  <si>
    <t>Teladon Foot</t>
  </si>
  <si>
    <t>Corria Timber</t>
  </si>
  <si>
    <t>Madana Tail</t>
  </si>
  <si>
    <t>Piron PBR-12 (L)</t>
  </si>
  <si>
    <t>Animal Thyroid Oil</t>
  </si>
  <si>
    <t>Tailoring Remnants</t>
  </si>
  <si>
    <t>EWE EP-52 Dissolver</t>
  </si>
  <si>
    <t>Marcorp Kallous-7</t>
  </si>
  <si>
    <t>Omegaton Igni L1100E (L)</t>
  </si>
  <si>
    <t>Heart Oil</t>
  </si>
  <si>
    <t>Animal Kidney Oil</t>
  </si>
  <si>
    <t>Animal Muscle Oil</t>
  </si>
  <si>
    <t>Cosmetic Pen (Dark Brown)</t>
  </si>
  <si>
    <t>Thin Wool</t>
  </si>
  <si>
    <t>Polaris Arm Guards (M, L)</t>
  </si>
  <si>
    <t>Polaris Foot Guards (M, L)</t>
  </si>
  <si>
    <t>Animal Adrenal Oil</t>
  </si>
  <si>
    <t>Essence of Evil</t>
  </si>
  <si>
    <t>Armor Defense Enhancer V BP</t>
  </si>
  <si>
    <t>Armor Durability Enhancer V BP</t>
  </si>
  <si>
    <t>Medical Tool Economy Enhancer IV BP</t>
  </si>
  <si>
    <t>Halix Leather Texture</t>
  </si>
  <si>
    <t>Khorum Plating</t>
  </si>
  <si>
    <t>Aakas Plating</t>
  </si>
  <si>
    <t>Crude Oil</t>
  </si>
  <si>
    <t>Kaz Ingot</t>
  </si>
  <si>
    <t>Wenrex Ingot</t>
  </si>
  <si>
    <t>Hebredite Ingot</t>
  </si>
  <si>
    <t>Star Dust</t>
  </si>
  <si>
    <t>Calytrek CR Spirit MK.I (L)</t>
  </si>
  <si>
    <t>EWE LC-200 Scout (L)</t>
  </si>
  <si>
    <t>Rapper Snapper (L)</t>
  </si>
  <si>
    <t>Nanobot - Adrenaline Boost Blueprint (L)</t>
  </si>
  <si>
    <t>Animal Heart Oil</t>
  </si>
  <si>
    <t>Binary Mayhem R2 (L)</t>
  </si>
  <si>
    <t>Photon Mayhem R2 (L)</t>
  </si>
  <si>
    <t>CalyTrek CR Soul MK.V (L)</t>
  </si>
  <si>
    <t>Binary Mayhem R3 (L)</t>
  </si>
  <si>
    <t>Photon Mayhem P1 (L)</t>
  </si>
  <si>
    <t>Calytrek CR Soul MK.V (L)</t>
  </si>
  <si>
    <t>Photon Mayhem R5 (L)</t>
  </si>
  <si>
    <t>Isis HL5 (L)</t>
  </si>
  <si>
    <t>Animal Brain Oil</t>
  </si>
  <si>
    <t>Merp Wool</t>
  </si>
  <si>
    <t>Regeneration Chip I (L)</t>
  </si>
  <si>
    <t>Aurli Dense Plate</t>
  </si>
  <si>
    <t>Aurli Claw</t>
  </si>
  <si>
    <t>Aurli Chitlin Plate</t>
  </si>
  <si>
    <t>Aurli Acid</t>
  </si>
  <si>
    <t>Hermes Gloves (M, L)</t>
  </si>
  <si>
    <t>Aurli Resin Fluid</t>
  </si>
  <si>
    <t>Regeneration Chip VI (L)</t>
  </si>
  <si>
    <t>Teleport Chip I (UL)</t>
  </si>
  <si>
    <t>Hermes Shin Guards (M, L)</t>
  </si>
  <si>
    <t>Coins</t>
  </si>
  <si>
    <t>Common Dung</t>
  </si>
  <si>
    <t>NeoPsion 20 Mindforce Implant (UL)</t>
  </si>
  <si>
    <t>Jaguar Thigh Guards (F, L)</t>
  </si>
  <si>
    <t>Marcorp Kallous-1 (L)</t>
  </si>
  <si>
    <t>Belkar Stone</t>
  </si>
  <si>
    <t>Copper Stone</t>
  </si>
  <si>
    <t>Dianum Ore</t>
  </si>
  <si>
    <t>Typonolic Steam</t>
  </si>
  <si>
    <t>Alicines Liquid</t>
  </si>
  <si>
    <t>Magerian Mist</t>
  </si>
  <si>
    <t>Short Stink Tree Board</t>
  </si>
  <si>
    <t>Short Firn Board</t>
  </si>
  <si>
    <t>Terrudite Stone</t>
  </si>
  <si>
    <t>Garcen Liquid</t>
  </si>
  <si>
    <t>Erinoite Stone</t>
  </si>
  <si>
    <t>Lysterium Stone</t>
  </si>
  <si>
    <t>Erdorium Stone</t>
  </si>
  <si>
    <t>Niksarium Ore</t>
  </si>
  <si>
    <t>Lytiarian Dust</t>
  </si>
  <si>
    <t>Empty Skill Implant (L)</t>
  </si>
  <si>
    <t>Emik Enigma L1 (L)</t>
  </si>
  <si>
    <t>Monrian Plating Blueprint</t>
  </si>
  <si>
    <t>Teleportation Chip I TEN Edition (L)</t>
  </si>
  <si>
    <t>Binary Fluid</t>
  </si>
  <si>
    <t>Gazzurdite Stone</t>
  </si>
  <si>
    <t>Adapted Vivo T20 (L)</t>
  </si>
  <si>
    <t>Adapted Vivo T10 (L)</t>
  </si>
  <si>
    <t>DSEC Seeker L2 (L)</t>
  </si>
  <si>
    <t>Omegaton Ingi L1100 (L)</t>
  </si>
  <si>
    <t>MarCorp Kallous-3 (L)</t>
  </si>
  <si>
    <t>Arsonistic Chip III Ten Edition (L)</t>
  </si>
  <si>
    <t>Gold Stone</t>
  </si>
  <si>
    <t>Henren Stem</t>
  </si>
  <si>
    <t>Narcanisum Stone</t>
  </si>
  <si>
    <t>Iolite Stone</t>
  </si>
  <si>
    <t>Megan Stone</t>
  </si>
  <si>
    <t>Combustive Attack Nanochip VII (L)</t>
  </si>
  <si>
    <t>Regneration Chip VI (L)</t>
  </si>
  <si>
    <t>DOA Smacktalker (L)</t>
  </si>
  <si>
    <t>Hermes Back Strap (M, L)</t>
  </si>
  <si>
    <t>Vivo UR125 (L) Blueprint</t>
  </si>
  <si>
    <t>Vehicle RK-5 Blueprint (L)</t>
  </si>
  <si>
    <t>Vivo T15 (L) Blueprint (L)</t>
  </si>
  <si>
    <t>eMine FS (L) Blueprint (L)</t>
  </si>
  <si>
    <t>Finder F-103 Blueprint</t>
  </si>
  <si>
    <t>Ziplex Z10 Seeker (L) Blueprint</t>
  </si>
  <si>
    <t>Guardian Foot Guards Blueprint (L)</t>
  </si>
  <si>
    <t>Calytrek CR Spirit MK.III (L)</t>
  </si>
  <si>
    <t>Hermes Arm Guards (F, L)</t>
  </si>
  <si>
    <t>MacMahon Vengeance (L)</t>
  </si>
  <si>
    <t>Kreltin Soft Plate</t>
  </si>
  <si>
    <t>Garnet</t>
  </si>
  <si>
    <t>Level 6 Finder Amplifier (L)</t>
  </si>
  <si>
    <t>Bull Tac30 (L) Blueprint</t>
  </si>
  <si>
    <t>Aurli Chitin Scale</t>
  </si>
  <si>
    <t>Aurli Fangs</t>
  </si>
  <si>
    <t>Enik Enigma L1 (L)</t>
  </si>
  <si>
    <t>Corrosive Attack Nanochip IV (L)</t>
  </si>
  <si>
    <t>Hermes Arm Guards (M, L)</t>
  </si>
  <si>
    <t>Robot Component Residue</t>
  </si>
  <si>
    <t>Warren's Claw</t>
  </si>
  <si>
    <t>Adapted Vivo T5 (L) Blueprint</t>
  </si>
  <si>
    <t>Portable TT Unit (L) Blueprint</t>
  </si>
  <si>
    <t>Bram's Shock Flesh</t>
  </si>
  <si>
    <t>Dotty's Fangs</t>
  </si>
  <si>
    <t>Tiger Harness (M, L)</t>
  </si>
  <si>
    <t>DSEC Seeker L2 (L) Blueprint</t>
  </si>
  <si>
    <t>Weapon Economy Enhancer IV (L)</t>
  </si>
  <si>
    <t>Vivo T10 (L) Blueprint (L)</t>
  </si>
  <si>
    <t>Marcorp Kallous-6 (L)</t>
  </si>
  <si>
    <t>Binary Mayhem P4 (L)</t>
  </si>
  <si>
    <t>Photonic Mayhem R4 (L)</t>
  </si>
  <si>
    <t>Regeneration Chip X (L)</t>
  </si>
  <si>
    <t>Marcorp Kallous-7 (L)</t>
  </si>
  <si>
    <t>Tiger Arm Guards (F, L)</t>
  </si>
  <si>
    <t>DNA Fragment B</t>
  </si>
  <si>
    <t>DNA Fragment C</t>
  </si>
  <si>
    <t>Vivo T20 (L) Blueprint (L)</t>
  </si>
  <si>
    <t>Portable Repair Unit (L) Blueprint (L)</t>
  </si>
  <si>
    <t>Portable TT Unit (L) Blueprint (L)</t>
  </si>
  <si>
    <t>Aurli Larva</t>
  </si>
  <si>
    <t>Bell's Chitin Scales</t>
  </si>
  <si>
    <t>Electric Attack Nanoship</t>
  </si>
  <si>
    <t>CalyTrek CR Spirit MK.1 (L)</t>
  </si>
  <si>
    <t>Garcen Lubricant</t>
  </si>
  <si>
    <t>Magerian Spray</t>
  </si>
  <si>
    <t>Kanerium Ore</t>
  </si>
  <si>
    <t>Cave Sap</t>
  </si>
  <si>
    <t>Redulite</t>
  </si>
  <si>
    <t>Isis Project Zero-Five (L)</t>
  </si>
  <si>
    <t>Boar Thigh Guards (M, L)</t>
  </si>
  <si>
    <t>Animal Spleen Oil</t>
  </si>
  <si>
    <t>Ziplex Z10 Seeker (L) Blueprint (L)</t>
  </si>
  <si>
    <t>Arkcoins</t>
  </si>
  <si>
    <t>Yuka Shoulder Plates</t>
  </si>
  <si>
    <t>Korwii Ear</t>
  </si>
  <si>
    <t>Merry Mayhem Candy Cranes</t>
  </si>
  <si>
    <t>Photonic Mayhem R3 (L)</t>
  </si>
  <si>
    <t>Boar Arm Guards (F, L)</t>
  </si>
  <si>
    <t>MarCorp Kallous-7 (L)</t>
  </si>
  <si>
    <t>Advanced Organic Wire</t>
  </si>
  <si>
    <t>Infrasound Amplifier Component</t>
  </si>
  <si>
    <t>Vixen Android Gear</t>
  </si>
  <si>
    <t>D-Class Mining Amp (L)</t>
  </si>
  <si>
    <t>Diamond</t>
  </si>
  <si>
    <t>Make Up Mask - Large (L)</t>
  </si>
  <si>
    <t>Level 2 Finder Amplifiers (L)</t>
  </si>
  <si>
    <t>Alkar Crystal</t>
  </si>
  <si>
    <t>Aarkan Pellets</t>
  </si>
  <si>
    <t>Somin Tar</t>
  </si>
  <si>
    <t>Zolphic Tar</t>
  </si>
  <si>
    <t>Ospra Stones</t>
  </si>
  <si>
    <t>Kaz Stones</t>
  </si>
  <si>
    <t>Hydrogen Gas</t>
  </si>
  <si>
    <t>Veda Stones</t>
  </si>
  <si>
    <t>Zadul Nail</t>
  </si>
  <si>
    <t>Zadul Plush Toy</t>
  </si>
  <si>
    <t>Zinc Stone</t>
  </si>
  <si>
    <t>Niksarium Stone</t>
  </si>
  <si>
    <t>Quil Sap</t>
  </si>
  <si>
    <t>Energized Cell</t>
  </si>
  <si>
    <t>Lytairian Dust</t>
  </si>
  <si>
    <t>Binding Epoxy</t>
  </si>
  <si>
    <t>Khorum Alloy</t>
  </si>
  <si>
    <t>Ararkan Pellets</t>
  </si>
  <si>
    <t>Songtil Agent</t>
  </si>
  <si>
    <t>Khorudoul Extrusion</t>
  </si>
  <si>
    <t>Songkra  Alloy</t>
  </si>
  <si>
    <t>Bronze Alloy</t>
  </si>
  <si>
    <t>Brass Alloy</t>
  </si>
  <si>
    <t>Flint Axe Head</t>
  </si>
  <si>
    <t>Gyro Combat FAP-14 (L) Blueprint (L)</t>
  </si>
  <si>
    <t>Arkadian Key 4 Blueprint</t>
  </si>
  <si>
    <t>Gyro FAP-6 (L) Blueprint</t>
  </si>
  <si>
    <t>Gyro Combat FAP-2 (L) Blueprint (L)</t>
  </si>
  <si>
    <t>Arkoins</t>
  </si>
  <si>
    <t>Arkadian Golden Key Outer Ring</t>
  </si>
  <si>
    <t>Arsonistic Chip III (L)</t>
  </si>
  <si>
    <t>Binary Mayhem P3 (L)</t>
  </si>
  <si>
    <t>Boar Foot Guards (M, L)</t>
  </si>
  <si>
    <t>Photonic Mayhem P4 (L)</t>
  </si>
  <si>
    <t>TerraMaster 4 (L) Blueprint</t>
  </si>
  <si>
    <t>HotFoot 40 (L) Blueprint</t>
  </si>
  <si>
    <t>Herman ASI-21 Desert (L) Blueprint (L)</t>
  </si>
  <si>
    <t>Shagdhi Basin</t>
  </si>
  <si>
    <t>Star Particles</t>
  </si>
  <si>
    <t>Azur Pearls</t>
  </si>
  <si>
    <t>Hebredite Stones</t>
  </si>
  <si>
    <t>Root Acid</t>
  </si>
  <si>
    <t>Hydrogen Steam</t>
  </si>
  <si>
    <t>Part of Flint Axe Head</t>
  </si>
  <si>
    <t>Riptor Statue</t>
  </si>
  <si>
    <t>Combustive Attack Nanochip VIII (L)</t>
  </si>
  <si>
    <t>Dune Rider Harness (M)</t>
  </si>
  <si>
    <t>Alloy Plate Blueprint</t>
  </si>
  <si>
    <t>GYRO Combat FAP-55 (L)</t>
  </si>
  <si>
    <t>Acid Root</t>
  </si>
  <si>
    <t>Piron PLR-37 (L)</t>
  </si>
  <si>
    <t>Piron PLR-32 (L)</t>
  </si>
  <si>
    <t>Piron PBP-37 (L)</t>
  </si>
  <si>
    <t>Piron PLP-32 (L)</t>
  </si>
  <si>
    <t>Corrosive Nanochip IX (L)</t>
  </si>
  <si>
    <t>Arkadian Golden Key Bearings</t>
  </si>
  <si>
    <t>Lacerating Attack Nanochip II (L)</t>
  </si>
  <si>
    <t>Mining Finder Range Enhancer I (L) Blueprint</t>
  </si>
  <si>
    <t>Medical Tool Skill Modification Enhancer VI Blueprint</t>
  </si>
  <si>
    <t>Tiarak Hides</t>
  </si>
  <si>
    <t>Khorudoul Polymer</t>
  </si>
  <si>
    <t>Fly Amber</t>
  </si>
  <si>
    <t>Lidacon Stones</t>
  </si>
  <si>
    <t>Azzurdite Stones</t>
  </si>
  <si>
    <t>Edres Resin</t>
  </si>
  <si>
    <t>Xelo Haze</t>
  </si>
  <si>
    <t>Nasul Hides</t>
  </si>
  <si>
    <t>Part of Brass Alloy</t>
  </si>
  <si>
    <t>Fossil Ammonite</t>
  </si>
  <si>
    <t>Part of Bronze Alloy</t>
  </si>
  <si>
    <t>Terrudite Stones</t>
  </si>
  <si>
    <t>Zolphic Grease</t>
  </si>
  <si>
    <t>Vorn Pellets</t>
  </si>
  <si>
    <t>Alicenies Liquid</t>
  </si>
  <si>
    <t>Pel Crystal</t>
  </si>
  <si>
    <t>Banite Stones</t>
  </si>
  <si>
    <t>Ignisium Stones</t>
  </si>
  <si>
    <t>Alferix Stone</t>
  </si>
  <si>
    <t>Purchased Value</t>
  </si>
  <si>
    <t>Base Value</t>
  </si>
  <si>
    <t>Markup Paid</t>
  </si>
  <si>
    <t>Markup</t>
  </si>
  <si>
    <t>Item Equity</t>
  </si>
  <si>
    <t>Aim Skill Implant</t>
  </si>
  <si>
    <t>Warp</t>
  </si>
  <si>
    <t>CLD Revenue</t>
  </si>
  <si>
    <t>Wool Thread</t>
  </si>
  <si>
    <t>Fine Textures</t>
  </si>
  <si>
    <t>Isis LC-35 (L)</t>
  </si>
  <si>
    <t>Combat Reflex Skill Implant</t>
  </si>
  <si>
    <t>VIP</t>
  </si>
  <si>
    <t>Aakas 9 Key</t>
  </si>
  <si>
    <t>Aakas 10 Key</t>
  </si>
  <si>
    <t>Aakas 7 Key</t>
  </si>
  <si>
    <t>Aakas 9 Key (Split)</t>
  </si>
  <si>
    <t>Nanobots - Adrenaline Boost</t>
  </si>
  <si>
    <t>Level 2 Finder Amplifier (L) (100QR)</t>
  </si>
  <si>
    <t>Pulsar Amour Plate 3 (L)</t>
  </si>
  <si>
    <t>Pyrite Ingot</t>
  </si>
  <si>
    <t>Liakon Harness (M)</t>
  </si>
  <si>
    <t>Armor Durability Enhancer III</t>
  </si>
  <si>
    <t>Weapon Damage Enhancer VI</t>
  </si>
  <si>
    <t>Liakon Arm Guards (M)</t>
  </si>
  <si>
    <t>VIP Warp to Arkadia</t>
  </si>
  <si>
    <t>Arkadia Port</t>
  </si>
  <si>
    <t>Calypso Port</t>
  </si>
  <si>
    <t>Pile of Opals</t>
  </si>
  <si>
    <t>Blazar Fragments</t>
  </si>
  <si>
    <t>Lytairian Powder</t>
  </si>
  <si>
    <t>Tier III Components</t>
  </si>
  <si>
    <t>Nanobots - Kill Strike</t>
  </si>
  <si>
    <t>Armor Defense Enhancer VII Blueprint</t>
  </si>
  <si>
    <t>Tier VI Components</t>
  </si>
  <si>
    <t>Arkadian Key 9 Blueprint</t>
  </si>
  <si>
    <t>Warp to Arkadia</t>
  </si>
  <si>
    <t>Arkadia Teleport</t>
  </si>
  <si>
    <t>Warp to Calypso</t>
  </si>
  <si>
    <t>Calypso Teleport</t>
  </si>
  <si>
    <t>Arkadian Key 9 (Self)</t>
  </si>
  <si>
    <t>Dune Rider Harness (M) (Self)</t>
  </si>
  <si>
    <t>Nanobot - Kill Strike</t>
  </si>
  <si>
    <t>Planet Arkadia Welcome Fee</t>
  </si>
  <si>
    <t>Calypso Welcome Fee</t>
  </si>
  <si>
    <t>Team Fapping</t>
  </si>
  <si>
    <t>Arkoin</t>
  </si>
  <si>
    <t>Handgun Skill Implant (L)</t>
  </si>
  <si>
    <t>Arkadian Key 10</t>
  </si>
  <si>
    <t>TerraAmp 4 (L) Blueprint</t>
  </si>
  <si>
    <t>Arkadian Golden Key Gears</t>
  </si>
  <si>
    <t>Combat Sense Skill Implant (L)</t>
  </si>
  <si>
    <t>Arkadian Key 2 (L) Blueprint</t>
  </si>
  <si>
    <t>Explosive Projectiles</t>
  </si>
  <si>
    <t>Arkadian Key 2 (L) Self</t>
  </si>
  <si>
    <t>Arkadian Key 10 (L)</t>
  </si>
  <si>
    <t>Shagadi Disintegration Sword (Self)</t>
  </si>
  <si>
    <t>Liakon Helmet (M)</t>
  </si>
  <si>
    <t>Mining Finder Depth Enhancer VI</t>
  </si>
  <si>
    <t>Mining Finder Depth Enhancer VII</t>
  </si>
  <si>
    <t>Infrasound Emitter Component</t>
  </si>
  <si>
    <t>Solar 8V Gel Batteries Blueprint</t>
  </si>
  <si>
    <t>Detpil Rv 50 (L) Blueprint (L)</t>
  </si>
  <si>
    <t>Alternative Ingot</t>
  </si>
  <si>
    <t>Lidacon Ingot</t>
  </si>
  <si>
    <t>Fossil Tooth</t>
  </si>
  <si>
    <t>Ospra Ingot</t>
  </si>
  <si>
    <t>Basic Relay</t>
  </si>
  <si>
    <t>Vedacore Sheeting</t>
  </si>
  <si>
    <t>Chemset</t>
  </si>
  <si>
    <t>Random Materials</t>
  </si>
  <si>
    <t>Balancing Agent</t>
  </si>
  <si>
    <t>Zulax Ingot</t>
  </si>
  <si>
    <t>Adomasite Ingot</t>
  </si>
  <si>
    <t>Weak Magnets</t>
  </si>
  <si>
    <t>Resonation Amplifier 3</t>
  </si>
  <si>
    <t>i</t>
  </si>
  <si>
    <t>Earned From</t>
  </si>
  <si>
    <t>TT Value</t>
  </si>
  <si>
    <t>Aim</t>
  </si>
  <si>
    <t>Kadra 75</t>
  </si>
  <si>
    <t>Rifle</t>
  </si>
  <si>
    <t>Riptor 75</t>
  </si>
  <si>
    <t>Anatomy</t>
  </si>
  <si>
    <t>Kiana 75</t>
  </si>
  <si>
    <t>Dodge</t>
  </si>
  <si>
    <t>Oratan 5K</t>
  </si>
  <si>
    <t>Dexterity</t>
  </si>
  <si>
    <t>Otorugi 400</t>
  </si>
  <si>
    <t>Ambuilimax 600</t>
  </si>
  <si>
    <t>Drone 1200</t>
  </si>
  <si>
    <t>Courage</t>
  </si>
  <si>
    <t>Warrior 100</t>
  </si>
  <si>
    <t>Evade</t>
  </si>
  <si>
    <t>Atrox 100</t>
  </si>
  <si>
    <t>Combat Reflexes</t>
  </si>
  <si>
    <t>Atrax 100</t>
  </si>
  <si>
    <t>Athletics</t>
  </si>
  <si>
    <t>Allophyl 100</t>
  </si>
  <si>
    <t>Perception</t>
  </si>
  <si>
    <t>Huon 75</t>
  </si>
  <si>
    <t>Molisks 100</t>
  </si>
  <si>
    <t>Heavy Melee Weapons</t>
  </si>
  <si>
    <t>Beladoth 75</t>
  </si>
  <si>
    <t>Inflict Ranged Damage</t>
  </si>
  <si>
    <t>Necanu 100</t>
  </si>
  <si>
    <t>Aurli 100</t>
  </si>
  <si>
    <t>Argonauts 5000</t>
  </si>
  <si>
    <t>Rextellum 600KP</t>
  </si>
  <si>
    <t>Laser Weaponry Technology</t>
  </si>
  <si>
    <t>Drone 3K</t>
  </si>
  <si>
    <t>Atrox 500</t>
  </si>
  <si>
    <t>Weapons Handling</t>
  </si>
  <si>
    <t>Merp 100</t>
  </si>
  <si>
    <t>Scoria 75</t>
  </si>
  <si>
    <t>Teladon 75</t>
  </si>
  <si>
    <t>Power Fist</t>
  </si>
  <si>
    <t>Feffox 1200</t>
  </si>
  <si>
    <t>Feffox 3000</t>
  </si>
  <si>
    <t>Longu 500</t>
  </si>
  <si>
    <t>Aurli 500</t>
  </si>
  <si>
    <t>Longblades</t>
  </si>
  <si>
    <t>Huon 400</t>
  </si>
  <si>
    <t>Aurli 1000</t>
  </si>
  <si>
    <t>Melee Combat</t>
  </si>
  <si>
    <t>Kreltin 100</t>
  </si>
  <si>
    <t>Harbingers 1200</t>
  </si>
  <si>
    <t>Feffox 12000</t>
  </si>
  <si>
    <t>Scriptors 100</t>
  </si>
  <si>
    <t>Aurli 5000</t>
  </si>
  <si>
    <t>Atrax 500</t>
  </si>
  <si>
    <t>Dehera Defenders 100</t>
  </si>
  <si>
    <t>Korwil 75</t>
  </si>
  <si>
    <t>Yukas 75</t>
  </si>
  <si>
    <t>Dehera Defenders 750</t>
  </si>
  <si>
    <t>Kadra 400</t>
  </si>
  <si>
    <t>Tier</t>
  </si>
  <si>
    <t>MU Value</t>
  </si>
  <si>
    <t>Total Value</t>
  </si>
  <si>
    <t>Herman Cap-30 Smuggler</t>
  </si>
  <si>
    <t>Lion</t>
  </si>
  <si>
    <t>2.X</t>
  </si>
  <si>
    <t>Hunnir Laser Sight</t>
  </si>
  <si>
    <t>Jzar Precision Scope</t>
  </si>
  <si>
    <t>Fi/Ra/Co Beast</t>
  </si>
  <si>
    <t>Omegaton A106</t>
  </si>
  <si>
    <t>Headshot 3</t>
  </si>
  <si>
    <t>S.I. Flamethrower</t>
  </si>
  <si>
    <t>S.I Psyblade</t>
  </si>
  <si>
    <t>S.I Psysword</t>
  </si>
  <si>
    <t>Xent Tech Light Rifle X3</t>
  </si>
  <si>
    <t>S.I. Scorpion</t>
  </si>
  <si>
    <t>Headshot 1</t>
  </si>
  <si>
    <t>Omegaton A102</t>
  </si>
  <si>
    <t>Headshot 2</t>
  </si>
  <si>
    <t>S.I. HK110</t>
  </si>
  <si>
    <t>S.I. Combat Knive</t>
  </si>
  <si>
    <t>Sollomate Opalo</t>
  </si>
  <si>
    <t>Omegaton Fast Aid FAP-90</t>
  </si>
  <si>
    <t>Resource Extractor RE-105</t>
  </si>
  <si>
    <t>Finder F-105</t>
  </si>
  <si>
    <t>Sweet Scope MK I</t>
  </si>
  <si>
    <t>Arsonisitic III TEN Edition Chip</t>
  </si>
  <si>
    <t>Herman ARK-TT R</t>
  </si>
  <si>
    <t>Run</t>
  </si>
  <si>
    <t>Points</t>
  </si>
  <si>
    <t>Adjusted Avg:</t>
  </si>
  <si>
    <t>Arkoins:</t>
  </si>
  <si>
    <t>Average:</t>
  </si>
  <si>
    <t>Target:</t>
  </si>
  <si>
    <t>Runs</t>
  </si>
  <si>
    <t>On Pace (Normalized):</t>
  </si>
  <si>
    <t>On Pace Adjusted (Normalized):</t>
  </si>
  <si>
    <t>Progress %:</t>
  </si>
  <si>
    <t>Total Hours:</t>
  </si>
  <si>
    <t>Runs Remaining @ Avg:</t>
  </si>
  <si>
    <t>Total Points: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</si>
</sst>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m/d/yyyy;@"/>
    <numFmt numFmtId="165" formatCode="#,##0.0000"/>
    <numFmt numFmtId="166" formatCode="#,##0.0000"/>
    <numFmt numFmtId="167" formatCode="m/d/yyyy;@"/>
    <numFmt numFmtId="168" formatCode="m/d/yyyy;@"/>
    <numFmt numFmtId="169" formatCode="h:mm:ss;@"/>
    <numFmt numFmtId="170" formatCode="#,##0.000"/>
    <numFmt numFmtId="171" formatCode="m/d/yyyy;@"/>
    <numFmt numFmtId="172" formatCode="#,##0.###############"/>
    <numFmt numFmtId="173" formatCode="h:mm:ss;@"/>
    <numFmt numFmtId="174" formatCode="m/d/yyyy;@"/>
  </numFmts>
  <fonts count="4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2">
    <fill>
      <patternFill patternType="none"/>
    </fill>
    <fill>
      <patternFill patternType="gray125">
        <bgColor rgb="FFFFFFFF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E59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82">
    <xf applyAlignment="1" fillId="0" xfId="0" numFmtId="0" borderId="0" fontId="0">
      <alignment vertical="bottom" horizontal="general" wrapText="1"/>
    </xf>
    <xf applyBorder="1" applyAlignment="1" fillId="2" xfId="0" numFmtId="4" borderId="1" applyFont="1" fontId="1" applyNumberFormat="1" applyFill="1">
      <alignment vertical="bottom" horizontal="general" wrapText="1"/>
    </xf>
    <xf applyAlignment="1" fillId="3" xfId="0" numFmtId="0" borderId="0" applyFont="1" fontId="2" applyFill="1">
      <alignment vertical="bottom" horizontal="center" wrapText="1"/>
    </xf>
    <xf applyAlignment="1" fillId="0" xfId="0" numFmtId="0" borderId="0" fontId="0" applyNumberFormat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4" xfId="0" numFmtId="43" borderId="0" applyFont="1" fontId="3" applyNumberFormat="1" applyFill="1">
      <alignment vertical="bottom" horizontal="general" wrapText="1"/>
    </xf>
    <xf applyBorder="1" applyAlignment="1" fillId="5" xfId="0" numFmtId="4" borderId="2" applyFont="1" fontId="4" applyNumberFormat="1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10" borderId="0" fontId="0" applyNumberFormat="1" applyFill="1">
      <alignment vertical="bottom" horizontal="general" wrapText="1"/>
    </xf>
    <xf applyAlignment="1" fillId="8" xfId="0" numFmtId="4" borderId="0" fontId="0" applyNumberFormat="1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Border="1" applyAlignment="1" fillId="10" xfId="0" numFmtId="0" borderId="3" fontId="0" applyFill="1">
      <alignment vertical="bottom" horizontal="general" wrapText="1"/>
    </xf>
    <xf applyAlignment="1" fillId="11" xfId="0" numFmtId="0" borderId="0" applyFont="1" fontId="5" applyFill="1">
      <alignment vertical="bottom" horizontal="center" wrapText="1"/>
    </xf>
    <xf applyBorder="1" applyAlignment="1" fillId="12" xfId="0" numFmtId="4" borderId="4" applyFont="1" fontId="6" applyNumberFormat="1" applyFill="1">
      <alignment vertical="bottom" horizontal="general" wrapText="1"/>
    </xf>
    <xf applyAlignment="1" fillId="13" xfId="0" numFmtId="4" borderId="0" applyFont="1" fontId="7" applyNumberFormat="1" applyFill="1">
      <alignment vertical="bottom" horizontal="general" wrapText="1"/>
    </xf>
    <xf applyAlignment="1" fillId="0" xfId="0" numFmtId="165" borderId="0" fontId="0" applyNumberFormat="1">
      <alignment vertical="bottom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fontId="0" applyFill="1">
      <alignment vertical="bottom" horizontal="general" wrapText="1"/>
    </xf>
    <xf applyAlignment="1" fillId="16" xfId="0" numFmtId="10" borderId="0" fontId="0" applyNumberFormat="1" applyFill="1">
      <alignment vertical="bottom" horizontal="general" wrapText="1"/>
    </xf>
    <xf applyAlignment="1" fillId="0" xfId="0" numFmtId="10" borderId="0" fontId="0" applyNumberFormat="1">
      <alignment vertical="bottom" horizontal="general" wrapText="1"/>
    </xf>
    <xf applyAlignment="1" fillId="17" xfId="0" numFmtId="4" borderId="0" fontId="0" applyNumberFormat="1" applyFill="1">
      <alignment vertical="bottom" horizontal="general" wrapText="1"/>
    </xf>
    <xf applyAlignment="1" fillId="18" xfId="0" numFmtId="0" borderId="0" applyFont="1" fontId="8" applyFill="1">
      <alignment vertical="bottom" horizontal="center" wrapText="1"/>
    </xf>
    <xf applyAlignment="1" fillId="19" xfId="0" numFmtId="0" borderId="0" fontId="0" applyFill="1">
      <alignment vertical="bottom" horizontal="general" wrapText="1"/>
    </xf>
    <xf applyAlignment="1" fillId="20" xfId="0" numFmtId="0" borderId="0" applyFont="1" fontId="9" applyFill="1">
      <alignment vertical="bottom" horizontal="general" wrapText="1"/>
    </xf>
    <xf applyBorder="1" applyAlignment="1" fillId="21" xfId="0" numFmtId="0" borderId="5" fontId="0" applyFill="1">
      <alignment vertical="bottom" horizontal="general" wrapText="1"/>
    </xf>
    <xf applyAlignment="1" fillId="22" xfId="0" numFmtId="0" borderId="0" applyFont="1" fontId="10" applyFill="1">
      <alignment vertical="bottom" horizontal="center" wrapText="1"/>
    </xf>
    <xf applyAlignment="1" fillId="0" xfId="0" numFmtId="4" borderId="0" fontId="0" applyNumberFormat="1">
      <alignment vertical="bottom" horizontal="general" wrapText="1"/>
    </xf>
    <xf applyAlignment="1" fillId="23" xfId="0" numFmtId="0" borderId="0" applyFont="1" fontId="11" applyFill="1">
      <alignment vertical="bottom" horizontal="center" wrapText="1"/>
    </xf>
    <xf applyAlignment="1" fillId="24" xfId="0" numFmtId="166" borderId="0" fontId="0" applyNumberFormat="1" applyFill="1">
      <alignment vertical="bottom" horizontal="general" wrapText="1"/>
    </xf>
    <xf applyAlignment="1" fillId="25" xfId="0" numFmtId="10" borderId="0" applyFont="1" fontId="12" applyNumberFormat="1" applyFill="1">
      <alignment vertical="bottom" horizontal="general" wrapText="1"/>
    </xf>
    <xf applyAlignment="1" fillId="26" xfId="0" numFmtId="0" borderId="0" fontId="0" applyFill="1">
      <alignment vertical="bottom" horizontal="general" wrapText="1"/>
    </xf>
    <xf applyBorder="1" applyAlignment="1" fillId="27" xfId="0" numFmtId="4" borderId="6" applyFont="1" fontId="13" applyNumberFormat="1" applyFill="1">
      <alignment vertical="bottom" horizontal="general" wrapText="1"/>
    </xf>
    <xf applyAlignment="1" fillId="28" xfId="0" numFmtId="4" borderId="0" fontId="0" applyNumberFormat="1" applyFill="1">
      <alignment vertical="bottom" horizontal="general" wrapText="1"/>
    </xf>
    <xf applyAlignment="1" fillId="29" xfId="0" numFmtId="4" borderId="0" applyFont="1" fontId="14" applyNumberFormat="1" applyFill="1">
      <alignment vertical="bottom" horizontal="general" wrapText="1"/>
    </xf>
    <xf applyAlignment="1" fillId="30" xfId="0" numFmtId="43" borderId="0" fontId="0" applyNumberFormat="1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4" borderId="0" applyFont="1" fontId="15" applyNumberFormat="1" applyFill="1">
      <alignment vertical="bottom" horizontal="general" wrapText="1"/>
    </xf>
    <xf applyBorder="1" applyAlignment="1" fillId="33" xfId="0" numFmtId="4" borderId="7" fontId="0" applyNumberFormat="1" applyFill="1">
      <alignment vertical="bottom" horizontal="general" wrapText="1"/>
    </xf>
    <xf applyBorder="1" applyAlignment="1" fillId="34" xfId="0" numFmtId="0" borderId="8" fontId="0" applyFill="1">
      <alignment vertical="bottom" horizontal="general" wrapText="1"/>
    </xf>
    <xf applyAlignment="1" fillId="35" xfId="0" numFmtId="10" borderId="0" fontId="0" applyNumberFormat="1" applyFill="1">
      <alignment vertical="bottom" horizontal="general" wrapText="1"/>
    </xf>
    <xf applyAlignment="1" fillId="36" xfId="0" numFmtId="167" borderId="0" fontId="0" applyNumberFormat="1" applyFill="1">
      <alignment vertical="bottom" horizontal="general" wrapText="1"/>
    </xf>
    <xf applyBorder="1" applyAlignment="1" fillId="37" xfId="0" numFmtId="4" borderId="9" applyFont="1" fontId="16" applyNumberFormat="1" applyFill="1">
      <alignment vertical="bottom" horizontal="general" wrapText="1"/>
    </xf>
    <xf applyAlignment="1" fillId="38" xfId="0" numFmtId="0" borderId="0" applyFont="1" fontId="17" applyFill="1">
      <alignment vertical="bottom" horizontal="general" wrapText="1"/>
    </xf>
    <xf applyAlignment="1" fillId="39" xfId="0" numFmtId="4" borderId="0" fontId="0" applyNumberFormat="1" applyFill="1">
      <alignment vertical="bottom" horizontal="general" wrapText="1"/>
    </xf>
    <xf applyBorder="1" applyAlignment="1" fillId="40" xfId="0" numFmtId="10" borderId="10" applyFont="1" fontId="18" applyNumberFormat="1" applyFill="1">
      <alignment vertical="bottom" horizontal="general" wrapText="1"/>
    </xf>
    <xf applyAlignment="1" fillId="41" xfId="0" numFmtId="43" borderId="0" fontId="0" applyNumberFormat="1" applyFill="1">
      <alignment vertical="bottom" horizontal="general" wrapText="1"/>
    </xf>
    <xf applyBorder="1" applyAlignment="1" fillId="42" xfId="0" numFmtId="10" borderId="11" applyFont="1" fontId="19" applyNumberFormat="1" applyFill="1">
      <alignment vertical="bottom" horizontal="general" wrapText="1"/>
    </xf>
    <xf applyBorder="1" applyAlignment="1" fillId="0" xfId="0" numFmtId="0" borderId="12" fontId="0">
      <alignment vertical="bottom" horizontal="general" wrapText="1"/>
    </xf>
    <xf applyAlignment="1" fillId="43" xfId="0" numFmtId="0" borderId="0" applyFont="1" fontId="20" applyFill="1">
      <alignment vertical="bottom" horizontal="center" wrapText="1"/>
    </xf>
    <xf applyAlignment="1" fillId="44" xfId="0" numFmtId="0" borderId="0" applyFont="1" fontId="21" applyFill="1">
      <alignment vertical="bottom" horizontal="center" wrapText="1"/>
    </xf>
    <xf applyAlignment="1" fillId="0" xfId="0" numFmtId="0" borderId="0" applyFont="1" fontId="22">
      <alignment vertical="bottom" horizontal="general" wrapText="1"/>
    </xf>
    <xf applyAlignment="1" fillId="0" xfId="0" numFmtId="168" borderId="0" applyFont="1" fontId="23" applyNumberFormat="1">
      <alignment vertical="bottom" horizontal="general" wrapText="1"/>
    </xf>
    <xf applyAlignment="1" fillId="45" xfId="0" numFmtId="169" borderId="0" fontId="0" applyNumberFormat="1" applyFill="1">
      <alignment vertical="bottom" horizontal="general" wrapText="1"/>
    </xf>
    <xf applyBorder="1" applyAlignment="1" fillId="46" xfId="0" numFmtId="0" borderId="13" fontId="0" applyFill="1">
      <alignment vertical="bottom" horizontal="general" wrapText="1"/>
    </xf>
    <xf applyAlignment="1" fillId="47" xfId="0" numFmtId="0" borderId="0" applyFont="1" fontId="24" applyFill="1">
      <alignment vertical="bottom" horizontal="center" wrapText="1"/>
    </xf>
    <xf applyAlignment="1" fillId="48" xfId="0" numFmtId="0" borderId="0" applyFont="1" fontId="25" applyFill="1">
      <alignment vertical="bottom" horizontal="general" wrapText="1"/>
    </xf>
    <xf applyAlignment="1" fillId="49" xfId="0" numFmtId="0" borderId="0" applyFont="1" fontId="26" applyFill="1">
      <alignment vertical="bottom" horizontal="center" wrapText="1"/>
    </xf>
    <xf applyAlignment="1" fillId="50" xfId="0" numFmtId="0" borderId="0" fontId="0" applyFill="1">
      <alignment vertical="bottom" horizontal="general" wrapText="1"/>
    </xf>
    <xf applyAlignment="1" fillId="51" xfId="0" numFmtId="43" borderId="0" fontId="0" applyNumberFormat="1" applyFill="1">
      <alignment vertical="bottom" horizontal="general" wrapText="1"/>
    </xf>
    <xf applyAlignment="1" fillId="52" xfId="0" numFmtId="4" borderId="0" applyFont="1" fontId="27" applyNumberFormat="1" applyFill="1">
      <alignment vertical="bottom" horizontal="general" wrapText="1"/>
    </xf>
    <xf applyBorder="1" applyAlignment="1" fillId="53" xfId="0" numFmtId="4" borderId="14" applyFont="1" fontId="28" applyNumberFormat="1" applyFill="1">
      <alignment vertical="bottom" horizontal="general" wrapText="1"/>
    </xf>
    <xf applyAlignment="1" fillId="0" xfId="0" numFmtId="170" borderId="0" fontId="0" applyNumberFormat="1">
      <alignment vertical="bottom" horizontal="general" wrapText="1"/>
    </xf>
    <xf applyAlignment="1" fillId="54" xfId="0" numFmtId="171" borderId="0" fontId="0" applyNumberFormat="1" applyFill="1">
      <alignment vertical="bottom" horizontal="general" wrapText="1"/>
    </xf>
    <xf applyAlignment="1" fillId="55" xfId="0" numFmtId="43" borderId="0" fontId="0" applyNumberFormat="1" applyFill="1">
      <alignment vertical="bottom" horizontal="general" wrapText="1"/>
    </xf>
    <xf applyBorder="1" applyAlignment="1" fillId="56" xfId="0" numFmtId="4" borderId="15" applyFont="1" fontId="29" applyNumberFormat="1" applyFill="1">
      <alignment vertical="bottom" horizontal="general" wrapText="1"/>
    </xf>
    <xf applyAlignment="1" fillId="57" xfId="0" numFmtId="0" borderId="0" applyFont="1" fontId="30" applyFill="1">
      <alignment vertical="bottom" horizontal="general" wrapText="1"/>
    </xf>
    <xf applyAlignment="1" fillId="58" xfId="0" numFmtId="4" borderId="0" applyFont="1" fontId="31" applyNumberFormat="1" applyFill="1">
      <alignment vertical="bottom" horizontal="general" wrapText="1"/>
    </xf>
    <xf applyBorder="1" applyAlignment="1" fillId="59" xfId="0" numFmtId="0" borderId="16" applyFont="1" fontId="32" applyFill="1">
      <alignment vertical="bottom" horizontal="general" wrapText="1"/>
    </xf>
    <xf applyAlignment="1" fillId="60" xfId="0" numFmtId="172" borderId="0" fontId="0" applyNumberFormat="1" applyFill="1">
      <alignment vertical="bottom" horizontal="general" wrapText="1"/>
    </xf>
    <xf applyBorder="1" applyAlignment="1" fillId="0" xfId="0" numFmtId="0" borderId="17" fontId="0">
      <alignment vertical="bottom" horizontal="general" wrapText="1"/>
    </xf>
    <xf applyAlignment="1" fillId="61" xfId="0" numFmtId="43" borderId="0" applyFont="1" fontId="33" applyNumberFormat="1" applyFill="1">
      <alignment vertical="bottom" horizontal="general" wrapText="1"/>
    </xf>
    <xf applyAlignment="1" fillId="62" xfId="0" numFmtId="173" borderId="0" fontId="0" applyNumberFormat="1" applyFill="1">
      <alignment vertical="bottom" horizontal="general" wrapText="1"/>
    </xf>
    <xf applyAlignment="1" fillId="0" xfId="0" numFmtId="3" borderId="0" fontId="0" applyNumberFormat="1">
      <alignment vertical="bottom" horizontal="general" wrapText="1"/>
    </xf>
    <xf applyBorder="1" applyAlignment="1" fillId="63" xfId="0" numFmtId="4" borderId="18" fontId="0" applyNumberFormat="1" applyFill="1">
      <alignment vertical="bottom" horizontal="general" wrapText="1"/>
    </xf>
    <xf applyAlignment="1" fillId="64" xfId="0" numFmtId="4" borderId="0" applyFont="1" fontId="34" applyNumberFormat="1" applyFill="1">
      <alignment vertical="bottom" horizontal="center" wrapText="1"/>
    </xf>
    <xf applyAlignment="1" fillId="65" xfId="0" numFmtId="4" borderId="0" applyFont="1" fontId="35" applyNumberFormat="1" applyFill="1">
      <alignment vertical="bottom" horizontal="center" wrapText="1"/>
    </xf>
    <xf applyBorder="1" applyAlignment="1" fillId="66" xfId="0" numFmtId="0" borderId="19" applyFont="1" fontId="36" applyFill="1">
      <alignment vertical="bottom" horizontal="general" wrapText="1"/>
    </xf>
    <xf applyAlignment="1" fillId="67" xfId="0" numFmtId="0" borderId="0" applyFont="1" fontId="37" applyFill="1">
      <alignment vertical="bottom" horizontal="general" wrapText="1"/>
    </xf>
    <xf applyAlignment="1" fillId="68" xfId="0" numFmtId="174" borderId="0" applyFont="1" fontId="38" applyNumberFormat="1" applyFill="1">
      <alignment vertical="bottom" horizontal="general" wrapText="1"/>
    </xf>
    <xf applyAlignment="1" fillId="69" xfId="0" numFmtId="0" borderId="0" fontId="0" applyFill="1">
      <alignment vertical="bottom" horizontal="general" wrapText="1"/>
    </xf>
    <xf applyAlignment="1" fillId="70" xfId="0" numFmtId="0" borderId="0" applyFont="1" fontId="39" applyFill="1">
      <alignment vertical="bottom" horizontal="general" wrapText="1"/>
    </xf>
    <xf applyAlignment="1" fillId="71" xfId="0" numFmtId="43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pivotCache/pivotCacheDefinition1.xml" Type="http://schemas.openxmlformats.org/officeDocument/2006/relationships/pivotCacheDefinition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styles.xml" Type="http://schemas.openxmlformats.org/officeDocument/2006/relationships/styles" Id="rId1"/><Relationship Target="worksheets/sheet11.xml" Type="http://schemas.openxmlformats.org/officeDocument/2006/relationships/worksheet" Id="rId13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C1:AL1237" sheet="Hunting"/>
  </cacheSource>
  <cacheFields>
    <cacheField name="Date">
      <sharedItems containsBlank="1" containsString="0" containsDate="1">
        <d v="2013-010-11T00:00:00Z"/>
        <d v="2013-010-12T00:00:00Z"/>
        <d v="2013-010-13T00:00:00Z"/>
        <d v="2013-010-14T00:00:00Z"/>
        <d v="2013-010-15T00:00:00Z"/>
        <d v="2013-010-16T00:00:00Z"/>
        <d v="2013-010-17T00:00:00Z"/>
        <d v="2013-010-18T00:00:00Z"/>
        <d v="2013-010-19T00:00:00Z"/>
        <d v="2013-010-20T00:00:00Z"/>
        <d v="2013-010-21T00:00:00Z"/>
        <d v="2013-010-22T00:00:00Z"/>
        <d v="2013-010-23T00:00:00Z"/>
        <d v="2013-010-24T00:00:00Z"/>
        <d v="2013-010-25T00:00:00Z"/>
        <d v="2013-010-26T00:00:00Z"/>
        <d v="2013-010-27T00:00:00Z"/>
        <d v="2013-010-28T00:00:00Z"/>
        <d v="2013-010-29T00:00:00Z"/>
        <d v="2013-010-30T00:00:00Z"/>
        <d v="2013-010-31T00:00:00Z"/>
        <d v="2013-11-01T00:00:00Z"/>
        <d v="2013-11-02T00:00:00Z"/>
        <d v="2013-11-03T00:00:00Z"/>
        <d v="2013-11-04T00:00:00Z"/>
        <d v="2013-11-05T00:00:00Z"/>
        <d v="2013-11-06T00:00:00Z"/>
        <d v="2013-11-07T00:00:00Z"/>
        <d v="2013-11-08T00:00:00Z"/>
        <d v="2013-11-09T00:00:00Z"/>
        <d v="2013-11-10T00:00:00Z"/>
        <d v="2013-11-11T00:00:00Z"/>
        <d v="2013-11-12T00:00:00Z"/>
        <d v="2013-11-13T00:00:00Z"/>
        <d v="2013-11-14T00:00:00Z"/>
        <d v="2013-11-15T00:00:00Z"/>
        <d v="2013-11-16T00:00:00Z"/>
        <d v="2013-11-17T00:00:00Z"/>
        <d v="2013-11-18T00:00:00Z"/>
        <d v="2013-11-19T00:00:00Z"/>
        <d v="2013-11-21T00:00:00Z"/>
        <d v="2013-11-22T00:00:00Z"/>
        <d v="2013-11-23T00:00:00Z"/>
        <d v="2013-11-24T00:00:00Z"/>
        <d v="2013-11-25T00:00:00Z"/>
        <d v="2013-11-26T00:00:00Z"/>
        <d v="2013-11-27T00:00:00Z"/>
        <d v="2013-11-28T00:00:00Z"/>
        <d v="2013-11-29T00:00:00Z"/>
        <d v="2013-11-30T00:00:00Z"/>
        <d v="2013-12-01T00:00:00Z"/>
        <d v="2013-12-02T00:00:00Z"/>
        <d v="2013-12-03T00:00:00Z"/>
        <d v="2013-12-04T00:00:00Z"/>
        <d v="2013-12-05T00:00:00Z"/>
        <d v="2013-12-06T00:00:00Z"/>
        <d v="2013-12-07T00:00:00Z"/>
        <d v="2013-12-08T00:00:00Z"/>
        <d v="2013-12-09T00:00:00Z"/>
        <d v="2013-12-10T00:00:00Z"/>
        <d v="2013-12-11T00:00:00Z"/>
        <d v="2013-12-12T00:00:00Z"/>
        <d v="2013-12-13T00:00:00Z"/>
        <d v="2013-12-14T00:00:00Z"/>
        <d v="2013-12-15T00:00:00Z"/>
        <d v="2013-12-16T00:00:00Z"/>
        <d v="2013-12-17T00:00:00Z"/>
        <d v="2013-12-18T00:00:00Z"/>
        <d v="2013-12-19T00:00:00Z"/>
        <d v="2013-12-20T00:00:00Z"/>
        <d v="2013-12-21T00:00:00Z"/>
        <d v="2013-12-22T00:00:00Z"/>
        <d v="2013-12-23T00:00:00Z"/>
        <d v="2013-12-25T00:00:00Z"/>
        <d v="2013-12-26T00:00:00Z"/>
        <d v="2013-12-27T00:00:00Z"/>
        <d v="2013-12-28T00:00:00Z"/>
        <d v="2013-12-29T00:00:00Z"/>
        <d v="2013-12-30T00:00:00Z"/>
        <d v="2013-12-31T00:00:00Z"/>
        <d v="2014-01-01T00:00:00Z"/>
        <d v="2014-01-02T00:00:00Z"/>
        <d v="2014-01-03T00:00:00Z"/>
        <d v="2014-01-04T00:00:00Z"/>
        <d v="2014-01-05T00:00:00Z"/>
        <d v="2014-01-06T00:00:00Z"/>
        <d v="2014-01-07T00:00:00Z"/>
        <d v="2014-01-08T00:00:00Z"/>
        <d v="2014-01-09T00:00:00Z"/>
        <d v="2014-01-10T00:00:00Z"/>
        <d v="2014-01-11T00:00:00Z"/>
        <d v="2014-01-12T00:00:00Z"/>
        <m/>
      </sharedItems>
    </cacheField>
    <cacheField name="Time">
      <sharedItems containsBlank="1" containsString="0" containsMixedTypes="1" containsDate="1">
        <d v="2013-010-11T13:50:00Z"/>
        <d v="2013-010-11T17:14:00Z"/>
        <d v="2013-010-11T19:41:00Z"/>
        <d v="2013-010-11T21:40:00Z"/>
        <d v="2013-010-11T22:30:00Z"/>
        <d v="2013-010-12T14:47:00Z"/>
        <d v="2013-010-12T15:30:00Z"/>
        <d v="2013-010-12T15:45:00Z"/>
        <d v="2013-010-12T16:55:00Z"/>
        <d v="2013-010-12T19:15:00Z"/>
        <d v="2013-010-12T22:06:00Z"/>
        <d v="2013-010-12T23:15:00Z"/>
        <d v="2013-010-13T00:18:00Z"/>
        <d v="2013-010-13T11:30:00Z"/>
        <d v="2013-010-13T12:00:00Z"/>
        <d v="2013-010-13T13:44:00Z"/>
        <d v="2013-010-13T14:00:00Z"/>
        <d v="2013-010-13T14:23:00Z"/>
        <d v="2013-010-13T16:45:00Z"/>
        <d v="2013-010-13T19:29:00Z"/>
        <d v="2013-010-13T20:00:00Z"/>
        <d v="2013-010-13T20:36:00Z"/>
        <d v="2013-010-13T22:14:00Z"/>
        <d v="2013-010-13T23:00:00Z"/>
        <d v="2013-010-14T17:15:00Z"/>
        <d v="2013-010-14T22:02:00Z"/>
        <d v="2013-010-14T22:30:00Z"/>
        <d v="2013-010-14T23:10:00Z"/>
        <d v="2013-010-14T23:51:00Z"/>
        <d v="2013-010-15T18:11:00Z"/>
        <d v="2013-010-15T21:21:00Z"/>
        <d v="2013-010-15T22:15:00Z"/>
        <d v="2013-010-15T22:45:00Z"/>
        <d v="2013-010-16T00:00:00Z"/>
        <d v="2013-010-16T16:00:00Z"/>
        <d v="2013-010-16T22:00:00Z"/>
        <d v="2013-010-17T19:00:00Z"/>
        <d v="2013-010-18T18:00:00Z"/>
        <d v="2013-010-18T22:30:00Z"/>
        <d v="2013-010-19T12:00:00Z"/>
        <d v="2013-010-19T15:00:00Z"/>
        <d v="2013-010-19T15:30:00Z"/>
        <d v="2013-010-19T17:45:00Z"/>
        <d v="2013-010-19T21:45:00Z"/>
        <d v="2013-010-20T00:05:00Z"/>
        <d v="2013-010-20T11:55:00Z"/>
        <d v="2013-010-20T14:59:00Z"/>
        <d v="2013-010-20T17:15:00Z"/>
        <d v="2013-010-20T22:04:00Z"/>
        <d v="2013-010-21T00:10:00Z"/>
        <d v="2013-010-21T09:13:00Z"/>
        <d v="2013-010-21T14:45:00Z"/>
        <d v="2013-010-21T17:00:00Z"/>
        <d v="2013-010-21T22:00:00Z"/>
        <d v="2013-010-21T23:00:00Z"/>
        <d v="2013-010-22T19:00:00Z"/>
        <d v="2013-010-23T10:30:00Z"/>
        <n v="0.673611111111111"/>
        <n v="0.927083333333333"/>
        <n v="0.75"/>
        <n v="0.805555555555556"/>
        <d v="1899-12-30T19:30:00Z"/>
        <d v="1899-12-30T20:45:00Z"/>
        <n v="0.885416666666667"/>
        <n v="0.958333333333333"/>
        <d v="1899-12-30T09:30:00Z"/>
        <n v="0.666666666666667"/>
        <n v="0.708333333333333"/>
        <n v="0.916666666666667"/>
        <n v="0.979166666666667"/>
        <d v="1899-12-30T00:30:00Z"/>
        <n v="0.458333333333333"/>
        <n v="0.5"/>
        <n v="0.583333333333333"/>
        <n v="0.645833333333333"/>
        <d v="1899-12-30T17:25:00Z"/>
        <d v="1899-12-30T17:45:00Z"/>
        <d v="1899-12-30T19:25:00Z"/>
        <d v="1899-12-30T20:30:00Z"/>
        <d v="1899-12-30T21:00:00Z"/>
        <d v="1899-12-30T21:50:00Z"/>
        <n v="0.999305555555556"/>
        <n v="0.541666666666667"/>
        <d v="1899-12-30T16:45:00Z"/>
        <d v="1899-12-30T20:00:00Z"/>
        <d v="1899-12-30T16:30:00Z"/>
        <n v="0.90625"/>
        <n v="0.447916666666667"/>
        <n v="0.895833333333333"/>
        <n v="0.572916666666667"/>
        <n v="0.625"/>
        <n v="0.65625"/>
        <n v="0.822916666666667"/>
        <d v="1899-12-30T23:25:00Z"/>
        <n v="0.472222222222222"/>
        <n v="0.496527777777778"/>
        <n v="0.534722222222222"/>
        <n v="0.545138888888889"/>
        <n v="0.604166666666667"/>
        <n v="0.614583333333333"/>
        <n v="0.684027777777778"/>
        <n v="0.791666666666667"/>
        <n v="0.9375"/>
        <n v="0.763888888888889"/>
        <n v="0.913194444444444"/>
        <n v="0.0125"/>
        <n v="0.5625"/>
        <n v="0.940972222222222"/>
        <n v="0.733333333333333"/>
        <n v="0.797916666666667"/>
        <n v="0.364583333333333"/>
        <n v="0.378472222222222"/>
        <n v="0.444444444444444"/>
        <n v="0.46875"/>
        <n v="0.520833333333333"/>
        <n v="0.71875"/>
        <n v="0.760416666666667"/>
        <n v="0.802083333333333"/>
        <n v="0.840972222222222"/>
        <n v="0.385416666666667"/>
        <n v="0.409722222222222"/>
        <n v="0.451388888888889"/>
        <n v="0.510416666666667"/>
        <n v="0.0416666666666667"/>
        <n v="0.96875"/>
        <n v="0.552083333333333"/>
        <n v="0.78125"/>
        <n v="0.770833333333333"/>
        <n v="0.555555555555556"/>
        <n v="0.576388888888889"/>
        <n v="0.631944444444444"/>
        <n v="0.677083333333333"/>
        <n v="0.729166666666667"/>
        <n v="0.947916666666667"/>
        <n v="0.989583333333333"/>
        <n v="0.993055555555556"/>
        <n v="0.4375"/>
        <n v="0.736111111111111"/>
        <n v="0.40625"/>
        <n v="0.944444444444444"/>
        <n v="0.745138888888889"/>
        <n v="0.840277777777778"/>
        <n v="0.996527777777778"/>
        <n v="0.528472222222222"/>
        <n v="0.777777777777778"/>
        <n v="0.84375"/>
        <n v="0.9875"/>
        <n v="0.479166666666667"/>
        <n v="0.538194444444444"/>
        <n v="0.621527777777778"/>
        <n v="0.670138888888889"/>
        <n v="0.847222222222222"/>
        <n v="0.868055555555556"/>
        <n v="0.416666666666667"/>
        <n v="0.948611111111111"/>
        <n v="0.0625"/>
        <n v="0.0833333333333333"/>
        <n v="0.0"/>
        <n v="0.788194444444444"/>
        <n v="0.00347222222222222"/>
        <n v="0.590277777777778"/>
        <n v="0.892361111111111"/>
        <n v="0.746527777777778"/>
        <n v="0.204861111111111"/>
        <n v="0.711805555555556"/>
        <n v="0.972222222222222"/>
        <n v="0.0173611111111111"/>
        <n v="0.125"/>
        <n v="0.836805555555556"/>
        <n v="0.53125"/>
        <n v="0.826388888888889"/>
        <n v="0.0104166666666667"/>
        <n v="0.09375"/>
        <n v="0.588888888888889"/>
        <n v="0.743055555555556"/>
        <n v="0.0451388888888889"/>
        <n v="0.100694444444444"/>
        <n v="0.635416666666667"/>
        <n v="0.815972222222222"/>
        <n v="0.881944444444444"/>
        <n v="0.0520833333333333"/>
        <n v="0.135416666666667"/>
        <n v="0.208333333333333"/>
        <n v="0.559027777777778"/>
        <n v="0.798611111111111"/>
        <n v="0.829861111111111"/>
        <n v="0.680555555555556"/>
        <n v="0.638888888888889"/>
        <n v="0.878472222222222"/>
        <n v="0.756944444444444"/>
        <n v="0.918055555555556"/>
        <n v="0.819444444444444"/>
        <m/>
      </sharedItems>
    </cacheField>
    <cacheField name="Ammo">
      <sharedItems containsNumber="1" containsBlank="1" containsString="0">
        <n v="200.0"/>
        <n v="32.2"/>
        <n v="10.35"/>
        <n v="150.0"/>
        <n v="50.6"/>
        <n v="87.36"/>
        <n v="41.4"/>
        <n v="576.1"/>
        <n v="175.0"/>
        <n v="744.0"/>
        <n v="27.45"/>
        <n v="16.08"/>
        <n v="188.1"/>
        <n v="130.0"/>
        <n v="99.43"/>
        <n v="250.0"/>
        <n v="115.08"/>
        <n v="75.6"/>
        <n v="67.2"/>
        <n v="9.17"/>
        <n v="50.0"/>
        <n v="267.0"/>
        <n v="274.0"/>
        <n v="450.0"/>
        <n v="3.85"/>
        <n v="20.274"/>
        <n v="112.7"/>
        <n v="45.6"/>
        <n v="300.0"/>
        <n v="11.9"/>
        <n v="650.0"/>
        <n v="41.58"/>
        <n v="41.48"/>
        <n v="9.52"/>
        <n v="19.72"/>
        <n v="15.41"/>
        <n v="25.38"/>
        <n v="75.2"/>
        <n v="148.35"/>
        <n v="21.35"/>
        <n v="36.27"/>
        <n v="62.91"/>
        <n v="15.93"/>
        <n v="393.4"/>
        <n v="45.64"/>
        <n v="18.91"/>
        <n v="391.2"/>
        <n v="350.0"/>
        <n v="577.6"/>
        <n v="8.54"/>
        <n v="78.12"/>
        <n v="27.56"/>
        <n v="57.33"/>
        <n v="39.04"/>
        <n v="2.17"/>
        <n v="125.35"/>
        <n v="3.42"/>
        <n v="8.82"/>
        <n v="37.1"/>
        <n v="40.8"/>
        <n v="14.911"/>
        <n v="14.98"/>
        <n v="14.56"/>
        <n v="40.26"/>
        <n v="9.76"/>
        <n v="153.9"/>
        <n v="55.1"/>
        <n v="31.5"/>
        <n v="86.25"/>
        <n v="5.58"/>
        <n v="48.19"/>
        <n v="72.8"/>
        <n v="37.95"/>
        <n v="13.98"/>
        <n v="21.42"/>
        <n v="25.11"/>
        <n v="600.0"/>
        <n v="13.42"/>
        <n v="0.93"/>
        <n v="16.61"/>
        <n v="82.6"/>
        <n v="11.59"/>
        <n v="9.12"/>
        <n v="9.45"/>
        <n v="2.97"/>
        <n v="155.25"/>
        <n v="6.82"/>
        <n v="2.1"/>
        <n v="46.428"/>
        <n v="500.0"/>
        <n v="15.86"/>
        <n v="5.27"/>
        <n v="1.38"/>
        <n v="9.2"/>
        <n v="41.8"/>
        <n v="108.1"/>
        <n v="9.18"/>
        <n v="4.41"/>
        <n v="5.49"/>
        <n v="378.0"/>
        <n v="9.87"/>
        <n v="273.0"/>
        <n v="24.82"/>
        <n v="19.32"/>
        <n v="744.8"/>
        <n v="400.0"/>
        <n v="507.0"/>
        <n v="700.0"/>
        <n v="408.8"/>
        <n v="105.8"/>
        <n v="26.04"/>
        <n v="35.99"/>
        <n v="89.68"/>
        <n v="130.76"/>
        <n v="427.5"/>
        <n v="27.3"/>
        <n v="302.1"/>
        <n v="59.17"/>
        <n v="22.8"/>
        <n v="7.44"/>
        <n v="15.25"/>
        <n v="143.5"/>
        <n v="34.79"/>
        <n v="25.06"/>
        <n v="14.42"/>
        <n v="4.34"/>
        <n v="12.0"/>
        <n v="247.0"/>
        <n v="38.0"/>
        <n v="58.59"/>
        <n v="607.0"/>
        <n v="183.0"/>
        <n v="312.4"/>
        <n v="525.0"/>
        <n v="33.44"/>
        <n v="33.53"/>
        <n v="22.26"/>
        <n v="133.4"/>
        <n v="96.48"/>
        <n v="228.0"/>
        <n v="83.39"/>
        <n v="31.08"/>
        <n v="392.23"/>
        <n v="98.82"/>
        <n v="586.21"/>
        <n v="29.12"/>
        <n v="152.0"/>
        <n v="129.2"/>
        <n v="218.5"/>
        <n v="0.0"/>
        <n v="172.9"/>
        <n v="21.84"/>
        <n v="1050.0"/>
        <n v="307.0"/>
        <n v="145.7"/>
        <n v="27.93"/>
        <n v="868.7"/>
        <n v="489.6"/>
        <n v="71.68"/>
        <n v="775.32"/>
        <n v="151.06"/>
        <n v="12.6"/>
        <n v="34.41"/>
        <n v="48.23"/>
        <n v="1328.1"/>
        <n v="191.9"/>
        <n v="333.7"/>
        <n v="26.6"/>
        <n v="68.04"/>
        <n v="325.0"/>
        <n v="1000.0"/>
        <n v="750.0"/>
        <n v="61.06"/>
        <n v="68.16"/>
        <n v="12.1"/>
        <n v="10.43"/>
        <n v="78.54"/>
        <n v="1300.0"/>
        <n v="31.72"/>
        <n v="38.78"/>
        <n v="1178.6"/>
        <n v="10.78"/>
        <n v="42.47"/>
        <n v="246.37"/>
        <n v="550.0"/>
        <n v="34.8"/>
        <n v="235.01"/>
        <n v="137.86"/>
        <n v="49.84"/>
        <n v="581.4"/>
        <n v="111.3"/>
        <n v="65.49"/>
        <n v="27.04"/>
        <n v="29.82"/>
        <n v="6.93"/>
        <n v="23.79"/>
        <n v="32.67"/>
        <n v="14.7"/>
        <n v="1341.19"/>
        <n v="235.46"/>
        <n v="64.17"/>
        <n v="97.16"/>
        <n v="26.0"/>
        <n v="323.0"/>
        <n v="115.9"/>
        <n v="481.0"/>
        <n v="153.72"/>
        <n v="32.86"/>
        <n v="136.29"/>
        <n v="1041.57"/>
        <n v="1838.4"/>
        <n v="1242.5"/>
        <n v="1168.8"/>
        <n v="231.8"/>
        <n v="169.05"/>
        <n v="109.8"/>
        <n v="570.0"/>
        <n v="590.0"/>
        <n v="689.41"/>
        <n v="150.06"/>
        <n v="50.89"/>
        <n v="758.99"/>
        <n v="236.5"/>
        <n v="123.93"/>
        <n v="794.0"/>
        <n v="46.97"/>
        <n v="67.9"/>
        <n v="9.23"/>
        <n v="640.0"/>
        <n v="78.08"/>
        <n v="51.15"/>
        <n v="74.42"/>
        <n v="72.96"/>
        <n v="595.0"/>
        <n v="18.6"/>
        <n v="545.0"/>
        <n v="89.6"/>
        <n v="800.0"/>
        <n v="540.0"/>
        <n v="490.0"/>
        <n v="205.0"/>
        <n v="299.0"/>
        <n v="408.0"/>
        <n v="75.0"/>
        <n v="577.23"/>
        <n v="27.9"/>
        <n v="285.75"/>
        <n v="293.93"/>
        <n v="375.0"/>
        <n v="1600.0"/>
        <n v="203.77"/>
        <n v="3107.0"/>
        <n v="1365.91"/>
        <n v="2000.0"/>
        <n v="2100.0"/>
        <n v="100.0"/>
        <n v="1500.0"/>
        <n v="900.0"/>
        <n v="2500.0"/>
        <n v="1750.0"/>
        <n v="3200.0"/>
        <n v="1150.0"/>
        <n v="5400.0"/>
        <n v="1100.0"/>
        <n v="49.2"/>
        <m/>
      </sharedItems>
    </cacheField>
    <cacheField name="Consumables">
      <sharedItems containsNumber="1" containsBlank="1" containsString="0">
        <m/>
        <n v="0.05"/>
        <n v="10.05"/>
        <n v="0.15"/>
        <n v="0.1"/>
        <n v="153.01"/>
        <n v="152.59"/>
        <n v="0.0"/>
      </sharedItems>
    </cacheField>
    <cacheField name="Weapon Decay">
      <sharedItems containsNumber="1" containsBlank="1" containsMixedTypes="1">
        <s v="NA"/>
        <n v="32.0"/>
        <n v="192.93"/>
        <n v="28.8200000000001"/>
        <n v="100.96"/>
        <n v="54.38"/>
        <n v="70.11"/>
        <n v="182.16"/>
        <n v="40.78"/>
        <n v="74.51"/>
        <n v="279.85"/>
        <n v="247.64"/>
        <n v="82.06"/>
        <n v="195.18"/>
        <n v="74.72"/>
        <n v="37.29"/>
        <n v="281.0"/>
        <n v="283.25"/>
        <n v="184.92"/>
        <n v="48.93"/>
        <n v="36.16"/>
        <n v="37.25"/>
        <n v="293.28"/>
        <n v="78.02"/>
        <n v="107.2"/>
        <n v="357.89"/>
        <n v="62.93"/>
        <n v="48.51"/>
        <n v="68.81"/>
        <n v="75.69"/>
        <n v="93.6"/>
        <n v="35.56"/>
        <n v="11.56"/>
        <n v="181.89"/>
        <n v="114.83"/>
        <n v="41.56"/>
        <n v="318.9"/>
        <n v="184.38"/>
        <n v="119.59"/>
        <n v="424.77"/>
        <n v="78.24"/>
        <n v="103.22"/>
        <n v="104.79"/>
        <n v="78.63"/>
        <n v="79.76"/>
        <n v="110.81"/>
        <n v="111.89"/>
        <n v="114.6"/>
        <n v="144.26"/>
        <n v="63.0"/>
        <n v="268.98"/>
        <n v="36.4"/>
        <n v="12.17"/>
        <n v="79.7199999999999"/>
        <n v="74.23"/>
        <n v="363.46"/>
        <n v="89.13"/>
        <n v="97.52"/>
        <n v="96.0"/>
        <n v="800.77"/>
        <n v="97.0"/>
        <n v="64.25"/>
        <n v="92.35"/>
        <n v="35.0"/>
        <n v="95.96"/>
        <n v="78.13"/>
        <n v="96.33"/>
        <n v="158.04"/>
        <n v="42.0699999999999"/>
        <n v="98.87"/>
        <n v="93.3700000000001"/>
        <n v="125.46"/>
        <n v="85.11"/>
        <n v="154.56"/>
        <n v="93.24"/>
        <n v="93.95"/>
        <n v="33.24"/>
        <n v="99.02"/>
        <n v="37.53"/>
        <n v="55.04"/>
        <n v="17.0"/>
        <n v="20.0"/>
        <n v="6.0"/>
        <n v="64.86"/>
        <n v="51.92"/>
        <n v="60.95"/>
        <n v="92.0699999999999"/>
        <n v="43.18"/>
        <n v="94.36"/>
        <n v="90.83"/>
        <n v="104.95"/>
        <n v="87.58"/>
        <n v="103.43"/>
        <n v="42.0"/>
        <n v="35.7099999999999"/>
        <n v="20.0400000000001"/>
        <n v="26.74"/>
        <n v="105.08"/>
        <n v="37.76"/>
        <n v="32.9499999999999"/>
        <n v="47.08"/>
        <n v="110.96"/>
        <n v="50.41"/>
        <n v="110.31"/>
        <n v="76.4700000000001"/>
        <n v="98.47"/>
        <n v="107.87"/>
        <n v="17.99"/>
        <n v="111.42"/>
        <n v="107.56"/>
        <n v="32.59"/>
        <n v="19.38"/>
        <n v="11.3"/>
        <n v="49.66"/>
        <n v="35.0999999999999"/>
        <n v="107.61"/>
        <n v="108.61"/>
        <n v="107.24"/>
        <n v="109.63"/>
        <n v="66.96"/>
        <n v="63.76"/>
        <n v="68.05"/>
        <n v="107.69"/>
        <n v="107.02"/>
        <n v="109.06"/>
        <n v="110.53"/>
        <n v="110.0"/>
        <n v="109.19"/>
        <n v="110.68"/>
        <n v="107.3"/>
        <n v="11.01"/>
        <n v="19.1500000000001"/>
        <n v="52.1999999999999"/>
        <n v="51.1800000000001"/>
        <n v="56.2199999999999"/>
        <n v="55.08"/>
        <n v="55.02"/>
        <n v="104.96"/>
        <n v="100.5"/>
        <n v="56.2"/>
        <n v="62.9699999999999"/>
        <n v="120.8"/>
        <n v="51.88"/>
        <n v="58.5500000000001"/>
        <n v="64.8"/>
        <n v="56.88"/>
        <n v="59.72"/>
        <n v="63.1100000000001"/>
        <n v="45.51"/>
        <n v="42.07"/>
        <n v="64.16"/>
        <n v="65.17"/>
        <n v="67.6"/>
        <m/>
      </sharedItems>
    </cacheField>
    <cacheField name="Attachment Decay">
      <sharedItems containsNumber="1" containsBlank="1" containsMixedTypes="1">
        <s v="NA"/>
        <n v="33.83"/>
        <n v="206.0"/>
        <n v="30.33"/>
        <n v="0.0"/>
        <n v="56.36"/>
        <n v="53.17"/>
        <n v="63.68"/>
        <n v="143.96"/>
        <n v="49.19"/>
        <n v="28.06"/>
        <n v="0.47"/>
        <n v="1.17"/>
        <n v="3.24"/>
        <n v="274.17"/>
        <n v="37.97"/>
        <n v="26.5"/>
        <n v="27.14"/>
        <n v="1.97"/>
        <n v="60.75"/>
        <n v="30.77"/>
        <n v="54.99"/>
        <n v="43.76"/>
        <n v="54.54"/>
        <n v="137.1"/>
        <n v="32.27"/>
        <n v="16.91"/>
        <n v="1.91"/>
        <n v="92.96"/>
        <n v="32.52"/>
        <n v="263.62"/>
        <n v="185.35"/>
        <n v="121.0"/>
        <n v="400.32"/>
        <n v="61.48"/>
        <n v="97.73"/>
        <n v="99.42"/>
        <n v="61.99"/>
        <n v="62.31"/>
        <n v="100.63"/>
        <n v="101.59"/>
        <n v="104.65"/>
        <n v="113.09"/>
        <n v="54.16"/>
        <n v="219.63"/>
        <n v="46.35"/>
        <n v="10.16"/>
        <n v="63.91"/>
        <n v="62.22"/>
        <n v="61.84"/>
        <n v="71.7"/>
        <n v="56.18"/>
        <n v="521.49"/>
        <n v="67.39"/>
        <n v="52.79"/>
        <n v="62.51"/>
        <n v="31.25"/>
        <n v="64.65"/>
        <n v="53.04"/>
        <n v="65.04"/>
        <n v="1.33"/>
        <n v="37.23"/>
        <n v="66.86"/>
        <n v="65.42"/>
        <n v="84.67"/>
        <n v="57.45"/>
        <n v="63.11"/>
        <n v="58.21"/>
        <n v="56.0"/>
        <n v="69.76"/>
        <n v="25.36"/>
        <n v="45.0"/>
        <n v="17.09"/>
        <n v="28.81"/>
        <n v="9.25"/>
        <n v="43.84"/>
        <n v="35.08"/>
        <n v="41.38"/>
        <n v="12.72"/>
        <n v="21.59"/>
        <n v="72.62"/>
        <n v="78.83"/>
        <n v="79.37"/>
        <n v="67.49"/>
        <n v="78.28"/>
        <n v="43.09"/>
        <n v="27.57"/>
        <n v="17.04"/>
        <n v="20.49"/>
        <n v="81.25"/>
        <n v="45.24"/>
        <n v="36.06"/>
        <n v="85.79"/>
        <n v="38.85"/>
        <n v="85.26"/>
        <n v="59.13"/>
        <n v="83.37"/>
        <n v="86.15"/>
        <n v="85.29"/>
        <n v="83.17"/>
        <n v="38.95"/>
        <n v="14.95"/>
        <n v="7.45"/>
        <n v="49.92"/>
        <n v="46.14"/>
        <n v="83.96"/>
        <n v="83.23"/>
        <n v="84.76"/>
        <n v="51.78"/>
        <n v="38.75"/>
        <n v="38.71"/>
        <n v="83.27"/>
        <n v="83.56"/>
        <n v="84.3"/>
        <n v="85.46"/>
        <n v="85.06"/>
        <n v="84.43"/>
        <n v="85.36"/>
        <n v="82.9"/>
        <n v="8.51"/>
        <n v="19.45"/>
        <n v="34.77"/>
        <n v="33.38"/>
        <n v="33.91"/>
        <n v="34.14"/>
        <n v="38.78"/>
        <n v="81.11"/>
        <n v="77.7"/>
        <n v="37.75"/>
        <n v="40.97"/>
        <n v="93.41"/>
        <n v="40.11"/>
        <n v="41.47"/>
        <n v="35.96"/>
        <n v="61.52"/>
        <n v="37.98"/>
        <n v="39.78"/>
        <n v="23.27"/>
        <n v="37.82"/>
        <n v="34.24"/>
        <m/>
      </sharedItems>
    </cacheField>
    <cacheField name="Armor Decay">
      <sharedItems containsNumber="1" containsBlank="1" containsMixedTypes="1">
        <s v="NA"/>
        <n v="5.87"/>
        <n v="126.38"/>
        <n v="8.62"/>
        <n v="2.93"/>
        <n v="27.05"/>
        <n v="51.09"/>
        <n v="12.69"/>
        <n v="0.69"/>
        <n v="0.95"/>
        <n v="10.96"/>
        <n v="9.34"/>
        <n v="46.96"/>
        <n v="122.82"/>
        <n v="48.96"/>
        <n v="19.67"/>
        <n v="12.22"/>
        <n v="7.35"/>
        <n v="12.73"/>
        <n v="4.9"/>
        <n v="38.23"/>
        <n v="23.35"/>
        <n v="20.6"/>
        <n v="19.75"/>
        <n v="56.35"/>
        <n v="17.82"/>
        <n v="17.05"/>
        <n v="55.83"/>
        <n v="32.26"/>
        <n v="2.22"/>
        <n v="50.04"/>
        <n v="72.91"/>
        <n v="12.11"/>
        <n v="6.69"/>
        <n v="6.62"/>
        <n v="36.55"/>
        <n v="29.16"/>
        <n v="132.95"/>
        <n v="122.17"/>
        <n v="62.48"/>
        <n v="184.2"/>
        <n v="30.35"/>
        <n v="26.52"/>
        <n v="35.95"/>
        <n v="28.86"/>
        <n v="29.88"/>
        <n v="32.63"/>
        <n v="28.81"/>
        <n v="40.3"/>
        <n v="63.97"/>
        <n v="33.98"/>
        <n v="106.64"/>
        <n v="6.2"/>
        <n v="8.13"/>
        <n v="20.09"/>
        <n v="28.17"/>
        <n v="22.04"/>
        <n v="13.75"/>
        <n v="16.11"/>
        <n v="17.21"/>
        <n v="229.86"/>
        <n v="19.37"/>
        <n v="31.14"/>
        <n v="14.3"/>
        <n v="15.03"/>
        <n v="39.68"/>
        <n v="13.26"/>
        <n v="5.67"/>
        <n v="1.26"/>
        <n v="14.45"/>
        <n v="16.3"/>
        <n v="80.53"/>
        <n v="21.58"/>
        <n v="2.41"/>
        <n v="24.75"/>
        <n v="24.55"/>
        <n v="58.97"/>
        <n v="15.29"/>
        <n v="26.16"/>
        <n v="15.32"/>
        <n v="9.6"/>
        <n v="32.09"/>
        <n v="4.77"/>
        <n v="22.99"/>
        <n v="28.11"/>
        <n v="38.26"/>
        <n v="11.2"/>
        <n v="0.19"/>
        <n v="17.5"/>
        <n v="16.73"/>
        <n v="65.56"/>
        <n v="19.46"/>
        <n v="1.7"/>
        <n v="10.61"/>
        <n v="15.25"/>
        <n v="8.09"/>
        <n v="17.08"/>
        <n v="1.31"/>
        <n v="10.16"/>
        <n v="0.0"/>
        <n v="53.83"/>
        <n v="49.22"/>
        <n v="46.59"/>
        <n v="60.51"/>
        <n v="46.91"/>
        <n v="47.14"/>
        <n v="44.16"/>
        <n v="39.47"/>
        <n v="2.14"/>
        <n v="8.16"/>
        <n v="1.12"/>
        <n v="33.69"/>
        <n v="38.44"/>
        <n v="51.28"/>
        <n v="49.75"/>
        <n v="6.06"/>
        <n v="25.28"/>
        <n v="26.22"/>
        <n v="30.47"/>
        <n v="44.94"/>
        <n v="42.28"/>
        <n v="50.73"/>
        <n v="44.29"/>
        <n v="47.68"/>
        <n v="52.59"/>
        <n v="50.65"/>
        <n v="6.51"/>
        <n v="10.49"/>
        <n v="24.53"/>
        <n v="24.7"/>
        <n v="22.86"/>
        <n v="22.39"/>
        <n v="24.27"/>
        <n v="32.81"/>
        <n v="34.5"/>
        <n v="24.96"/>
        <n v="26.48"/>
        <n v="37.25"/>
        <n v="2.65"/>
        <n v="26.26"/>
        <n v="24.34"/>
        <n v="0.12"/>
        <n v="22.96"/>
        <n v="23.83"/>
        <n v="25.82"/>
        <n v="30.88"/>
        <m/>
      </sharedItems>
    </cacheField>
    <cacheField name="Tool Decay">
      <sharedItems containsNumber="1" containsBlank="1" containsMixedTypes="1">
        <s v="NA"/>
        <n v="0.14"/>
        <n v="5.08"/>
        <n v="2.57"/>
        <n v="7.19"/>
        <n v="3.92"/>
        <n v="2.86"/>
        <n v="0.64"/>
        <n v="2.49"/>
        <n v="0.37"/>
        <n v="2.88"/>
        <n v="7.6"/>
        <n v="11.86"/>
        <n v="4.02"/>
        <n v="0.78"/>
        <n v="1.58"/>
        <n v="13.29"/>
        <n v="4.12"/>
        <n v="16.66"/>
        <n v="3.39"/>
        <n v="2.13"/>
        <n v="5.46"/>
        <n v="0.89"/>
        <n v="2.7"/>
        <n v="1.48"/>
        <n v="0.9"/>
        <n v="3.54"/>
        <n v="0.84"/>
        <n v="1.59"/>
        <n v="1.95"/>
        <n v="3.25"/>
        <n v="3.55"/>
        <n v="13.94"/>
        <n v="5.72"/>
        <n v="6.03"/>
        <n v="25.36"/>
        <n v="21.71"/>
        <n v="11.58"/>
        <n v="24.58"/>
        <n v="7.77"/>
        <n v="3.85"/>
        <n v="8.69"/>
        <n v="6.25"/>
        <n v="7.61"/>
        <n v="5.01"/>
        <n v="4.48"/>
        <n v="5.88"/>
        <n v="15.28"/>
        <n v="8.2"/>
        <n v="22.62"/>
        <n v="0.65"/>
        <n v="1.36"/>
        <n v="7.7"/>
        <n v="4.47"/>
        <n v="6.51"/>
        <n v="5.85"/>
        <n v="5.5"/>
        <n v="59.73"/>
        <n v="6.64"/>
        <n v="6.45"/>
        <n v="6.28"/>
        <n v="4.4"/>
        <n v="7.08"/>
        <n v="7.3"/>
        <n v="5.49"/>
        <n v="6.16"/>
        <n v="0.63"/>
        <n v="6.08"/>
        <n v="23.71"/>
        <n v="16.44"/>
        <n v="1.05"/>
        <n v="17.47"/>
        <n v="10.85"/>
        <n v="14.2"/>
        <n v="4.72"/>
        <n v="6.18"/>
        <n v="4.79"/>
        <n v="0.98"/>
        <n v="24.5"/>
        <n v="0.1"/>
        <n v="7.66"/>
        <n v="19.26"/>
        <n v="2.38"/>
        <n v="0.18"/>
        <n v="6.66"/>
        <n v="5.14"/>
        <n v="4.83"/>
        <n v="14.98"/>
        <n v="0.54"/>
        <n v="1.43"/>
        <n v="0.35"/>
        <n v="9.5"/>
        <n v="4.84"/>
        <n v="0.33"/>
        <n v="0.5"/>
        <n v="0.57"/>
        <n v="2.19"/>
        <n v="0.81"/>
        <n v="4.7"/>
        <n v="3.61"/>
        <n v="0.52"/>
        <n v="0.4"/>
        <n v="0.47"/>
        <n v="3.09"/>
        <n v="0.42"/>
        <n v="0.24"/>
        <n v="1.11"/>
        <n v="0.76"/>
        <n v="1.13"/>
        <n v="8.13"/>
        <n v="6.55"/>
        <n v="3.76"/>
        <n v="1.01"/>
        <n v="1.0"/>
        <n v="1.12"/>
        <n v="0.73"/>
        <n v="0.93"/>
        <n v="3.2"/>
        <n v="6.5"/>
        <n v="6.4"/>
        <n v="5.25"/>
        <n v="4.3"/>
        <n v="5.1"/>
        <n v="2.06"/>
        <n v="2.24"/>
        <n v="8.24"/>
        <n v="4.66"/>
        <n v="6.01"/>
        <n v="13.3"/>
        <n v="5.65"/>
        <n v="5.55"/>
        <n v="3.35"/>
        <n v="9.75"/>
        <n v="6.6"/>
        <n v="8.3"/>
        <m/>
      </sharedItems>
    </cacheField>
    <cacheField name="Mindforce Decay">
      <sharedItems containsNumber="1" containsBlank="1" containsMixedTypes="1">
        <s v="NA"/>
        <n v="1.1"/>
        <n v="3.63"/>
        <n v="8.07"/>
        <n v="0.02"/>
        <n v="2.32"/>
        <n v="10.35"/>
        <n v="0.0"/>
        <n v="0.18"/>
        <n v="0.04"/>
        <n v="10.16"/>
        <n v="30.16"/>
        <n v="11.55"/>
        <n v="6.25"/>
        <n v="0.1"/>
        <n v="8.93"/>
        <n v="4.77"/>
        <n v="4.54"/>
        <n v="0.51"/>
        <n v="16.18"/>
        <n v="8.34"/>
        <n v="15.74"/>
        <n v="9.72"/>
        <n v="0.64"/>
        <n v="12.29"/>
        <n v="3.67"/>
        <n v="6.7"/>
        <n v="5.96"/>
        <n v="4.61"/>
        <n v="19.13"/>
        <n v="8.74"/>
        <n v="57.13"/>
        <n v="42.61"/>
        <n v="22.64"/>
        <n v="8.2"/>
        <n v="8.76"/>
        <n v="0.85"/>
        <n v="13.1"/>
        <n v="1.37"/>
        <n v="0.95"/>
        <n v="1.68"/>
        <n v="24.48"/>
        <n v="10.94"/>
        <n v="28.09"/>
        <n v="2.49"/>
        <n v="2.4"/>
        <n v="12.15"/>
        <n v="14.43"/>
        <n v="17.86"/>
        <n v="22.16"/>
        <n v="21.32"/>
        <n v="191.43"/>
        <n v="27.59"/>
        <n v="20.15"/>
        <n v="26.33"/>
        <n v="12.34"/>
        <n v="20.41"/>
        <n v="0.12"/>
        <n v="27.46"/>
        <n v="22.3"/>
        <n v="30.36"/>
        <n v="19.53"/>
        <n v="0.21"/>
        <n v="22.93"/>
        <n v="21.79"/>
        <n v="22.46"/>
        <n v="28.6"/>
        <n v="10.12"/>
        <n v="8.86"/>
        <n v="6.63"/>
        <n v="12.21"/>
        <n v="3.42"/>
        <n v="10.39"/>
        <n v="12.24"/>
        <n v="12.86"/>
        <n v="3.46"/>
        <n v="27.97"/>
        <n v="29.35"/>
        <n v="23.39"/>
        <n v="28.85"/>
        <n v="6.67"/>
        <n v="5.19"/>
        <n v="7.35"/>
        <n v="11.09"/>
        <n v="30.99"/>
        <n v="14.67"/>
        <n v="31.62"/>
        <n v="18.96"/>
        <n v="32.0"/>
        <n v="28.37"/>
        <n v="31.5"/>
        <n v="5.62"/>
        <n v="1.42"/>
        <n v="14.65"/>
        <n v="31.24"/>
        <n v="29.61"/>
        <n v="11.71"/>
        <n v="14.74"/>
        <n v="13.23"/>
        <n v="31.37"/>
        <n v="33.71"/>
        <n v="32.48"/>
        <n v="32.07"/>
        <n v="33.44"/>
        <n v="32.62"/>
        <n v="34.12"/>
        <n v="3.15"/>
        <n v="7.37"/>
        <n v="12.14"/>
        <n v="11.87"/>
        <n v="13.37"/>
        <n v="12.96"/>
        <n v="16.24"/>
        <n v="34.84"/>
        <n v="15.56"/>
        <n v="15.28"/>
        <n v="36.04"/>
        <n v="7.82"/>
        <n v="14.33"/>
        <n v="15.69"/>
        <n v="17.94"/>
        <n v="13.51"/>
        <n v="16.1"/>
        <n v="10.14"/>
        <n v="16.51"/>
        <m/>
      </sharedItems>
    </cacheField>
    <cacheField name="Total Repair Cost">
      <sharedItems containsNumber="1" containsBlank="1" containsString="0">
        <n v="29.95"/>
        <n v="42.43"/>
        <n v="38.36"/>
        <n v="17.1"/>
        <n v="14.97"/>
        <n v="23.96"/>
        <n v="0.0"/>
        <n v="5.08"/>
        <n v="15.44"/>
        <n v="1.07"/>
        <n v="56.01"/>
        <n v="44.86"/>
        <n v="17.14"/>
        <n v="45.38"/>
        <n v="19.58"/>
        <n v="44.35"/>
        <n v="15.63"/>
        <n v="10.6"/>
        <n v="22.54"/>
        <n v="35.27"/>
        <n v="37.04"/>
        <n v="41.7"/>
        <n v="39.5"/>
        <n v="4.32"/>
        <n v="34.24"/>
        <n v="24.23"/>
        <n v="16.38"/>
        <n v="26.31"/>
        <n v="37.84"/>
        <n v="11.24"/>
        <n v="24.8"/>
        <n v="6.67"/>
        <n v="15.75"/>
        <n v="4.84"/>
        <n v="6.79"/>
        <n v="0.64"/>
        <n v="60.22"/>
        <n v="33.46"/>
        <n v="29.39"/>
        <n v="44.92"/>
        <n v="96.73"/>
        <n v="51.73"/>
        <n v="94.83"/>
        <n v="86.23"/>
        <n v="93.7"/>
        <n v="33.52"/>
        <n v="44.59"/>
        <n v="14.84"/>
        <n v="39.15"/>
        <n v="40.2"/>
        <n v="40.19"/>
        <n v="19.25"/>
        <n v="48.47"/>
        <n v="38.88"/>
        <n v="56.76"/>
        <n v="35.87"/>
        <n v="34.86"/>
        <n v="152.9"/>
        <n v="107.47"/>
        <n v="19.22"/>
        <n v="35.89"/>
        <n v="79.84"/>
        <n v="79.73"/>
        <n v="40.9"/>
        <n v="2.31"/>
        <n v="49.57"/>
        <n v="106.96"/>
        <n v="94.54"/>
        <n v="110.45"/>
        <n v="141.51"/>
        <n v="103.18"/>
        <n v="65.93"/>
        <n v="137.39"/>
        <n v="112.59"/>
        <n v="161.59"/>
        <n v="172.68"/>
        <n v="191.15"/>
        <n v="122.96"/>
        <n v="86.09"/>
        <n v="61.42"/>
        <n v="49.37"/>
        <n v="27.53"/>
        <n v="125.41"/>
        <n v="36.86"/>
        <n v="25.99"/>
        <n v="3.32"/>
        <n v="13.62"/>
        <n v="79.53"/>
        <n v="34.77"/>
        <n v="170.63"/>
        <n v="20.07"/>
        <n v="30.33"/>
        <n v="58.81"/>
        <n v="37.21"/>
        <n v="38.7"/>
        <n v="75.78"/>
        <n v="24.36"/>
        <n v="22.71"/>
        <n v="20.28"/>
        <n v="17.28"/>
        <n v="86.75"/>
        <n v="51.09"/>
        <n v="10.33"/>
        <n v="74.14"/>
        <n v="11.61"/>
        <n v="8.52"/>
        <n v="38.78"/>
        <n v="0.11"/>
        <n v="64.62"/>
        <n v="37.17"/>
        <n v="76.23"/>
        <n v="33.75"/>
        <n v="177.38"/>
        <n v="64.87"/>
        <n v="45.45"/>
        <n v="75.62"/>
        <n v="52.47"/>
        <n v="56.74"/>
        <n v="148.91"/>
        <n v="80.35"/>
        <n v="497.33"/>
        <n v="153.78"/>
        <n v="78.43"/>
        <n v="106.21"/>
        <n v="157.32"/>
        <n v="103.81"/>
        <n v="139.02"/>
        <n v="36.4"/>
        <n v="38.89"/>
        <n v="144.12"/>
        <n v="100.11"/>
        <n v="112.39"/>
        <n v="172.07"/>
        <n v="67.71"/>
        <n v="33.94"/>
        <n v="1.94"/>
        <n v="83.39"/>
        <n v="169.6"/>
        <n v="72.96"/>
        <n v="140.45"/>
        <n v="213.81"/>
        <n v="238.06"/>
        <n v="180.16"/>
        <n v="13.77"/>
        <n v="162.61"/>
        <n v="185.7"/>
        <n v="174.76"/>
        <n v="204.58"/>
        <n v="7.03"/>
        <n v="205.83"/>
        <n v="208.73"/>
        <n v="26.42"/>
        <n v="78.31"/>
        <n v="172.55"/>
        <n v="173.24"/>
        <n v="227.11"/>
        <n v="218.25"/>
        <n v="197.64"/>
        <n v="201.43"/>
        <n v="198.37"/>
        <n v="38.34"/>
        <n v="201.96"/>
        <n v="205.78"/>
        <n v="195.3"/>
        <n v="187.64"/>
        <n v="191.0"/>
        <n v="192.9"/>
        <n v="12.4"/>
        <n v="176.37"/>
        <n v="194.46"/>
        <n v="196.17"/>
        <n v="192.63"/>
        <n v="199.16"/>
        <n v="31.31"/>
        <n v="183.27"/>
        <n v="192.42"/>
        <n v="195.77"/>
        <n v="187.45"/>
        <n v="185.3"/>
        <n v="307.85"/>
        <n v="197.47"/>
        <n v="199.05"/>
        <n v="101.38"/>
        <n v="169.08"/>
        <n v="181.22"/>
        <n v="20.24"/>
        <n v="52.4"/>
        <n v="140.82"/>
        <n v="101.16"/>
        <n v="78.84"/>
        <n v="80.37"/>
        <n v="20.6"/>
        <n v="137.45"/>
        <n v="47.37"/>
        <n v="107.61"/>
        <n v="229.14"/>
        <n v="142.69"/>
        <n v="21.61"/>
        <n v="94.5"/>
        <n v="134.12"/>
        <n v="282.8"/>
        <n v="191.4"/>
        <n v="107.54"/>
        <n v="24.94"/>
        <n v="403.72"/>
        <n v="66.35"/>
        <n v="1073.05"/>
        <n v="156.57"/>
        <n v="501.06"/>
        <n v="72.94"/>
        <n v="534.02"/>
        <n v="78.4100000000001"/>
        <n v="111.1"/>
        <n v="144.03"/>
        <n v="187.58"/>
        <n v="195.49"/>
        <n v="41.63"/>
        <n v="78.13"/>
        <n v="291.22"/>
        <n v="259.86"/>
        <n v="210.46"/>
        <n v="503.98"/>
        <n v="188.44"/>
        <n v="92.05"/>
        <n v="295.31"/>
        <n v="301.76"/>
        <n v="303.44"/>
        <n v="480.75"/>
        <n v="92.91"/>
        <n v="94.99"/>
        <n v="316.4"/>
        <n v="214.0"/>
        <n v="165.61"/>
        <n v="375.86"/>
        <n v="193.03"/>
        <n v="135.09"/>
        <n v="73.26"/>
        <n v="194.51"/>
        <n v="310.53"/>
        <n v="90.19"/>
        <n v="55.06"/>
        <n v="200.75"/>
        <n v="269.5"/>
        <n v="117.44"/>
        <n v="797.96"/>
        <n v="556.22"/>
        <n v="337.29"/>
        <n v="1042.07"/>
        <n v="186.6"/>
        <n v="231.96"/>
        <n v="249.7"/>
        <n v="184.49"/>
        <n v="192.66"/>
        <n v="250.45"/>
        <n v="247.72"/>
        <n v="267.11"/>
        <n v="361.08"/>
        <n v="170.28"/>
        <n v="645.96"/>
        <n v="92.09"/>
        <n v="34.22"/>
        <n v="178.75"/>
        <n v="186.75"/>
        <n v="390.01"/>
        <n v="189.09"/>
        <n v="213.34"/>
        <n v="196.21"/>
        <n v="1803.28"/>
        <n v="217.99"/>
        <n v="174.78"/>
        <n v="201.77"/>
        <n v="96.74"/>
        <n v="210.31"/>
        <n v="198.56"/>
        <n v="208.21"/>
        <n v="171.32"/>
        <n v="81.1899999999999"/>
        <n v="213.1"/>
        <n v="203.47"/>
        <n v="344.73"/>
        <n v="200.11"/>
        <n v="158.23"/>
        <n v="221.5"/>
        <n v="209.35"/>
        <n v="184.87"/>
        <n v="217.39"/>
        <n v="105.35"/>
        <n v="129.01"/>
        <n v="51.3"/>
        <n v="117.61"/>
        <n v="23.54"/>
        <n v="148.36"/>
        <n v="135.01"/>
        <n v="172.71"/>
        <n v="121.83"/>
        <n v="65.14"/>
        <n v="219.11"/>
        <n v="219.62"/>
        <n v="234.8"/>
        <n v="259.0"/>
        <n v="235.52"/>
        <n v="87.45"/>
        <n v="81.9899999999999"/>
        <n v="57.8700000000001"/>
        <n v="72.17"/>
        <n v="237.6"/>
        <n v="84.64"/>
        <n v="94.3799999999999"/>
        <n v="47.58"/>
        <n v="282.14"/>
        <n v="155.34"/>
        <n v="274.59"/>
        <n v="219.77"/>
        <n v="102.08"/>
        <n v="270.67"/>
        <n v="18.39"/>
        <n v="273.55"/>
        <n v="271.61"/>
        <n v="262.17"/>
        <n v="74.13"/>
        <n v="54.24"/>
        <n v="21.28"/>
        <n v="123.29"/>
        <n v="82.7199999999999"/>
        <n v="255.94"/>
        <n v="263.01"/>
        <n v="273.87"/>
        <n v="136.86"/>
        <n v="150.66"/>
        <n v="152.76"/>
        <n v="256.56"/>
        <n v="270.24"/>
        <n v="268.76"/>
        <n v="279.63"/>
        <n v="273.79"/>
        <n v="274.9"/>
        <n v="281.98"/>
        <n v="275.9"/>
        <n v="29.51"/>
        <n v="59.6600000000001"/>
        <n v="130.14"/>
        <n v="127.53"/>
        <n v="131.61"/>
        <n v="128.87"/>
        <n v="139.41"/>
        <n v="255.78"/>
        <n v="247.42"/>
        <n v="139.57"/>
        <n v="150.8"/>
        <n v="295.74"/>
        <n v="107.12"/>
        <n v="146.62"/>
        <n v="147.04"/>
        <n v="149.76"/>
        <n v="139.82"/>
        <n v="148.37"/>
        <n v="49.81"/>
        <n v="45.42"/>
        <n v="107.32"/>
        <n v="151.92"/>
        <n v="156.58"/>
        <m/>
      </sharedItems>
    </cacheField>
    <cacheField name="Ammo Return">
      <sharedItems containsNumber="1" containsBlank="1" containsString="0">
        <n v="0.0"/>
        <n v="64.74"/>
        <n v="72.38"/>
        <n v="69.92"/>
        <n v="218.36"/>
        <n v="80.68"/>
        <n v="88.32"/>
        <n v="65.81"/>
        <n v="173.73"/>
        <n v="158.19"/>
        <n v="161.92"/>
        <n v="53.07"/>
        <n v="263.61"/>
        <n v="200.96"/>
        <n v="85.55"/>
        <n v="79.43"/>
        <n v="183.95"/>
        <n v="494.26"/>
        <n v="311.68"/>
        <n v="325.72"/>
        <n v="216.22"/>
        <n v="109.44"/>
        <n v="158.98"/>
        <n v="267.55"/>
        <n v="387.61"/>
        <n v="186.34"/>
        <n v="188.42"/>
        <n v="39.34"/>
        <n v="66.53"/>
        <n v="180.82"/>
        <n v="276.44"/>
        <n v="125.55"/>
        <n v="303.17"/>
        <n v="74.3"/>
        <n v="617.07"/>
        <n v="207.4"/>
        <n v="392.67"/>
        <n v="437.39"/>
        <n v="0.15"/>
        <n v="456.89"/>
        <n v="335.64"/>
        <n v="221.91"/>
        <n v="722.05"/>
        <n v="238.71"/>
        <n v="215.66"/>
        <n v="192.63"/>
        <n v="202.88"/>
        <n v="205.49"/>
        <n v="114.21"/>
        <n v="253.67"/>
        <n v="242.95"/>
        <n v="253.62"/>
        <n v="253.0"/>
        <n v="69.83"/>
        <n v="191.47"/>
        <n v="270.22"/>
        <n v="130.55"/>
        <n v="280.83"/>
        <n v="395.6"/>
        <n v="142.04"/>
        <n v="395.34"/>
        <n v="178.51"/>
        <n v="227.84"/>
        <n v="290.18"/>
        <n v="198.75"/>
        <n v="509.05"/>
        <n v="215.51"/>
        <n v="207.13"/>
        <n v="121.58"/>
        <n v="374.71"/>
        <n v="588.36"/>
        <n v="184.12"/>
        <n v="45.01"/>
        <n v="506.33"/>
        <n v="132.54"/>
        <n v="334.6"/>
        <n v="277.89"/>
        <n v="122.76"/>
        <n v="295.39"/>
        <n v="190.16"/>
        <n v="420.78"/>
        <n v="116.21"/>
        <n v="220.24"/>
        <n v="308.4"/>
        <n v="222.62"/>
        <n v="121.84"/>
        <n v="365.84"/>
        <n v="405.15"/>
        <n v="9.56"/>
        <n v="288.88"/>
        <n v="91.75"/>
        <n v="339.77"/>
        <n v="201.12"/>
        <n v="118.59"/>
        <n v="77.68"/>
        <n v="101.61"/>
        <n v="70.98"/>
        <n v="137.24"/>
        <n v="122.66"/>
        <n v="124.97"/>
        <n v="76.79"/>
        <n v="477.73"/>
        <n v="174.63"/>
        <n v="52.05"/>
        <n v="424.96"/>
        <n v="347.61"/>
        <n v="92.2"/>
        <n v="134.07"/>
        <n v="99.33"/>
        <n v="72.48"/>
        <n v="79.31"/>
        <n v="86.06"/>
        <n v="88.96"/>
        <n v="417.65"/>
        <n v="60.06"/>
        <n v="47.06"/>
        <n v="95.73"/>
        <n v="171.87"/>
        <n v="55.2"/>
        <n v="65.02"/>
        <n v="150.79"/>
        <n v="85.45"/>
        <n v="182.26"/>
        <n v="186.73"/>
        <n v="59.35"/>
        <n v="115.95"/>
        <n v="425.03"/>
        <n v="139.84"/>
        <n v="148.78"/>
        <n v="104.97"/>
        <n v="159.7"/>
        <n v="78.27"/>
        <n v="335.66"/>
        <n v="67.33"/>
        <n v="155.67"/>
        <n v="343.16"/>
        <n v="173.13"/>
        <n v="139.98"/>
        <n v="384.61"/>
        <n v="85.92"/>
        <n v="49.21"/>
        <n v="7.99"/>
        <n v="302.13"/>
        <n v="223.67"/>
        <n v="118.34"/>
        <n v="96.8"/>
        <n v="35.99"/>
        <n v="14.1"/>
        <n v="78.71"/>
        <n v="189.03"/>
        <n v="62.99"/>
        <n v="13.73"/>
        <n v="238.21"/>
        <n v="397.7"/>
        <n v="469.36"/>
        <n v="133.57"/>
        <n v="649.4"/>
        <n v="44.49"/>
        <n v="827.81"/>
        <n v="261.72"/>
        <n v="120.54"/>
        <n v="45.48"/>
        <n v="59.31"/>
        <n v="39.63"/>
        <n v="74.94"/>
        <n v="260.51"/>
        <n v="33.0"/>
        <n v="61.2"/>
        <n v="115.22"/>
        <n v="257.55"/>
        <n v="48.21"/>
        <n v="230.95"/>
        <n v="147.59"/>
        <n v="13.9"/>
        <n v="82.89"/>
        <n v="218.46"/>
        <n v="612.36"/>
        <n v="239.12"/>
        <n v="348.02"/>
        <n v="73.88"/>
        <n v="120.29"/>
        <n v="16.01"/>
        <n v="237.43"/>
        <n v="161.74"/>
        <n v="114.1"/>
        <n v="580.66"/>
        <n v="15.93"/>
        <n v="173.47"/>
        <n v="157.63"/>
        <n v="292.42"/>
        <n v="178.32"/>
        <n v="123.63"/>
        <n v="91.34"/>
        <n v="77.28"/>
        <n v="66.46"/>
        <n v="42.84"/>
        <n v="395.5"/>
        <n v="132.87"/>
        <n v="411.59"/>
        <n v="53.41"/>
        <n v="173.46"/>
        <n v="444.68"/>
        <n v="581.64"/>
        <n v="341.9"/>
        <n v="388.67"/>
        <n v="172.23"/>
        <n v="363.66"/>
        <n v="418.89"/>
        <n v="359.94"/>
        <n v="180.73"/>
        <n v="347.12"/>
        <n v="441.85"/>
        <n v="363.79"/>
        <n v="756.62"/>
        <n v="317.03"/>
        <n v="356.11"/>
        <n v="147.42"/>
        <n v="409.68"/>
        <n v="349.97"/>
        <n v="419.76"/>
        <n v="439.46"/>
        <n v="331.5"/>
        <n v="732.12"/>
        <n v="560.91"/>
        <n v="846.59"/>
        <n v="723.31"/>
        <n v="910.51"/>
        <n v="520.5"/>
        <n v="588.02"/>
        <n v="555.24"/>
        <n v="865.44"/>
        <n v="862.99"/>
        <n v="347.32"/>
        <n v="273.54"/>
        <n v="259.2"/>
        <n v="373.5"/>
        <n v="298.23"/>
        <n v="758.17"/>
        <n v="506.16"/>
        <n v="854.68"/>
        <n v="783.83"/>
        <n v="315.86"/>
        <n v="751.85"/>
        <n v="723.51"/>
        <n v="274.64"/>
        <n v="375.62"/>
        <n v="243.41"/>
        <n v="143.48"/>
        <n v="326.52"/>
        <n v="284.07"/>
        <n v="302.44"/>
        <n v="293.78"/>
        <n v="892.67"/>
        <n v="658.91"/>
        <n v="461.99"/>
        <n v="436.17"/>
        <n v="777.89"/>
        <n v="296.94"/>
        <n v="287.09"/>
        <n v="310.95"/>
        <n v="279.61"/>
        <n v="184.87"/>
        <n v="747.14"/>
        <n v="766.33"/>
        <n v="306.08"/>
        <n v="214.2"/>
        <n v="277.59"/>
        <n v="258.37"/>
        <n v="269.85"/>
        <n v="251.6"/>
        <n v="267.3"/>
        <n v="665.52"/>
        <n v="841.85"/>
        <n v="732.5"/>
        <n v="450.98"/>
        <n v="695.33"/>
        <n v="689.62"/>
        <n v="426.22"/>
        <n v="259.04"/>
        <n v="338.99"/>
        <n v="436.24"/>
        <n v="418.5"/>
        <n v="96.85"/>
        <n v="120.8"/>
        <n v="427.58"/>
        <n v="653.24"/>
        <n v="281.18"/>
        <n v="438.72"/>
        <n v="401.88"/>
        <n v="50.51"/>
        <n v="565.87"/>
        <n v="418.38"/>
        <n v="447.7"/>
        <m/>
      </sharedItems>
    </cacheField>
    <cacheField name="TT Return">
      <sharedItems containsNumber="1" containsBlank="1" containsString="0">
        <n v="229.11"/>
        <n v="144.56"/>
        <n v="89.72"/>
        <n v="190.42"/>
        <n v="194.19"/>
        <n v="238.24"/>
        <n v="41.84"/>
        <n v="195.58"/>
        <n v="225.9"/>
        <n v="201.48"/>
        <n v="220.77"/>
        <n v="241.49"/>
        <n v="21.49"/>
        <n v="276.18"/>
        <n v="160.34"/>
        <n v="70.98"/>
        <n v="227.6"/>
        <n v="307.56"/>
        <n v="210.27"/>
        <n v="298.18"/>
        <n v="344.38"/>
        <n v="222.9"/>
        <n v="292.07"/>
        <n v="84.27"/>
        <n v="25.31"/>
        <n v="626.94"/>
        <n v="270.04"/>
        <n v="788.4"/>
        <n v="19.58"/>
        <n v="186.38"/>
        <n v="9.39"/>
        <n v="113.6"/>
        <n v="159.13"/>
        <n v="151.97"/>
        <n v="129.21"/>
        <n v="195.64"/>
        <n v="107.67"/>
        <n v="169.98"/>
        <n v="166.89"/>
        <n v="177.97"/>
        <n v="247.53"/>
        <n v="62.53"/>
        <n v="68.26"/>
        <n v="32.25"/>
        <n v="12.31"/>
        <n v="250.75"/>
        <n v="155.71"/>
        <n v="46.3"/>
        <n v="223.12"/>
        <n v="269.9"/>
        <n v="200.62"/>
        <n v="310.3"/>
        <n v="155.55"/>
        <n v="494.33"/>
        <n v="2.4"/>
        <n v="13.61"/>
        <n v="87.77"/>
        <n v="148.32"/>
        <n v="246.66"/>
        <n v="279.36"/>
        <n v="12.17"/>
        <n v="897.87"/>
        <n v="478.69"/>
        <n v="33.97"/>
        <n v="43.8"/>
        <n v="9.54"/>
        <n v="19.465"/>
        <n v="10.6"/>
        <n v="17.41"/>
        <n v="56.87"/>
        <n v="144.59"/>
        <n v="355.44"/>
        <n v="162.84"/>
        <n v="317.1"/>
        <n v="42.48"/>
        <n v="44.81"/>
        <n v="47.62"/>
        <n v="10.34"/>
        <n v="365.56"/>
        <n v="38.78"/>
        <n v="31.2"/>
        <n v="356.44"/>
        <n v="301.8"/>
        <n v="426.0"/>
        <n v="616.54"/>
        <n v="8.39"/>
        <n v="61.92"/>
        <n v="34.71"/>
        <n v="32.14"/>
        <n v="224.89"/>
        <n v="290.32"/>
        <n v="425.06"/>
        <n v="32.21"/>
        <n v="1.65"/>
        <n v="118.99"/>
        <n v="15.47"/>
        <n v="6.55"/>
        <n v="57.44"/>
        <n v="25.58"/>
        <n v="161.7"/>
        <n v="8.51"/>
        <n v="12.5"/>
        <n v="11.17"/>
        <n v="54.67"/>
        <n v="68.0"/>
        <n v="9.49"/>
        <n v="100.77"/>
        <n v="27.26"/>
        <n v="196.14"/>
        <n v="50.56"/>
        <n v="35.05"/>
        <n v="105.64"/>
        <n v="79.66"/>
        <n v="60.59"/>
        <n v="3.99"/>
        <n v="82.05"/>
        <n v="44.71"/>
        <n v="51.49"/>
        <n v="29.1"/>
        <n v="14.61"/>
        <n v="39.07"/>
        <n v="18.19"/>
        <n v="579.13"/>
        <n v="292.3"/>
        <n v="12.51"/>
        <n v="0.94"/>
        <n v="14.23"/>
        <n v="17.51"/>
        <n v="54.69"/>
        <n v="182.08"/>
        <n v="137.62"/>
        <n v="47.98"/>
        <n v="131.24"/>
        <n v="11.14"/>
        <n v="7.13"/>
        <n v="1.37"/>
        <n v="86.25"/>
        <n v="5.75"/>
        <n v="1.27"/>
        <n v="32.94"/>
        <n v="1.53"/>
        <n v="119.67"/>
        <n v="274.41"/>
        <n v="14.32"/>
        <n v="4.0"/>
        <n v="0.76"/>
        <n v="7.05"/>
        <n v="69.56"/>
        <n v="267.87"/>
        <n v="68.5"/>
        <n v="8.16"/>
        <n v="3.41"/>
        <n v="1.72"/>
        <n v="227.94"/>
        <n v="23.45"/>
        <n v="35.59"/>
        <n v="19.4"/>
        <n v="30.65"/>
        <n v="536.11"/>
        <n v="231.95"/>
        <n v="350.79"/>
        <n v="341.14"/>
        <n v="186.33"/>
        <n v="49.08"/>
        <n v="27.88"/>
        <n v="22.61"/>
        <n v="53.96"/>
        <n v="15.38"/>
        <n v="125.0"/>
        <n v="245.0"/>
        <n v="15.48"/>
        <n v="67.3"/>
        <n v="108.78"/>
        <n v="432.56"/>
        <n v="111.98"/>
        <n v="13.65"/>
        <n v="4.14"/>
        <n v="10.81"/>
        <n v="57.64"/>
        <n v="34.92"/>
        <n v="214.37"/>
        <n v="16.2"/>
        <n v="10.74"/>
        <n v="2.5"/>
        <n v="3.14"/>
        <n v="43.31"/>
        <n v="5.6"/>
        <n v="279.66"/>
        <n v="21.1"/>
        <n v="441.17"/>
        <n v="653.9"/>
        <n v="224.54"/>
        <n v="319.23"/>
        <n v="116.1"/>
        <n v="130.9"/>
        <n v="65.35"/>
        <n v="17.5"/>
        <n v="30.8"/>
        <n v="14.57"/>
        <n v="80.38"/>
        <n v="71.62"/>
        <n v="151.42"/>
        <n v="83.72"/>
        <n v="56.53"/>
        <n v="23.34"/>
        <n v="67.99"/>
        <n v="107.36"/>
        <n v="15.15"/>
        <n v="34.68"/>
        <n v="25.7"/>
        <n v="37.4"/>
        <n v="189.88"/>
        <n v="24.23"/>
        <n v="37.6"/>
        <n v="1.92"/>
        <n v="113.55"/>
        <n v="178.24"/>
        <n v="67.68"/>
        <n v="8.95"/>
        <n v="120.08"/>
        <n v="776.44"/>
        <n v="34.01"/>
        <n v="59.26"/>
        <n v="208.08"/>
        <n v="69.62"/>
        <n v="115.65"/>
        <n v="72.4"/>
        <n v="6.85"/>
        <n v="172.13"/>
        <n v="51.3"/>
        <n v="33.4"/>
        <n v="54.45"/>
        <n v="66.83"/>
        <n v="92.97"/>
        <n v="236.82"/>
        <n v="18.63"/>
        <n v="154.36"/>
        <n v="31.91"/>
        <n v="21.57"/>
        <n v="174.56"/>
        <n v="0.38"/>
        <n v="633.71"/>
        <n v="165.23"/>
        <n v="37.08"/>
        <n v="503.5"/>
        <n v="306.91"/>
        <n v="56.3"/>
        <n v="8.92"/>
        <n v="19.67"/>
        <n v="9.23"/>
        <n v="246.21"/>
        <n v="33.2"/>
        <n v="62.8"/>
        <n v="6.7"/>
        <n v="13.17"/>
        <n v="64.57"/>
        <n v="307.12"/>
        <n v="83.58"/>
        <n v="335.18"/>
        <n v="155.86"/>
        <n v="50.88"/>
        <n v="151.64"/>
        <n v="299.87"/>
        <n v="99.44"/>
        <n v="29.42"/>
        <n v="228.28"/>
        <n v="2.89"/>
        <n v="6.23"/>
        <n v="3.89"/>
        <n v="62.9"/>
        <n v="12.24"/>
        <n v="398.26"/>
        <n v="195.0"/>
        <n v="121.12"/>
        <n v="184.66"/>
        <n v="11.85"/>
        <n v="29.59"/>
        <n v="217.83"/>
        <n v="210.98"/>
        <n v="1010.43"/>
        <n v="880.09"/>
        <n v="51.97"/>
        <n v="158.34"/>
        <n v="47.53"/>
        <n v="276.11"/>
        <n v="20.71"/>
        <n v="217.75"/>
        <n v="261.62"/>
        <n v="188.81"/>
        <n v="64.78"/>
        <n v="49.84"/>
        <n v="494.13"/>
        <n v="118.46"/>
        <n v="111.6"/>
        <n v="27.1"/>
        <n v="51.52"/>
        <n v="1.85"/>
        <n v="37.81"/>
        <n v="127.21"/>
        <n v="0.0"/>
        <n v="133.11"/>
        <n v="567.0"/>
        <n v="3.6"/>
        <n v="17.93"/>
        <n v="111.43"/>
        <n v="177.24"/>
        <n v="413.13"/>
        <n v="466.52"/>
        <n v="443.13"/>
        <n v="74.89"/>
        <n v="17.74"/>
        <n v="9.0"/>
        <n v="566.0"/>
        <n v="249.28"/>
        <n v="168.97"/>
        <n v="46.12"/>
        <n v="74.34"/>
        <n v="6.4"/>
        <n v="54.5"/>
        <n v="24.6"/>
        <n v="631.49"/>
        <n v="335.83"/>
        <n v="603.5"/>
        <n v="12.32"/>
        <n v="373.65"/>
        <n v="1409.93"/>
        <n v="55.67"/>
        <n v="193.54"/>
        <n v="149.17"/>
        <n v="27.09"/>
        <n v="134.56"/>
        <n v="389.73"/>
        <n v="181.59"/>
        <n v="316.11"/>
        <n v="324.97"/>
        <n v="936.69"/>
        <n v="632.41"/>
        <n v="778.02"/>
        <n v="1295.0"/>
        <n v="43.9"/>
        <n v="255.74"/>
        <n v="403.89"/>
        <n v="47.78"/>
        <n v="379.97"/>
        <n v="42.35"/>
        <n v="461.15"/>
        <n v="92.9775"/>
        <n v="860.23"/>
        <n v="510.61"/>
        <n v="338.74"/>
        <n v="16.42"/>
        <n v="108.25"/>
        <n v="440.69"/>
        <n v="50.8955"/>
        <n v="822.03"/>
        <n v="179.88"/>
        <n v="285.1"/>
        <n v="126.63"/>
        <n v="106.72"/>
        <n v="562.49"/>
        <n v="376.5"/>
        <n v="684.83"/>
        <n v="36.94"/>
        <n v="587.8"/>
        <n v="70.59"/>
        <n v="352.09"/>
        <n v="34.77"/>
        <n v="81.0"/>
        <n v="759.81"/>
        <n v="829.46"/>
        <n v="50.69"/>
        <n v="666.73"/>
        <n v="36.6"/>
        <n v="45.5"/>
        <n v="57.04"/>
        <n v="344.88"/>
        <n v="12.39"/>
        <n v="427.3"/>
        <n v="43.58"/>
        <n v="950.61"/>
        <n v="652.41"/>
        <n v="365.21"/>
        <n v="188.5"/>
        <n v="264.84"/>
        <n v="299.23"/>
        <n v="107.66"/>
        <n v="48.34"/>
        <n v="104.9"/>
        <n v="320.65"/>
        <n v="109.87"/>
        <n v="144.9"/>
        <n v="465.35"/>
        <n v="418.76"/>
        <n v="149.12"/>
        <n v="161.03"/>
        <n v="410.29"/>
        <n v="96.72"/>
        <n v="35.54"/>
        <n v="57.31"/>
        <n v="693.78"/>
        <n v="902.54"/>
        <n v="306.3"/>
        <n v="14.87"/>
        <n v="481.92"/>
        <n v="45.01"/>
        <n v="218.32"/>
        <n v="111.03"/>
        <n v="43.99"/>
        <n v="952.18"/>
        <n v="82.82"/>
        <n v="53.93"/>
        <n v="3416.18"/>
        <n v="349.65"/>
        <n v="705.63"/>
        <n v="1623.11"/>
        <n v="224.75"/>
        <n v="1831.07"/>
        <n v="132.48"/>
        <n v="105.02"/>
        <n v="336.65"/>
        <n v="480.12"/>
        <n v="151.94"/>
        <n v="41.43"/>
        <n v="68.16"/>
        <n v="276.34"/>
        <n v="139.01"/>
        <n v="630.05"/>
        <n v="1310.28"/>
        <n v="1163.18"/>
        <n v="168.09"/>
        <n v="239.91"/>
        <n v="110.59"/>
        <n v="180.89"/>
        <n v="152.8"/>
        <n v="754.3"/>
        <n v="387.76"/>
        <n v="146.09"/>
        <n v="199.19"/>
        <n v="466.95"/>
        <n v="229.28"/>
        <n v="257.1"/>
        <n v="348.07"/>
        <n v="770.29"/>
        <n v="48.25"/>
        <n v="376.57"/>
        <n v="2089.87"/>
        <n v="174.62"/>
        <n v="77.51"/>
        <n v="136.94"/>
        <n v="825.01"/>
        <n v="335.64"/>
        <n v="2348.02"/>
        <n v="1500.75"/>
        <n v="818.68"/>
        <n v="2481.42"/>
        <n v="437.2"/>
        <n v="661.17"/>
        <n v="460.91"/>
        <n v="437.46"/>
        <n v="573.88"/>
        <n v="822.55"/>
        <n v="912.92"/>
        <n v="626.92"/>
        <n v="973.4"/>
        <n v="404.83"/>
        <n v="1776.08"/>
        <n v="255.75"/>
        <n v="81.56"/>
        <n v="599.73"/>
        <n v="1000.0"/>
        <n v="356.28"/>
        <n v="391.46"/>
        <n v="526.12"/>
        <n v="603.2"/>
        <n v="5900.82"/>
        <n v="931.41"/>
        <n v="337.78"/>
        <n v="516.82"/>
        <n v="252.21"/>
        <n v="556.59"/>
        <n v="478.2"/>
        <n v="828.18"/>
        <n v="77.21"/>
        <n v="174.72"/>
        <n v="674.31"/>
        <n v="529.04"/>
        <n v="742.17"/>
        <n v="845.89"/>
        <n v="214.28"/>
        <n v="579.11"/>
        <n v="670.14"/>
        <n v="1117.45"/>
        <n v="722.86"/>
        <n v="261.64"/>
        <n v="301.59"/>
        <n v="77.53"/>
        <n v="474.65"/>
        <n v="131.94"/>
        <n v="597.76"/>
        <n v="470.15"/>
        <n v="418.1"/>
        <n v="169.86"/>
        <n v="237.28"/>
        <n v="597.52"/>
        <n v="785.26"/>
        <n v="948.83"/>
        <n v="694.54"/>
        <n v="682.92"/>
        <n v="303.2"/>
        <n v="175.03"/>
        <n v="185.45"/>
        <n v="155.38"/>
        <n v="1030.93"/>
        <n v="347.19"/>
        <n v="377.58"/>
        <n v="36.47"/>
        <n v="893.09"/>
        <n v="358.49"/>
        <n v="762.89"/>
        <n v="379.35"/>
        <n v="49.31"/>
        <n v="942.04"/>
        <n v="31.35"/>
        <n v="917.6"/>
        <n v="1106.71"/>
        <n v="775.74"/>
        <n v="245.74"/>
        <n v="247.91"/>
        <n v="98.53"/>
        <n v="455.55"/>
        <n v="334.54"/>
        <n v="822.11"/>
        <n v="767.71"/>
        <n v="827.76"/>
        <n v="772.25"/>
        <n v="327.69"/>
        <n v="658.81"/>
        <n v="100.96"/>
        <n v="901.11"/>
        <n v="968.55"/>
        <n v="1017.1"/>
        <n v="1218.77"/>
        <n v="1063.18"/>
        <n v="813.86"/>
        <n v="880.26"/>
        <n v="986.16"/>
        <n v="36.06"/>
        <n v="264.8"/>
        <n v="2.03"/>
        <n v="3.1"/>
        <n v="87.52"/>
        <n v="300.68"/>
        <n v="743.89"/>
        <n v="1080.11"/>
        <n v="204.92"/>
        <n v="81.37"/>
        <n v="542.98"/>
        <n v="707.26"/>
        <n v="410.18"/>
        <n v="588.16"/>
        <n v="60.25"/>
        <n v="103.97"/>
        <n v="32.08"/>
        <n v="212.35"/>
        <n v="394.16"/>
        <n v="266.16"/>
        <m/>
      </sharedItems>
    </cacheField>
    <cacheField name="[MU]">
      <sharedItems containsNumber="1" containsBlank="1" containsString="0">
        <n v="0.0"/>
        <n v="25.48"/>
        <n v="99.04"/>
        <n v="251.76"/>
        <n v="75.455076"/>
        <n v="554.830072"/>
        <n v="10.613508"/>
        <n v="38.39"/>
        <n v="66.26"/>
        <n v="19.028984"/>
        <n v="15.670928"/>
        <n v="29.45"/>
        <n v="38.0"/>
        <n v="166.12"/>
        <n v="250.42"/>
        <n v="160.74"/>
        <n v="91.256"/>
        <n v="59.185737"/>
        <n v="146.17"/>
        <n v="53.3568"/>
        <n v="398.1277"/>
        <n v="81.4019"/>
        <n v="217.5027"/>
        <n v="65.32"/>
        <n v="10.26"/>
        <n v="237.7083"/>
        <n v="23.8403"/>
        <n v="154.30894"/>
        <n v="39.8994"/>
        <n v="31.08"/>
        <n v="35.2188"/>
        <n v="118.575"/>
        <n v="120.808266"/>
        <n v="32.9184"/>
        <n v="5.0004"/>
        <n v="17.9496"/>
        <n v="63.945"/>
        <n v="18.6948"/>
        <n v="19.0944"/>
        <n v="122.4102"/>
        <n v="16.848"/>
        <n v="6.3612"/>
        <n v="250.592"/>
        <n v="11.2428"/>
        <n v="385.3976"/>
        <n v="113.1192"/>
        <n v="95.9472"/>
        <n v="153.3024"/>
        <n v="60.044508"/>
        <n v="1.207872"/>
        <n v="4.0052"/>
        <n v="66.882"/>
        <n v="8.6578"/>
        <n v="40.38684"/>
        <n v="2.584"/>
        <n v="63.0936"/>
        <n v="2.6244"/>
        <n v="128.86825"/>
        <n v="93.724208"/>
        <n v="49.96875"/>
        <n v="89.04"/>
        <n v="9.7875"/>
        <n v="6.28875"/>
        <n v="361.2"/>
        <n v="337.1561"/>
        <n v="13.4676"/>
        <n v="228.42"/>
        <n v="20.683"/>
        <n v="61.632"/>
        <n v="1.7172"/>
        <n v="6.1776"/>
        <n v="25.9036"/>
        <n v="927.2656"/>
        <n v="121.338"/>
        <n v="237.4056"/>
        <n v="8.5188"/>
        <n v="40.0394"/>
        <n v="33.69"/>
        <n v="1.0"/>
        <n v="2.16"/>
        <n v="9.96"/>
        <n v="177.868"/>
        <n v="101.902"/>
        <n v="9.6336"/>
        <n v="145.909"/>
        <n v="51.2784"/>
        <n v="3.7644"/>
        <n v="4.5348"/>
        <n v="215.269088"/>
        <n v="68.6692"/>
        <n v="1380.617"/>
        <n v="757.564"/>
        <n v="99.037"/>
        <n v="368.94"/>
        <n v="10.698"/>
        <n v="12.6792"/>
        <n v="899.8277"/>
        <n v="821.712"/>
        <n v="2.214"/>
        <n v="4.1364"/>
        <n v="113.724"/>
        <n v="300.0"/>
        <n v="4.0392"/>
        <n v="108.177"/>
        <n v="47.776"/>
        <n v="463.1828"/>
        <n v="102.8172"/>
        <n v="21.56"/>
        <n v="9.288"/>
        <n v="52.9013"/>
        <n v="5.5836"/>
        <n v="3.9744"/>
        <n v="140.4"/>
        <n v="4.3927"/>
        <n v="4.0824"/>
        <n v="36.0"/>
        <n v="1136.00069"/>
        <n v="32.6592"/>
        <n v="9.774"/>
        <n v="64.9944"/>
        <n v="12.546"/>
        <n v="340.404"/>
        <n v="148.6512"/>
        <n v="222.894"/>
        <n v="49.608"/>
        <n v="25.2936"/>
        <n v="4.7196"/>
        <n v="844.6742"/>
        <n v="1187.0597"/>
        <n v="11.9"/>
        <n v="969.9713"/>
        <n v="177.552"/>
        <n v="213.759"/>
        <n v="90.9966"/>
        <n v="75.2895"/>
        <n v="23.8"/>
        <n v="35.7"/>
        <n v="95.0"/>
        <n v="819.769665"/>
        <n v="23.166"/>
        <n v="42.9495"/>
        <n v="117.729"/>
        <n v="387.45"/>
        <n v="109.725"/>
        <n v="179.4605"/>
        <n v="7.998"/>
        <n v="12.1766"/>
        <n v="47.3582"/>
        <n v="17.74825"/>
        <n v="35.8405"/>
        <n v="8.76125"/>
        <n v="102.0"/>
        <n v="48.9125"/>
        <n v="351.272"/>
        <n v="26.64925"/>
        <n v="77.5"/>
        <n v="95.32"/>
        <n v="25.65"/>
        <n v="2.268"/>
        <n v="7.722"/>
        <n v="124.4496"/>
        <n v="63.6728"/>
        <n v="47.8524"/>
        <n v="10.2492"/>
        <n v="1.8252"/>
        <n v="20.29"/>
        <n v="83.98"/>
        <n v="269.955"/>
        <n v="4.257"/>
        <n v="19.8"/>
        <n v="326.00429"/>
        <n v="134.832"/>
        <n v="80.7296"/>
        <n v="89.145"/>
        <n v="255.83"/>
        <n v="528.9024"/>
        <n v="68.64"/>
        <n v="150.2"/>
        <n v="0.39"/>
        <n v="66.5977"/>
        <n v="337.193333333333"/>
        <n v="13.948"/>
        <n v="79.494"/>
        <n v="17.3622"/>
        <n v="8.231"/>
        <n v="15.8652"/>
        <n v="20.4984"/>
        <n v="117.520925"/>
        <n v="173.07"/>
        <n v="9.9"/>
        <n v="20.1936"/>
        <n v="132.8568"/>
        <n v="47.5829"/>
        <n v="325.15795"/>
        <n v="176.0"/>
        <n v="135.95"/>
        <n v="49.2132"/>
        <n v="1179.02"/>
        <n v="1.9656"/>
        <n v="65.448"/>
        <n v="98.025"/>
        <n v="430.12"/>
        <n v="88.0864"/>
        <n v="62.81225"/>
        <n v="322.8047"/>
        <n v="179.55"/>
        <n v="164.26817"/>
        <n v="95.19497"/>
        <n v="42.83077"/>
        <n v="365.78177"/>
        <n v="17.5"/>
        <n v="220.36077"/>
        <n v="16.65"/>
        <n v="24.33477"/>
        <n v="3.24"/>
        <n v="263.00077"/>
        <n v="324.20477"/>
        <n v="81.35077"/>
        <n v="47.76477"/>
        <n v="25.77477"/>
        <n v="88.52877"/>
        <n v="26.904"/>
        <n v="203.426"/>
        <n v="72.4992"/>
        <n v="56.066"/>
        <n v="780.6816"/>
        <n v="63.208"/>
        <n v="46.662"/>
        <n v="43.775"/>
        <n v="57.0216"/>
        <n v="666.3228"/>
        <n v="454.360322"/>
        <n v="266.987392"/>
        <n v="78.39"/>
        <n v="535.371"/>
        <n v="8.52"/>
        <n v="2.1384"/>
        <n v="110.726"/>
        <n v="6.34"/>
        <n v="174.00699"/>
        <n v="124.44724"/>
        <n v="112.6183"/>
        <n v="0.03"/>
        <n v="89.148"/>
        <n v="53.4"/>
        <n v="20.2005"/>
        <n v="9.064"/>
        <n v="210.046789"/>
        <n v="19.5"/>
        <n v="0.07"/>
        <n v="24.2"/>
        <n v="7.579"/>
        <n v="82.49"/>
        <n v="219.16"/>
        <n v="70.9032"/>
        <n v="0.02"/>
        <n v="19.6592"/>
        <n v="0.01"/>
        <n v="83.8"/>
        <n v="221.0795"/>
        <n v="0.06"/>
        <n v="284.0072"/>
        <n v="692.991"/>
        <n v="902.621"/>
        <n v="53.91733"/>
        <n v="75.03956"/>
        <n v="98.39984"/>
        <n v="33.06091"/>
        <n v="84.109278"/>
        <n v="22.05174"/>
        <n v="74.028144"/>
        <n v="4.2"/>
        <n v="211.27"/>
        <n v="542.7575"/>
        <n v="967.491"/>
        <n v="396.96"/>
        <n v="209.68"/>
        <n v="264.76"/>
        <n v="402.14"/>
        <n v="497.57591"/>
        <n v="43.990912"/>
        <n v="405.38"/>
        <n v="102.38"/>
        <n v="903.901"/>
        <n v="435.36"/>
        <n v="95.41"/>
        <n v="33.56"/>
        <n v="3.63"/>
        <n v="124.14"/>
        <n v="211.19"/>
        <m/>
      </sharedItems>
    </cacheField>
    <cacheField name="Skills">
      <sharedItems containsNumber="1" containsBlank="1" containsString="0">
        <n v="0.0"/>
        <n v="9.0142"/>
        <n v="7.497576"/>
        <n v="6.216"/>
        <n v="10.09765"/>
        <n v="30.7407"/>
        <n v="19.931094"/>
        <n v="5.17734"/>
        <n v="6.409901"/>
        <n v="3.422755"/>
        <n v="5.039064"/>
        <n v="12.40551"/>
        <n v="2.459256"/>
        <n v="19.08636"/>
        <n v="7.32915"/>
        <n v="12.90492"/>
        <n v="134.027352"/>
        <n v="12.65572"/>
        <n v="16.296"/>
        <n v="32.256276"/>
        <n v="1.0855"/>
        <n v="21.530124"/>
        <n v="13.32097"/>
        <n v="19.1196"/>
        <n v="31.222421"/>
        <n v="15.5644"/>
        <n v="68.564"/>
        <n v="79.212"/>
        <n v="128.1"/>
        <n v="10.4"/>
        <n v="20.040678"/>
        <n v="151.956"/>
        <n v="11.88"/>
        <n v="616.875"/>
        <n v="19.662"/>
        <n v="11.7"/>
        <n v="24.5219"/>
        <n v="23.3"/>
        <n v="87.75"/>
        <n v="67.048"/>
        <m/>
      </sharedItems>
    </cacheField>
    <cacheField name="Total Return">
      <sharedItems containsNumber="1" containsBlank="1" containsString="0">
        <n v="229.11"/>
        <n v="209.3"/>
        <n v="19.36"/>
        <n v="190.42"/>
        <n v="194.19"/>
        <n v="238.24"/>
        <n v="41.84"/>
        <n v="195.58"/>
        <n v="225.9"/>
        <n v="201.48"/>
        <n v="220.77"/>
        <n v="241.49"/>
        <n v="21.49"/>
        <n v="285.1942"/>
        <n v="160.34"/>
        <n v="70.98"/>
        <n v="235.097576"/>
        <n v="313.776"/>
        <n v="233.74"/>
        <n v="298.18"/>
        <n v="352.38"/>
        <n v="222.9"/>
        <n v="302.16765"/>
        <n v="84.27"/>
        <n v="25.31"/>
        <n v="626.94"/>
        <n v="270.04"/>
        <n v="810.513"/>
        <n v="19.58"/>
        <n v="186.38"/>
        <n v="9.39"/>
        <n v="136.246776"/>
        <n v="159.13"/>
        <n v="182.7107"/>
        <n v="129.21"/>
        <n v="195.64"/>
        <n v="0.0"/>
        <n v="184.00584"/>
        <n v="166.89"/>
        <n v="189.97936"/>
        <n v="270.873654"/>
        <n v="107.94"/>
        <n v="68.26"/>
        <n v="62.7"/>
        <n v="12.31"/>
        <n v="255.92734"/>
        <n v="155.71"/>
        <n v="46.3"/>
        <n v="260.527247"/>
        <n v="271.9"/>
        <n v="200.62"/>
        <n v="337.939605"/>
        <n v="155.55"/>
        <n v="522.729656"/>
        <n v="2.4"/>
        <n v="13.61"/>
        <n v="87.77"/>
        <n v="45.94"/>
        <n v="148.32"/>
        <n v="262.390528"/>
        <n v="285.769901"/>
        <n v="12.17"/>
        <n v="1072.70281"/>
        <n v="494.677105"/>
        <n v="33.97"/>
        <n v="43.8"/>
        <n v="9.54"/>
        <n v="19.465"/>
        <n v="10.6"/>
        <n v="17.41"/>
        <n v="56.87"/>
        <n v="149.47"/>
        <n v="401.3"/>
        <n v="258.24"/>
        <n v="331.763384"/>
        <n v="42.48"/>
        <n v="44.81"/>
        <n v="47.62"/>
        <n v="10.34"/>
        <n v="365.56"/>
        <n v="38.78"/>
        <n v="31.2"/>
        <n v="366.44"/>
        <n v="320.438762"/>
        <n v="429.181212"/>
        <n v="704.54"/>
        <n v="8.39"/>
        <n v="65.92"/>
        <n v="34.71"/>
        <n v="32.14"/>
        <n v="224.89"/>
        <n v="290.32"/>
        <n v="451.820962"/>
        <n v="32.21"/>
        <n v="1.65"/>
        <n v="124.49"/>
        <n v="15.47"/>
        <n v="6.55"/>
        <n v="57.44"/>
        <n v="25.58"/>
        <n v="170.399308"/>
        <n v="8.51"/>
        <n v="12.5"/>
        <n v="12.37"/>
        <n v="273.03"/>
        <n v="68.0"/>
        <n v="9.49"/>
        <n v="115.77"/>
        <n v="28.66"/>
        <n v="295.18"/>
        <n v="50.56"/>
        <n v="35.05"/>
        <n v="357.4"/>
        <n v="155.115076"/>
        <n v="60.59"/>
        <n v="3.99"/>
        <n v="82.05"/>
        <n v="44.71"/>
        <n v="51.49"/>
        <n v="29.1"/>
        <n v="14.61"/>
        <n v="39.07"/>
        <n v="18.19"/>
        <n v="591.53551"/>
        <n v="847.130072"/>
        <n v="12.51"/>
        <n v="0.94"/>
        <n v="14.23"/>
        <n v="17.51"/>
        <n v="67.762764"/>
        <n v="201.16636"/>
        <n v="137.62"/>
        <n v="86.37"/>
        <n v="131.24"/>
        <n v="11.14"/>
        <n v="7.13"/>
        <n v="1.37"/>
        <n v="152.51"/>
        <n v="5.75"/>
        <n v="1.27"/>
        <n v="32.94"/>
        <n v="20.558984"/>
        <n v="135.340928"/>
        <n v="274.41"/>
        <n v="14.32"/>
        <n v="4.0"/>
        <n v="0.76"/>
        <n v="7.05"/>
        <n v="69.56"/>
        <n v="297.32"/>
        <n v="106.5"/>
        <n v="8.16"/>
        <n v="3.41"/>
        <n v="1.72"/>
        <n v="394.06"/>
        <n v="23.45"/>
        <n v="286.01"/>
        <n v="19.4"/>
        <n v="30.65"/>
        <n v="696.85"/>
        <n v="239.27915"/>
        <n v="454.95092"/>
        <n v="534.353089"/>
        <n v="332.5"/>
        <n v="102.4368"/>
        <n v="27.88"/>
        <n v="22.61"/>
        <n v="53.96"/>
        <n v="15.38"/>
        <n v="125.0"/>
        <n v="643.1277"/>
        <n v="96.8819"/>
        <n v="284.8027"/>
        <n v="108.78"/>
        <n v="432.56"/>
        <n v="111.98"/>
        <n v="13.65"/>
        <n v="4.14"/>
        <n v="10.81"/>
        <n v="122.96"/>
        <n v="34.92"/>
        <n v="214.37"/>
        <n v="26.46"/>
        <n v="10.74"/>
        <n v="2.5"/>
        <n v="3.14"/>
        <n v="281.0183"/>
        <n v="29.4403"/>
        <n v="433.96894"/>
        <n v="60.9994"/>
        <n v="441.17"/>
        <n v="684.98"/>
        <n v="237.19572"/>
        <n v="319.23"/>
        <n v="151.3188"/>
        <n v="249.475"/>
        <n v="186.158266"/>
        <n v="50.4184"/>
        <n v="35.8004"/>
        <n v="32.5196"/>
        <n v="144.325"/>
        <n v="90.3148"/>
        <n v="170.5144"/>
        <n v="206.1302"/>
        <n v="73.378"/>
        <n v="29.7012"/>
        <n v="366.692"/>
        <n v="79.2328"/>
        <n v="492.7576"/>
        <n v="15.15"/>
        <n v="34.68"/>
        <n v="138.8192"/>
        <n v="121.6472"/>
        <n v="190.7024"/>
        <n v="189.88"/>
        <n v="84.274508"/>
        <n v="37.6"/>
        <n v="3.127872"/>
        <n v="113.55"/>
        <n v="182.2452"/>
        <n v="134.562"/>
        <n v="17.6078"/>
        <n v="120.08"/>
        <n v="776.44"/>
        <n v="34.01"/>
        <n v="115.94284"/>
        <n v="210.664"/>
        <n v="69.62"/>
        <n v="115.65"/>
        <n v="135.4936"/>
        <n v="9.4744"/>
        <n v="300.99825"/>
        <n v="51.3"/>
        <n v="33.4"/>
        <n v="54.45"/>
        <n v="66.83"/>
        <n v="186.694208"/>
        <n v="286.78875"/>
        <n v="18.63"/>
        <n v="275.656276"/>
        <n v="42.783"/>
        <n v="21.57"/>
        <n v="180.84875"/>
        <n v="0.38"/>
        <n v="994.91"/>
        <n v="502.3861"/>
        <n v="50.5476"/>
        <n v="731.92"/>
        <n v="327.593"/>
        <n v="117.932"/>
        <n v="10.6372"/>
        <n v="25.8476"/>
        <n v="35.1336"/>
        <n v="1173.4756"/>
        <n v="154.538"/>
        <n v="300.2056"/>
        <n v="15.2188"/>
        <n v="53.2094"/>
        <n v="64.57"/>
        <n v="340.81"/>
        <n v="84.58"/>
        <n v="356.710124"/>
        <n v="171.34097"/>
        <n v="60.84"/>
        <n v="329.508"/>
        <n v="299.87"/>
        <n v="201.342"/>
        <n v="39.0536"/>
        <n v="374.189"/>
        <n v="54.1684"/>
        <n v="9.9944"/>
        <n v="8.4248"/>
        <n v="278.169088"/>
        <n v="80.9092"/>
        <n v="1797.9966"/>
        <n v="952.564"/>
        <n v="220.157"/>
        <n v="553.6"/>
        <n v="22.548"/>
        <n v="42.2692"/>
        <n v="1117.6577"/>
        <n v="1032.692"/>
        <n v="9.064"/>
        <n v="37.3364"/>
        <n v="1014.43"/>
        <n v="880.09"/>
        <n v="51.97"/>
        <n v="272.064"/>
        <n v="47.53"/>
        <n v="576.11"/>
        <n v="24.7492"/>
        <n v="217.75"/>
        <n v="261.62"/>
        <n v="296.987"/>
        <n v="112.556"/>
        <n v="49.84"/>
        <n v="494.13"/>
        <n v="149.682421"/>
        <n v="574.7828"/>
        <n v="129.9172"/>
        <n v="51.52"/>
        <n v="23.41"/>
        <n v="47.098"/>
        <n v="127.21"/>
        <n v="52.9013"/>
        <n v="133.11"/>
        <n v="567.0"/>
        <n v="9.1836"/>
        <n v="21.9044"/>
        <n v="111.43"/>
        <n v="317.64"/>
        <n v="413.13"/>
        <n v="466.52"/>
        <n v="443.13"/>
        <n v="79.2827"/>
        <n v="21.8224"/>
        <n v="9.0"/>
        <n v="602.0"/>
        <n v="1385.28069"/>
        <n v="201.6292"/>
        <n v="55.894"/>
        <n v="139.3344"/>
        <n v="18.946"/>
        <n v="394.904"/>
        <n v="173.2512"/>
        <n v="854.384"/>
        <n v="335.83"/>
        <n v="603.5"/>
        <n v="12.32"/>
        <n v="373.65"/>
        <n v="1409.93"/>
        <n v="105.278"/>
        <n v="193.54"/>
        <n v="174.4636"/>
        <n v="31.8096"/>
        <n v="134.56"/>
        <n v="389.73"/>
        <n v="1026.2642"/>
        <n v="1503.1697"/>
        <n v="324.97"/>
        <n v="936.69"/>
        <n v="632.41"/>
        <n v="789.92"/>
        <n v="1295.0"/>
        <n v="1013.8713"/>
        <n v="433.292"/>
        <n v="617.649"/>
        <n v="138.7766"/>
        <n v="379.97"/>
        <n v="42.35"/>
        <n v="536.4395"/>
        <n v="92.9775"/>
        <n v="884.03"/>
        <n v="546.31"/>
        <n v="433.74"/>
        <n v="836.189665"/>
        <n v="131.416"/>
        <n v="483.6395"/>
        <n v="50.8955"/>
        <n v="939.759"/>
        <n v="195.4444"/>
        <n v="672.55"/>
        <n v="236.355"/>
        <n v="106.72"/>
        <n v="562.49"/>
        <n v="376.5"/>
        <n v="684.83"/>
        <n v="216.4005"/>
        <n v="595.798"/>
        <n v="82.7666"/>
        <n v="352.09"/>
        <n v="34.77"/>
        <n v="81.0"/>
        <n v="854.81"/>
        <n v="829.46"/>
        <n v="98.0482"/>
        <n v="666.73"/>
        <n v="54.34825"/>
        <n v="81.3405"/>
        <n v="65.80125"/>
        <n v="446.88"/>
        <n v="61.3025"/>
        <n v="778.572"/>
        <n v="70.22925"/>
        <n v="1028.11"/>
        <n v="747.73"/>
        <n v="365.21"/>
        <n v="188.5"/>
        <n v="264.84"/>
        <n v="324.88"/>
        <n v="107.66"/>
        <n v="50.608"/>
        <n v="112.622"/>
        <n v="320.65"/>
        <n v="43.58"/>
        <n v="234.3196"/>
        <n v="144.9"/>
        <n v="465.35"/>
        <n v="418.76"/>
        <n v="149.12"/>
        <n v="224.7028"/>
        <n v="458.1424"/>
        <n v="106.9692"/>
        <n v="35.54"/>
        <n v="59.1352"/>
        <n v="714.07"/>
        <n v="1055.084"/>
        <n v="576.255"/>
        <n v="19.127"/>
        <n v="501.72"/>
        <n v="371.01429"/>
        <n v="218.32"/>
        <n v="245.862"/>
        <n v="124.7196"/>
        <n v="1031.392"/>
        <n v="171.965"/>
        <n v="53.93"/>
        <n v="3672.01"/>
        <n v="349.65"/>
        <n v="1234.5324"/>
        <n v="1819.85"/>
        <n v="224.75"/>
        <n v="1981.27"/>
        <n v="143.27"/>
        <n v="171.6177"/>
        <n v="673.843333333333"/>
        <n v="494.068"/>
        <n v="231.434"/>
        <n v="58.7922"/>
        <n v="76.391"/>
        <n v="292.2052"/>
        <n v="159.5084"/>
        <n v="747.570925"/>
        <n v="1483.35"/>
        <n v="1163.18"/>
        <n v="177.99"/>
        <n v="260.1036"/>
        <n v="243.4468"/>
        <n v="228.4729"/>
        <n v="477.95795"/>
        <n v="930.3"/>
        <n v="523.71"/>
        <n v="166.130678"/>
        <n v="248.4032"/>
        <n v="1645.97"/>
        <n v="231.2456"/>
        <n v="280.266"/>
        <n v="413.518"/>
        <n v="922.246"/>
        <n v="48.25"/>
        <n v="474.595"/>
        <n v="2519.99"/>
        <n v="186.5"/>
        <n v="165.5964"/>
        <n v="199.75225"/>
        <n v="1147.8147"/>
        <n v="515.19"/>
        <n v="2512.28817"/>
        <n v="1595.94497"/>
        <n v="861.51077"/>
        <n v="2847.20177"/>
        <n v="454.7"/>
        <n v="881.53077"/>
        <n v="477.56"/>
        <n v="461.79477"/>
        <n v="577.12"/>
        <n v="1085.55077"/>
        <n v="1237.12477"/>
        <n v="708.27077"/>
        <n v="1021.16477"/>
        <n v="430.60477"/>
        <n v="2481.48377"/>
        <n v="255.75"/>
        <n v="81.56"/>
        <n v="626.634"/>
        <n v="1203.426"/>
        <n v="375.942"/>
        <n v="463.9592"/>
        <n v="582.186"/>
        <n v="603.2"/>
        <n v="6681.5016"/>
        <n v="994.618"/>
        <n v="384.442"/>
        <n v="516.82"/>
        <n v="252.21"/>
        <n v="556.59"/>
        <n v="521.975"/>
        <n v="828.18"/>
        <n v="134.2316"/>
        <n v="174.72"/>
        <n v="674.31"/>
        <n v="529.04"/>
        <n v="1408.4928"/>
        <n v="845.89"/>
        <n v="214.28"/>
        <n v="1033.470322"/>
        <n v="670.14"/>
        <n v="1384.437392"/>
        <n v="801.25"/>
        <n v="261.64"/>
        <n v="848.661"/>
        <n v="77.53"/>
        <n v="483.17"/>
        <n v="134.0784"/>
        <n v="597.76"/>
        <n v="580.876"/>
        <n v="448.9619"/>
        <n v="343.86699"/>
        <n v="237.28"/>
        <n v="597.52"/>
        <n v="785.26"/>
        <n v="948.83"/>
        <n v="818.98724"/>
        <n v="795.5383"/>
        <n v="303.23"/>
        <n v="264.178"/>
        <n v="185.45"/>
        <n v="208.78"/>
        <n v="1051.1305"/>
        <n v="347.22"/>
        <n v="386.644"/>
        <n v="36.47"/>
        <n v="1103.136789"/>
        <n v="377.99"/>
        <n v="762.96"/>
        <n v="403.55"/>
        <n v="56.889"/>
        <n v="1024.53"/>
        <n v="31.35"/>
        <n v="917.63"/>
        <n v="1325.87"/>
        <n v="846.6432"/>
        <n v="245.76"/>
        <n v="247.91"/>
        <n v="118.1892"/>
        <n v="475.55"/>
        <n v="334.55"/>
        <n v="905.91"/>
        <n v="767.73"/>
        <n v="1048.8395"/>
        <n v="772.31"/>
        <n v="611.6972"/>
        <n v="1351.801"/>
        <n v="1003.581"/>
        <n v="955.02733"/>
        <n v="1043.58956"/>
        <n v="1115.49984"/>
        <n v="1251.83091"/>
        <n v="1147.289278"/>
        <n v="813.89"/>
        <n v="902.31174"/>
        <n v="1060.188144"/>
        <n v="40.26"/>
        <n v="476.07"/>
        <n v="544.7875"/>
        <n v="970.591"/>
        <n v="484.48"/>
        <n v="510.36"/>
        <n v="743.89"/>
        <n v="1080.11"/>
        <n v="469.68"/>
        <n v="483.51"/>
        <n v="1063.85591"/>
        <n v="751.250912"/>
        <n v="486.75"/>
        <n v="600.31"/>
        <n v="655.208"/>
        <n v="964.151"/>
        <n v="539.33"/>
        <n v="107.8"/>
        <n v="65.64"/>
        <n v="215.98"/>
        <n v="518.3"/>
        <n v="477.35"/>
        <m/>
      </sharedItems>
    </cacheField>
    <cacheField name="Cost of Run">
      <sharedItems containsNumber="1" containsBlank="1" containsString="0">
        <n v="229.95"/>
        <n v="242.43"/>
        <n v="238.36"/>
        <n v="217.1"/>
        <n v="214.97"/>
        <n v="223.96"/>
        <n v="32.2"/>
        <n v="205.08"/>
        <n v="215.44"/>
        <n v="201.07"/>
        <n v="256.01"/>
        <n v="244.86"/>
        <n v="10.35"/>
        <n v="217.14"/>
        <n v="195.38"/>
        <n v="50.6"/>
        <n v="219.58"/>
        <n v="244.35"/>
        <n v="200.0"/>
        <n v="215.63"/>
        <n v="210.6"/>
        <n v="222.54"/>
        <n v="235.27"/>
        <n v="87.36"/>
        <n v="41.4"/>
        <n v="576.1"/>
        <n v="175.0"/>
        <n v="744.0"/>
        <n v="27.45"/>
        <n v="237.04"/>
        <n v="16.08"/>
        <n v="188.1"/>
        <n v="241.7"/>
        <n v="239.5"/>
        <n v="134.32"/>
        <n v="234.24"/>
        <n v="99.43"/>
        <n v="224.23"/>
        <n v="216.38"/>
        <n v="226.31"/>
        <n v="287.84"/>
        <n v="115.08"/>
        <n v="75.6"/>
        <n v="67.2"/>
        <n v="9.17"/>
        <n v="211.24"/>
        <n v="224.8"/>
        <n v="50.0"/>
        <n v="273.67"/>
        <n v="215.75"/>
        <n v="204.84"/>
        <n v="280.79"/>
        <n v="150.64"/>
        <n v="510.22"/>
        <n v="3.85"/>
        <n v="20.274"/>
        <n v="112.7"/>
        <n v="45.6"/>
        <n v="233.46"/>
        <n v="229.39"/>
        <n v="344.92"/>
        <n v="11.9"/>
        <n v="746.73"/>
        <n v="501.73"/>
        <n v="41.58"/>
        <n v="41.48"/>
        <n v="9.52"/>
        <n v="19.72"/>
        <n v="15.41"/>
        <n v="25.38"/>
        <n v="75.2"/>
        <n v="148.35"/>
        <n v="294.83"/>
        <n v="286.23"/>
        <n v="293.7"/>
        <n v="21.35"/>
        <n v="36.27"/>
        <n v="62.91"/>
        <n v="15.93"/>
        <n v="393.4"/>
        <n v="45.64"/>
        <n v="18.91"/>
        <n v="391.2"/>
        <n v="283.52"/>
        <n v="394.59"/>
        <n v="577.6"/>
        <n v="8.54"/>
        <n v="78.12"/>
        <n v="27.56"/>
        <n v="57.33"/>
        <n v="214.84"/>
        <n v="339.15"/>
        <n v="290.2"/>
        <n v="39.04"/>
        <n v="2.17"/>
        <n v="125.35"/>
        <n v="3.42"/>
        <n v="8.82"/>
        <n v="37.1"/>
        <n v="40.8"/>
        <n v="340.19"/>
        <n v="14.911"/>
        <n v="14.98"/>
        <n v="14.56"/>
        <n v="319.25"/>
        <n v="40.26"/>
        <n v="9.76"/>
        <n v="153.9"/>
        <n v="55.1"/>
        <n v="167.79"/>
        <n v="31.5"/>
        <n v="86.25"/>
        <n v="150.56"/>
        <n v="240.95"/>
        <n v="112.14"/>
        <n v="5.58"/>
        <n v="126.67"/>
        <n v="48.19"/>
        <n v="72.8"/>
        <n v="37.95"/>
        <n v="13.98"/>
        <n v="21.42"/>
        <n v="25.11"/>
        <n v="590.98"/>
        <n v="404.4"/>
        <n v="13.42"/>
        <n v="0.93"/>
        <n v="16.61"/>
        <n v="55.61"/>
        <n v="134.93"/>
        <n v="294.29"/>
        <n v="300.3"/>
        <n v="82.6"/>
        <n v="156.95"/>
        <n v="11.59"/>
        <n v="9.12"/>
        <n v="9.45"/>
        <n v="2.97"/>
        <n v="155.25"/>
        <n v="6.82"/>
        <n v="2.1"/>
        <n v="46.428"/>
        <n v="8.05000000000001"/>
        <n v="237.89"/>
        <n v="281.24"/>
        <n v="15.86"/>
        <n v="5.27"/>
        <n v="1.38"/>
        <n v="9.2"/>
        <n v="41.8"/>
        <n v="378.32"/>
        <n v="108.1"/>
        <n v="9.18"/>
        <n v="4.41"/>
        <n v="5.49"/>
        <n v="378.0"/>
        <n v="9.87"/>
        <n v="273.0"/>
        <n v="24.82"/>
        <n v="19.32"/>
        <n v="744.8"/>
        <n v="401.01"/>
        <n v="489.53"/>
        <n v="535.63"/>
        <n v="408.8"/>
        <n v="105.8"/>
        <n v="26.04"/>
        <n v="35.99"/>
        <n v="89.68"/>
        <n v="130.76"/>
        <n v="427.5"/>
        <n v="27.3"/>
        <n v="302.1"/>
        <n v="78.32"/>
        <n v="451.05"/>
        <n v="59.17"/>
        <n v="22.8"/>
        <n v="7.44"/>
        <n v="15.25"/>
        <n v="143.5"/>
        <n v="34.79"/>
        <n v="424.17"/>
        <n v="25.06"/>
        <n v="14.42"/>
        <n v="4.34"/>
        <n v="12.0"/>
        <n v="247.0"/>
        <n v="38.0"/>
        <n v="622.25"/>
        <n v="58.59"/>
        <n v="606.15"/>
        <n v="617.33"/>
        <n v="446.52"/>
        <n v="310.54"/>
        <n v="183.0"/>
        <n v="312.4"/>
        <n v="283.25"/>
        <n v="33.44"/>
        <n v="33.53"/>
        <n v="22.26"/>
        <n v="133.4"/>
        <n v="96.48"/>
        <n v="225.07"/>
        <n v="228.0"/>
        <n v="83.39"/>
        <n v="31.08"/>
        <n v="392.23"/>
        <n v="98.82"/>
        <n v="586.21"/>
        <n v="29.12"/>
        <n v="110.46"/>
        <n v="152.0"/>
        <n v="129.2"/>
        <n v="218.5"/>
        <n v="418.01"/>
        <n v="144.19"/>
        <n v="88.6"/>
        <n v="3.17"/>
        <n v="56.73"/>
        <n v="250.89"/>
        <n v="172.9"/>
        <n v="21.84"/>
        <n v="112.86"/>
        <n v="498.58"/>
        <n v="81.36"/>
        <n v="114.67"/>
        <n v="173.18"/>
        <n v="134.33"/>
        <n v="133.21"/>
        <n v="145.7"/>
        <n v="27.93"/>
        <n v="261.57"/>
        <n v="70.69"/>
        <n v="79.76"/>
        <n v="66.66"/>
        <n v="64.28"/>
        <n v="316.92"/>
        <n v="159.62"/>
        <n v="40.11"/>
        <n v="243.59"/>
        <n v="30.78"/>
        <n v="12.92"/>
        <n v="196.74"/>
        <n v="4.77000000000004"/>
        <n v="868.7"/>
        <n v="489.6"/>
        <n v="71.68"/>
        <n v="775.32"/>
        <n v="286.11"/>
        <n v="151.06"/>
        <n v="12.6"/>
        <n v="34.41"/>
        <n v="48.23"/>
        <n v="1328.1"/>
        <n v="191.9"/>
        <n v="333.7"/>
        <n v="26.6"/>
        <n v="68.04"/>
        <n v="286.05"/>
        <n v="135.0"/>
        <n v="668.33"/>
        <n v="249.36"/>
        <n v="138.32"/>
        <n v="254.04"/>
        <n v="177.76"/>
        <n v="218.38"/>
        <n v="61.06"/>
        <n v="464.79"/>
        <n v="68.16"/>
        <n v="12.1"/>
        <n v="10.43"/>
        <n v="335.34"/>
        <n v="78.54"/>
        <n v="1291.0"/>
        <n v="521.24"/>
        <n v="243.83"/>
        <n v="328.32"/>
        <n v="31.72"/>
        <n v="38.78"/>
        <n v="1178.6"/>
        <n v="534.56"/>
        <n v="10.78"/>
        <n v="42.47"/>
        <n v="308.42"/>
        <n v="448.86"/>
        <n v="115.62"/>
        <n v="246.37"/>
        <n v="122.68"/>
        <n v="473.88"/>
        <n v="34.8"/>
        <n v="291.71"/>
        <n v="389.77"/>
        <n v="235.01"/>
        <n v="137.86"/>
        <n v="49.84"/>
        <n v="550.23"/>
        <n v="201.87"/>
        <n v="581.4"/>
        <n v="111.3"/>
        <n v="65.49"/>
        <n v="27.04"/>
        <n v="29.82"/>
        <n v="128.79"/>
        <n v="42.38"/>
        <n v="294.51"/>
        <n v="577.85"/>
        <n v="6.93"/>
        <n v="23.79"/>
        <n v="233.19"/>
        <n v="439.33"/>
        <n v="595.22"/>
        <n v="660.38"/>
        <n v="578.55"/>
        <n v="92.79"/>
        <n v="32.67"/>
        <n v="14.7"/>
        <n v="525.37"/>
        <n v="1341.19"/>
        <n v="235.46"/>
        <n v="64.17"/>
        <n v="97.16"/>
        <n v="26.0"/>
        <n v="323.0"/>
        <n v="115.9"/>
        <n v="563.04"/>
        <n v="549.79"/>
        <n v="627.79"/>
        <n v="29.3"/>
        <n v="631.2"/>
        <n v="637.68"/>
        <n v="101.46"/>
        <n v="230.7"/>
        <n v="153.72"/>
        <n v="32.86"/>
        <n v="136.29"/>
        <n v="580.35"/>
        <n v="1041.57"/>
        <n v="1838.4"/>
        <n v="539.17"/>
        <n v="627.78"/>
        <n v="645.77"/>
        <n v="618.33"/>
        <n v="1242.5"/>
        <n v="1168.8"/>
        <n v="231.8"/>
        <n v="615.37"/>
        <n v="169.05"/>
        <n v="609.41"/>
        <n v="120.69"/>
        <n v="641.9"/>
        <n v="109.8"/>
        <n v="728.72"/>
        <n v="689.57"/>
        <n v="515.77"/>
        <n v="689.41"/>
        <n v="150.06"/>
        <n v="635.8"/>
        <n v="50.89"/>
        <n v="627.88"/>
        <n v="361.61"/>
        <n v="758.99"/>
        <n v="236.5"/>
        <n v="123.93"/>
        <n v="590.92"/>
        <n v="612.2"/>
        <n v="803.44"/>
        <n v="46.97"/>
        <n v="633.28"/>
        <n v="67.9"/>
        <n v="683.21"/>
        <n v="106.28"/>
        <n v="9.23"/>
        <n v="683.43"/>
        <n v="593.64"/>
        <n v="78.08"/>
        <n v="640.8"/>
        <n v="51.15"/>
        <n v="74.42"/>
        <n v="72.96"/>
        <n v="622.75"/>
        <n v="18.6"/>
        <n v="652.03"/>
        <n v="89.6"/>
        <n v="772.19"/>
        <n v="680.14"/>
        <n v="593.38"/>
        <n v="298.22"/>
        <n v="485.95"/>
        <n v="541.24"/>
        <n v="85.63"/>
        <n v="52.4"/>
        <n v="140.82"/>
        <n v="220.24"/>
        <n v="279.63"/>
        <n v="255.38"/>
        <n v="20.6"/>
        <n v="335.32"/>
        <n v="413.72"/>
        <n v="228.03"/>
        <n v="410.81"/>
        <n v="601.15"/>
        <n v="142.69"/>
        <n v="82.51"/>
        <n v="94.5"/>
        <n v="555.41"/>
        <n v="1093.77"/>
        <n v="577.23"/>
        <n v="27.9"/>
        <n v="628.41"/>
        <n v="285.75"/>
        <n v="343.81"/>
        <n v="293.93"/>
        <n v="161.73"/>
        <n v="1606.02"/>
        <n v="203.77"/>
        <n v="66.35"/>
        <n v="3710.69"/>
        <n v="523.0"/>
        <n v="1365.91"/>
        <n v="1851.66"/>
        <n v="278.45"/>
        <n v="1806.21"/>
        <n v="316.69"/>
        <n v="111.1"/>
        <n v="523.49"/>
        <n v="642.1"/>
        <n v="195.49"/>
        <n v="41.63"/>
        <n v="78.13"/>
        <n v="291.22"/>
        <n v="259.86"/>
        <n v="751.15"/>
        <n v="1764.35"/>
        <n v="613.5"/>
        <n v="331.54"/>
        <n v="295.31"/>
        <n v="301.76"/>
        <n v="303.44"/>
        <n v="547.75"/>
        <n v="476.25"/>
        <n v="327.69"/>
        <n v="337.44"/>
        <n v="318.19"/>
        <n v="733.05"/>
        <n v="418.02"/>
        <n v="375.86"/>
        <n v="679.13"/>
        <n v="552.2"/>
        <n v="73.26"/>
        <n v="676.05"/>
        <n v="1198.17"/>
        <n v="351.07"/>
        <n v="207.04"/>
        <n v="226.87"/>
        <n v="1049.21"/>
        <n v="401.43"/>
        <n v="3060.53"/>
        <n v="2144.48"/>
        <n v="1223.19"/>
        <n v="3661.41"/>
        <n v="670.67"/>
        <n v="858.49"/>
        <n v="892.07"/>
        <n v="692.07"/>
        <n v="714.34"/>
        <n v="926.82"/>
        <n v="956.38"/>
        <n v="989.83"/>
        <n v="1294.62"/>
        <n v="627.44"/>
        <n v="2350.46"/>
        <n v="309.22"/>
        <n v="122.63"/>
        <n v="625.34"/>
        <n v="713.29"/>
        <n v="345.33"/>
        <n v="757.45"/>
        <n v="871.44"/>
        <n v="807.54"/>
        <n v="7031.05"/>
        <n v="854.33"/>
        <n v="755.89"/>
        <n v="841.83"/>
        <n v="416.01"/>
        <n v="863.19"/>
        <n v="756.71"/>
        <n v="844.42"/>
        <n v="171.32"/>
        <n v="324.57"/>
        <n v="896.07"/>
        <n v="847.36"/>
        <n v="1197.31"/>
        <n v="790.43"/>
        <n v="158.23"/>
        <n v="871.53"/>
        <n v="789.59"/>
        <n v="745.41"/>
        <n v="885.89"/>
        <n v="373.23"/>
        <n v="568.1"/>
        <n v="204.71"/>
        <n v="394.3"/>
        <n v="113.03"/>
        <n v="627.86"/>
        <n v="546.99"/>
        <n v="617.47"/>
        <n v="256.39"/>
        <n v="202.15"/>
        <n v="871.79"/>
        <n v="946.08"/>
        <n v="975.6"/>
        <n v="885.5"/>
        <n v="937.29"/>
        <n v="329.28"/>
        <n v="325.83"/>
        <n v="203.19"/>
        <n v="288.34"/>
        <n v="1021.74"/>
        <n v="332.79"/>
        <n v="370.87"/>
        <n v="47.58"/>
        <n v="1107.5"/>
        <n v="479.72"/>
        <n v="1131.18"/>
        <n v="826.29"/>
        <n v="102.08"/>
        <n v="1044.2"/>
        <n v="18.44"/>
        <n v="1089.53"/>
        <n v="1079.22"/>
        <n v="1068.44"/>
        <n v="281.51"/>
        <n v="59.4399999999999"/>
        <n v="387.27"/>
        <n v="304.88"/>
        <n v="1059.05"/>
        <n v="1076.02"/>
        <n v="1063.02"/>
        <n v="1095.03"/>
        <n v="652.04"/>
        <n v="656.53"/>
        <n v="639.02"/>
        <n v="1050.58"/>
        <n v="1064.26"/>
        <n v="1054.66"/>
        <n v="1102.14"/>
        <n v="1115.52"/>
        <n v="1105.1"/>
        <n v="1130.48"/>
        <n v="1108.65"/>
        <n v="113.99"/>
        <n v="217.81"/>
        <n v="397.64"/>
        <n v="426.55"/>
        <n v="436.28"/>
        <n v="439.25"/>
        <n v="463.19"/>
        <n v="1096.79"/>
        <n v="1008.48"/>
        <n v="453.33"/>
        <n v="482.3"/>
        <n v="1298.89"/>
        <n v="486.37"/>
        <n v="469.04"/>
        <n v="493.8"/>
        <n v="618.68"/>
        <n v="451.1"/>
        <n v="446.49"/>
        <n v="49.81"/>
        <n v="44.11"/>
        <n v="241.45"/>
        <n v="483.54"/>
        <n v="458.88"/>
        <m/>
      </sharedItems>
    </cacheField>
    <cacheField name="Plus/Minus">
      <sharedItems containsNumber="1" containsBlank="1" containsString="0">
        <n v="-0.840000000000003"/>
        <n v="-33.13"/>
        <n v="-219.0"/>
        <n v="-26.68"/>
        <n v="-20.78"/>
        <n v="14.28"/>
        <n v="9.64000000000001"/>
        <n v="-9.50000000000003"/>
        <n v="10.46"/>
        <n v="0.409999999999997"/>
        <n v="-35.24"/>
        <n v="-3.37"/>
        <n v="11.14"/>
        <n v="68.0542"/>
        <n v="-35.04"/>
        <n v="20.38"/>
        <n v="15.517576"/>
        <n v="69.426"/>
        <n v="33.74"/>
        <n v="82.55"/>
        <n v="141.78"/>
        <n v="0.359999999999985"/>
        <n v="66.89765"/>
        <n v="-3.08999999999998"/>
        <n v="-16.09"/>
        <n v="50.8400000000001"/>
        <n v="95.04"/>
        <n v="66.5129999999999"/>
        <n v="-7.87"/>
        <n v="-50.66"/>
        <n v="-6.69"/>
        <n v="-51.853224"/>
        <n v="-82.57"/>
        <n v="-56.7893"/>
        <n v="-5.10999999999998"/>
        <n v="-38.6"/>
        <n v="-99.43"/>
        <n v="-40.22416"/>
        <n v="-49.49"/>
        <n v="-36.33064"/>
        <n v="-16.966346"/>
        <n v="-7.14"/>
        <n v="-7.33999999999999"/>
        <n v="-4.5"/>
        <n v="3.14"/>
        <n v="44.68734"/>
        <n v="-69.09"/>
        <n v="-3.7"/>
        <n v="-13.142753"/>
        <n v="56.15"/>
        <n v="-4.22"/>
        <n v="57.149605"/>
        <n v="4.91000000000002"/>
        <n v="12.509656"/>
        <n v="-1.45"/>
        <n v="-6.664"/>
        <n v="-24.93"/>
        <n v="0.339999999999996"/>
        <n v="-85.14"/>
        <n v="33.000528"/>
        <n v="-59.150099"/>
        <n v="0.27"/>
        <n v="350.97281"/>
        <n v="-7.05289500000004"/>
        <n v="-7.61"/>
        <n v="2.32"/>
        <n v="0.019999999999998"/>
        <n v="-0.254999999999999"/>
        <n v="-4.81"/>
        <n v="-7.97"/>
        <n v="-18.33"/>
        <n v="1.12"/>
        <n v="106.47"/>
        <n v="-27.99"/>
        <n v="38.063384"/>
        <n v="21.13"/>
        <n v="8.54"/>
        <n v="-15.29"/>
        <n v="-5.59"/>
        <n v="-27.84"/>
        <n v="-6.86000000000001"/>
        <n v="12.29"/>
        <n v="-24.76"/>
        <n v="36.9187620000001"/>
        <n v="34.591212"/>
        <n v="126.94"/>
        <n v="-0.149999999999999"/>
        <n v="-12.2"/>
        <n v="7.15"/>
        <n v="-25.19"/>
        <n v="10.05"/>
        <n v="-48.83"/>
        <n v="161.620962"/>
        <n v="-6.83"/>
        <n v="-0.52"/>
        <n v="-0.859999999999999"/>
        <n v="12.05"/>
        <n v="-2.27"/>
        <n v="20.34"/>
        <n v="-15.22"/>
        <n v="-169.790692"/>
        <n v="-6.401"/>
        <n v="-2.48"/>
        <n v="-2.19"/>
        <n v="-46.22"/>
        <n v="27.74"/>
        <n v="-0.27"/>
        <n v="-38.13"/>
        <n v="-26.44"/>
        <n v="127.39"/>
        <n v="19.06"/>
        <n v="-51.2"/>
        <n v="206.84"/>
        <n v="-85.834924"/>
        <n v="-51.55"/>
        <n v="-1.59"/>
        <n v="-44.62"/>
        <n v="-3.48"/>
        <n v="-21.31"/>
        <n v="-8.84999999999999"/>
        <n v="0.629999999999999"/>
        <n v="17.65"/>
        <n v="-6.92"/>
        <n v="0.555510000000027"/>
        <n v="442.730072"/>
        <n v="-0.91"/>
        <n v="0.01"/>
        <n v="-2.38"/>
        <n v="-38.1"/>
        <n v="-67.167236"/>
        <n v="-93.12364"/>
        <n v="-162.68"/>
        <n v="3.77000000000001"/>
        <n v="-25.71"/>
        <n v="-0.449999999999999"/>
        <n v="-1.99"/>
        <n v="3.06"/>
        <n v="-1.6"/>
        <n v="-2.74000000000001"/>
        <n v="-1.07"/>
        <n v="-0.83"/>
        <n v="-13.488"/>
        <n v="12.508984"/>
        <n v="-102.549072"/>
        <n v="-6.82999999999998"/>
        <n v="-1.54"/>
        <n v="-1.27"/>
        <n v="-0.62"/>
        <n v="-2.15"/>
        <n v="27.76"/>
        <n v="-80.9999999999999"/>
        <n v="-1.59999999999999"/>
        <n v="-1.02"/>
        <n v="-1.0"/>
        <n v="-3.77"/>
        <n v="16.06"/>
        <n v="13.58"/>
        <n v="13.01"/>
        <n v="-5.42"/>
        <n v="11.33"/>
        <n v="-47.9499999999999"/>
        <n v="-161.73085"/>
        <n v="-34.5790799999999"/>
        <n v="-1.27691100000015"/>
        <n v="-76.3"/>
        <n v="-3.36320000000001"/>
        <n v="1.84"/>
        <n v="-13.38"/>
        <n v="-35.72"/>
        <n v="-6.04"/>
        <n v="-5.76000000000002"/>
        <n v="215.6277"/>
        <n v="69.5819"/>
        <n v="-17.2973"/>
        <n v="30.46"/>
        <n v="-18.49"/>
        <n v="52.81"/>
        <n v="-9.15"/>
        <n v="-3.3"/>
        <n v="-4.44"/>
        <n v="-20.54"/>
        <n v="0.129999999999995"/>
        <n v="-209.8"/>
        <n v="1.4"/>
        <n v="-3.68"/>
        <n v="-1.84"/>
        <n v="-8.86"/>
        <n v="34.0183"/>
        <n v="-8.5597"/>
        <n v="-188.28106"/>
        <n v="2.4094"/>
        <n v="-164.98"/>
        <n v="67.6500000000001"/>
        <n v="-209.32428"/>
        <n v="8.69"/>
        <n v="-31.6812"/>
        <n v="-62.925"/>
        <n v="-97.091734"/>
        <n v="16.9784"/>
        <n v="2.2704"/>
        <n v="10.2596"/>
        <n v="10.925"/>
        <n v="-6.16519999999998"/>
        <n v="-54.5556"/>
        <n v="-21.8698"/>
        <n v="-10.012"/>
        <n v="-1.3788"/>
        <n v="-25.538"/>
        <n v="-19.5872"/>
        <n v="-93.4524"/>
        <n v="-13.97"/>
        <n v="-75.7799999999999"/>
        <n v="-13.1808"/>
        <n v="-7.55279999999998"/>
        <n v="-27.7976"/>
        <n v="-228.13"/>
        <n v="-59.915492"/>
        <n v="-51.0"/>
        <n v="-0.042128"/>
        <n v="56.82"/>
        <n v="-68.6448"/>
        <n v="-38.338"/>
        <n v="-4.2322"/>
        <n v="7.22000000000001"/>
        <n v="277.86"/>
        <n v="-47.35"/>
        <n v="1.27284"/>
        <n v="37.484"/>
        <n v="-64.71"/>
        <n v="-17.56"/>
        <n v="-10.2064"/>
        <n v="-18.4556"/>
        <n v="39.42825"/>
        <n v="-19.39"/>
        <n v="-46.36"/>
        <n v="-12.21"/>
        <n v="2.55000000000003"/>
        <n v="-130.225792"/>
        <n v="127.16875"/>
        <n v="-21.48"/>
        <n v="32.0662760000001"/>
        <n v="12.003"/>
        <n v="8.65000000000004"/>
        <n v="-15.89125"/>
        <n v="-4.39000000000004"/>
        <n v="126.21"/>
        <n v="12.7861"/>
        <n v="-21.1324"/>
        <n v="-43.3999999999999"/>
        <n v="41.483"/>
        <n v="-33.128"/>
        <n v="-1.9628"/>
        <n v="-8.5624"/>
        <n v="-13.0964"/>
        <n v="-154.6244"/>
        <n v="-37.362"/>
        <n v="-33.4944"/>
        <n v="-11.3812"/>
        <n v="-14.8306"/>
        <n v="-69.76"/>
        <n v="54.76"/>
        <n v="-50.42"/>
        <n v="-311.619876"/>
        <n v="-78.01903"/>
        <n v="-77.48"/>
        <n v="75.468"/>
        <n v="122.11"/>
        <n v="-17.038"/>
        <n v="-22.0064"/>
        <n v="-90.601"/>
        <n v="-13.9916"/>
        <n v="-2.1056"/>
        <n v="-2.0052"/>
        <n v="-57.170912"/>
        <n v="2.36920000000002"/>
        <n v="506.9966"/>
        <n v="431.324"/>
        <n v="-23.673"/>
        <n v="225.28"/>
        <n v="-9.172"/>
        <n v="3.4892"/>
        <n v="-60.9422999999999"/>
        <n v="498.132"/>
        <n v="-1.716"/>
        <n v="-5.13359999999999"/>
        <n v="706.01"/>
        <n v="431.23"/>
        <n v="-63.65"/>
        <n v="25.694"/>
        <n v="-75.15"/>
        <n v="102.23"/>
        <n v="-10.0508"/>
        <n v="-73.96"/>
        <n v="-128.15"/>
        <n v="61.977"/>
        <n v="-25.304"/>
        <n v="0.0"/>
        <n v="-56.0999999999999"/>
        <n v="-52.1875790000001"/>
        <n v="-6.61719999999991"/>
        <n v="18.6172"/>
        <n v="-3.63"/>
        <n v="17.278"/>
        <n v="-1.58000000000008"/>
        <n v="10.5213"/>
        <n v="-161.4"/>
        <n v="-10.85"/>
        <n v="2.2536"/>
        <n v="-1.8856"/>
        <n v="-121.76"/>
        <n v="-121.69"/>
        <n v="-182.09"/>
        <n v="-193.86"/>
        <n v="-135.42"/>
        <n v="-13.5073"/>
        <n v="-10.8476"/>
        <n v="-5.7"/>
        <n v="76.63"/>
        <n v="44.0906900000002"/>
        <n v="-33.8308"/>
        <n v="-8.276"/>
        <n v="42.1744"/>
        <n v="-7.054"/>
        <n v="71.9040000000001"/>
        <n v="57.3512"/>
        <n v="291.344"/>
        <n v="-213.96"/>
        <n v="-24.2900000000001"/>
        <n v="-16.98"/>
        <n v="-257.55"/>
        <n v="772.25"/>
        <n v="3.81800000000001"/>
        <n v="-37.1599999999999"/>
        <n v="20.7436"/>
        <n v="-1.0504"/>
        <n v="-1.72999999999999"/>
        <n v="-190.62"/>
        <n v="-15.3057999999999"/>
        <n v="-335.2303"/>
        <n v="-214.2"/>
        <n v="308.91"/>
        <n v="-13.36"/>
        <n v="171.59"/>
        <n v="52.5"/>
        <n v="-154.9287"/>
        <n v="201.492"/>
        <n v="2.27899999999988"/>
        <n v="-30.2734"/>
        <n v="-229.44"/>
        <n v="-78.3400000000001"/>
        <n v="-105.4605"/>
        <n v="-16.8225"/>
        <n v="155.31"/>
        <n v="-143.26"/>
        <n v="-82.03"/>
        <n v="146.779665"/>
        <n v="-18.644"/>
        <n v="-152.1605"/>
        <n v="0.005499999999991"/>
        <n v="311.879"/>
        <n v="-166.1656"/>
        <n v="-86.44"/>
        <n v="-0.14500000000001"/>
        <n v="-17.21"/>
        <n v="-28.43"/>
        <n v="-235.7"/>
        <n v="-118.61"/>
        <n v="169.4305"/>
        <n v="-37.482"/>
        <n v="14.8666"/>
        <n v="-331.12"/>
        <n v="-71.51"/>
        <n v="71.77"/>
        <n v="171.38"/>
        <n v="235.82"/>
        <n v="19.9682"/>
        <n v="25.9300000000001"/>
        <n v="3.19825000000001"/>
        <n v="6.92049999999999"/>
        <n v="-7.15875000000001"/>
        <n v="-175.87"/>
        <n v="42.7025"/>
        <n v="126.542"/>
        <n v="-19.37075"/>
        <n v="255.92"/>
        <n v="67.59"/>
        <n v="-228.17"/>
        <n v="-109.72"/>
        <n v="-221.11"/>
        <n v="-216.36"/>
        <n v="22.03"/>
        <n v="-1.79199999999999"/>
        <n v="-28.198"/>
        <n v="100.41"/>
        <n v="-46.02"/>
        <n v="-45.3104"/>
        <n v="-110.48"/>
        <n v="-8.28"/>
        <n v="130.03"/>
        <n v="5.03999999999996"/>
        <n v="-78.91"/>
        <n v="-186.1072"/>
        <n v="-143.0076"/>
        <n v="-35.7208"/>
        <n v="-46.97"/>
        <n v="-35.3648"/>
        <n v="158.66"/>
        <n v="-38.6859999999999"/>
        <n v="-0.975000000000023"/>
        <n v="-8.773"/>
        <n v="-126.69"/>
        <n v="85.26429"/>
        <n v="-125.49"/>
        <n v="-48.068"/>
        <n v="-37.0104"/>
        <n v="-574.628"/>
        <n v="-31.805"/>
        <n v="-12.42"/>
        <n v="-38.6800000000003"/>
        <n v="-173.35"/>
        <n v="-131.3776"/>
        <n v="-31.8099999999997"/>
        <n v="-53.7"/>
        <n v="175.06"/>
        <n v="-173.42"/>
        <n v="60.5177"/>
        <n v="150.353333333333"/>
        <n v="-148.032"/>
        <n v="35.944"/>
        <n v="17.1622"/>
        <n v="-1.73900000000002"/>
        <n v="0.985199999999964"/>
        <n v="-100.3516"/>
        <n v="-3.5790750000001"/>
        <n v="-281.0"/>
        <n v="549.68"/>
        <n v="-153.55"/>
        <n v="-35.2064"/>
        <n v="-58.3132000000001"/>
        <n v="-74.9671000000001"/>
        <n v="-69.79205"/>
        <n v="454.05"/>
        <n v="196.02"/>
        <n v="-171.309322"/>
        <n v="-69.7868"/>
        <n v="912.92"/>
        <n v="-186.7744"/>
        <n v="-95.5939999999999"/>
        <n v="-265.612"/>
        <n v="370.046"/>
        <n v="-25.01"/>
        <n v="-201.455"/>
        <n v="1321.82"/>
        <n v="-164.57"/>
        <n v="-41.4435999999999"/>
        <n v="-27.11775"/>
        <n v="98.6047000000001"/>
        <n v="113.76"/>
        <n v="-548.24183"/>
        <n v="-548.53503"/>
        <n v="-361.67923"/>
        <n v="-814.20823"/>
        <n v="-215.97"/>
        <n v="23.04077"/>
        <n v="-414.51"/>
        <n v="-230.27523"/>
        <n v="-137.22"/>
        <n v="158.73077"/>
        <n v="280.74477"/>
        <n v="-281.55923"/>
        <n v="-273.45523"/>
        <n v="-196.83523"/>
        <n v="131.02377"/>
        <n v="-53.47"/>
        <n v="-41.07"/>
        <n v="1.2940000000001"/>
        <n v="490.136"/>
        <n v="30.612"/>
        <n v="-293.4908"/>
        <n v="-289.254"/>
        <n v="-204.34"/>
        <n v="-349.548400000001"/>
        <n v="140.288"/>
        <n v="-371.448"/>
        <n v="-325.01"/>
        <n v="-163.8"/>
        <n v="-306.6"/>
        <n v="-234.735"/>
        <n v="-16.2400000000001"/>
        <n v="-37.0884"/>
        <n v="-149.85"/>
        <n v="-221.76"/>
        <n v="-318.32"/>
        <n v="211.1828"/>
        <n v="55.4599999999999"/>
        <n v="56.05"/>
        <n v="161.940322"/>
        <n v="-119.45"/>
        <n v="639.027392"/>
        <n v="-84.6399999999999"/>
        <n v="-111.59"/>
        <n v="280.561"/>
        <n v="-127.18"/>
        <n v="88.8699999999998"/>
        <n v="21.0484"/>
        <n v="-30.1000000000001"/>
        <n v="33.886"/>
        <n v="-168.5081"/>
        <n v="87.4769900000002"/>
        <n v="35.1300000000001"/>
        <n v="-274.27"/>
        <n v="-160.82"/>
        <n v="-26.7699999999999"/>
        <n v="-66.5127600000001"/>
        <n v="-141.7517"/>
        <n v="-26.0500000000001"/>
        <n v="-61.6519999999999"/>
        <n v="-17.7400000000002"/>
        <n v="-79.56"/>
        <n v="29.3905000000001"/>
        <n v="14.4299999999999"/>
        <n v="15.7740000000001"/>
        <n v="-11.11"/>
        <n v="-4.36321099999986"/>
        <n v="-101.73"/>
        <n v="-368.22"/>
        <n v="-422.74"/>
        <n v="-45.191"/>
        <n v="-19.6699999999998"/>
        <n v="12.91"/>
        <n v="-171.9"/>
        <n v="246.65"/>
        <n v="-221.7968"/>
        <n v="-35.7500000000001"/>
        <n v="52.53"/>
        <n v="58.7492000000001"/>
        <n v="88.28"/>
        <n v="29.67"/>
        <n v="-153.14"/>
        <n v="-308.29"/>
        <n v="-14.1804999999997"/>
        <n v="-322.72"/>
        <n v="-40.3427999999999"/>
        <n v="695.271"/>
        <n v="364.561"/>
        <n v="-95.5526699999999"/>
        <n v="-20.6704400000001"/>
        <n v="60.8398399999999"/>
        <n v="149.69091"/>
        <n v="31.769278"/>
        <n v="-291.21"/>
        <n v="-228.16826"/>
        <n v="-48.4618560000001"/>
        <n v="-73.73"/>
        <n v="-217.81"/>
        <n v="78.4300000000002"/>
        <n v="118.2375"/>
        <n v="534.311"/>
        <n v="45.2299999999999"/>
        <n v="47.1700000000001"/>
        <n v="-352.9"/>
        <n v="71.6299999999999"/>
        <n v="16.3499999999999"/>
        <n v="1.21000000000004"/>
        <n v="-235.03409"/>
        <n v="264.880912"/>
        <n v="17.7099999999999"/>
        <n v="106.51"/>
        <n v="36.5279999999999"/>
        <n v="513.051"/>
        <n v="92.8399999999999"/>
        <n v="57.99"/>
        <n v="21.53"/>
        <n v="-25.4699999999999"/>
        <n v="34.7600000000001"/>
        <n v="18.47"/>
        <m/>
      </sharedItems>
    </cacheField>
    <cacheField name="Return %">
      <sharedItems containsBlank="1">
        <s v="-0.00365296803653"/>
        <s v="-0.136658004372396"/>
        <s v="-0.918778318509817"/>
        <s v="-0.122892676186089"/>
        <s v="-0.096664650881518"/>
        <s v="0.063761385961779"/>
        <s v="0.299378881987578"/>
        <s v="-0.046323385995709"/>
        <s v="0.048551800965466"/>
        <s v="0.002039090863878"/>
        <s v="-0.137650873012773"/>
        <s v="-0.013762966593155"/>
        <s v="1.07632850241546"/>
        <s v="0.313411623837156"/>
        <s v="-0.179342819121711"/>
        <s v="0.402766798418973"/>
        <s v="0.070669350578377"/>
        <s v="0.284125230202578"/>
        <s v="0.1687"/>
        <s v="0.382831702453277"/>
        <s v="0.673219373219373"/>
        <s v="0.001617686708008"/>
        <s v="0.284344157776172"/>
        <s v="-0.035370879120879"/>
        <s v="-0.388647342995169"/>
        <s v="0.088248567956952"/>
        <s v="0.543085714285714"/>
        <s v="0.089399193548387"/>
        <s v="-0.286703096539162"/>
        <s v="-0.213719203509956"/>
        <s v="-0.416044776119403"/>
        <s v="-0.275668389154705"/>
        <s v="-0.341621845262722"/>
        <s v="-0.237116075156576"/>
        <s v="-0.03804347826087"/>
        <s v="-0.16478825136612"/>
        <s v="-1"/>
        <s v="-0.179387949872898"/>
        <s v="-0.228717996117941"/>
        <s v="-0.160534841588971"/>
        <s v="-0.058943670094497"/>
        <s v="-0.062043795620438"/>
        <s v="-0.097089947089947"/>
        <s v="-0.066964285714286"/>
        <s v="0.342420937840785"/>
        <s v="0.211547718235183"/>
        <s v="-0.307339857651246"/>
        <s v="-0.074"/>
        <s v="-0.048024091058574"/>
        <s v="0.260254924681344"/>
        <s v="-0.020601445030268"/>
        <s v="0.203531482602657"/>
        <s v="0.032594264471588"/>
        <s v="0.024518160793383"/>
        <s v="-0.376623376623377"/>
        <s v="-0.328696853112361"/>
        <s v="-0.221206743566992"/>
        <s v="0.007456140350877"/>
        <s v="-0.364687740940632"/>
        <s v="0.143862103840621"/>
        <s v="-0.171489327960107"/>
        <s v="0.022689075630252"/>
        <s v="0.436533700266495"/>
        <s v="-0.014057152253204"/>
        <s v="-0.183020683020683"/>
        <s v="0.055930568948891"/>
        <s v="0.002100840336134"/>
        <s v="-0.012931034482759"/>
        <s v="-0.312134977287476"/>
        <s v="-0.314026792750197"/>
        <s v="-0.24375"/>
        <s v="0.007549713515335"/>
        <s v="0.36112335922396"/>
        <s v="-0.097788491772351"/>
        <s v="0.129599536942459"/>
        <s v="0.989695550351288"/>
        <s v="0.235456299972429"/>
        <s v="-0.243045620728024"/>
        <s v="-0.350910232266164"/>
        <s v="-0.070767666497204"/>
        <s v="-0.150306748466258"/>
        <s v="0.649920676890534"/>
        <s v="-0.063292433537832"/>
        <s v="0.130215723758465"/>
        <s v="0.08766368128944"/>
        <s v="0.219771468144044"/>
        <s v="-0.017564402810304"/>
        <s v="-0.156169994879672"/>
        <s v="0.259433962264151"/>
        <s v="-0.439386010814582"/>
        <s v="0.046778998324334"/>
        <s v="-0.143977591036414"/>
        <s v="0.556929572708477"/>
        <s v="-0.174948770491803"/>
        <s v="-0.23963133640553"/>
        <s v="-0.006860789788592"/>
        <s v="3.5233918128655"/>
        <s v="-0.257369614512472"/>
        <s v="0.548247978436658"/>
        <s v="-0.373039215686274"/>
        <s v="-0.499105476351451"/>
        <s v="-0.429280397022332"/>
        <s v="-0.165554072096128"/>
        <s v="-0.150412087912088"/>
        <s v="-0.144776820673453"/>
        <s v="0.689021361152509"/>
        <s v="-0.02766393442623"/>
        <s v="-0.24775828460039"/>
        <s v="-0.479854809437387"/>
        <s v="0.759222838071399"/>
        <s v="0.605079365079365"/>
        <s v="-0.593623188405797"/>
        <s v="1.37380446333688"/>
        <s v="-0.356235418136543"/>
        <s v="-0.459693240592117"/>
        <s v="-0.28494623655914"/>
        <s v="-0.352253888055578"/>
        <s v="-0.072214152313758"/>
        <s v="-0.29271978021978"/>
        <s v="-0.233201581027668"/>
        <s v="0.045064377682403"/>
        <s v="0.823996265172736"/>
        <s v="-0.275587415372362"/>
        <s v="0.000939981048428"/>
        <s v="1.09478257171118"/>
        <s v="-0.067809239940387"/>
        <s v="0.010752688172043"/>
        <s v="-0.143287176399759"/>
        <s v="-0.685128573997482"/>
        <s v="-0.497793196472245"/>
        <s v="-0.316434945122158"/>
        <s v="-0.541724941724942"/>
        <s v="0.045641646489104"/>
        <s v="-0.163810130614845"/>
        <s v="-0.038826574633304"/>
        <s v="-0.218201754385965"/>
        <s v="0.323809523809524"/>
        <s v="-0.538720538720539"/>
        <s v="-0.017648953301127"/>
        <s v="-0.156891495601173"/>
        <s v="-0.395238095238095"/>
        <s v="-0.290514344791936"/>
        <s v="1.55391105590062"/>
        <s v="-0.431077691369961"/>
        <s v="-0.024285307922059"/>
        <s v="-0.097099621689786"/>
        <s v="-0.240986717267552"/>
        <s v="-0.449275362318841"/>
        <s v="-0.233695652173913"/>
        <s v="0.664114832535885"/>
        <s v="-0.214104461831254"/>
        <s v="-0.014801110083256"/>
        <s v="-0.111111111111111"/>
        <s v="-0.226757369614512"/>
        <s v="-0.686703096539162"/>
        <s v="0.042486772486773"/>
        <s v="1.37588652482269"/>
        <s v="0.047655677655678"/>
        <s v="-0.218372280419017"/>
        <s v="0.586438923395445"/>
        <s v="-0.06437969924812"/>
        <s v="-0.403308770354854"/>
        <s v="-0.070637305170265"/>
        <s v="-0.002383942273585"/>
        <s v="-0.186643835616438"/>
        <s v="-0.031788279773157"/>
        <s v="0.070660522273426"/>
        <s v="-0.371769936093359"/>
        <s v="-0.398305084745763"/>
        <s v="-0.281979458450047"/>
        <s v="-0.044050168247171"/>
        <s v="0.504392280701754"/>
        <s v="2.54878754578755"/>
        <s v="-0.05725686858656"/>
        <s v="0.388917262512768"/>
        <s v="-0.040993238000222"/>
        <s v="0.892513097853642"/>
        <s v="-0.401315789473684"/>
        <s v="-0.443548387096774"/>
        <s v="-0.291147540983606"/>
        <s v="-0.143135888501742"/>
        <s v="0.003736705949986"/>
        <s v="-0.494613008935097"/>
        <s v="0.055865921787709"/>
        <s v="-0.255201109570042"/>
        <s v="-0.423963133640553"/>
        <s v="-0.738333333333333"/>
        <s v="0.137725910931174"/>
        <s v="-0.225255263157895"/>
        <s v="-0.302581052631579"/>
        <s v="0.041123058542413"/>
        <s v="-0.272176853914048"/>
        <s v="0.109584824972057"/>
        <s v="-0.468790378930395"/>
        <s v="0.027983512590971"/>
        <s v="-0.17312131147541"/>
        <s v="-0.201424455825864"/>
        <s v="-0.342777525154457"/>
        <s v="0.507727272727273"/>
        <s v="0.067712496271995"/>
        <s v="0.460898472596586"/>
        <s v="0.081896551724138"/>
        <s v="-0.063901326699834"/>
        <s v="-0.242393921890967"/>
        <s v="-0.095920175438596"/>
        <s v="-0.120062357596834"/>
        <s v="-0.044362934362934"/>
        <s v="-0.065109757030314"/>
        <s v="-0.198210888484112"/>
        <s v="-0.159417956022586"/>
        <s v="-0.479739010989011"/>
        <s v="-0.686040195545899"/>
        <s v="-0.086715789473684"/>
        <s v="-0.058458204334365"/>
        <s v="-0.127220137299771"/>
        <s v="-0.545752493959475"/>
        <s v="-0.415531534780498"/>
        <s v="-0.575620767494357"/>
        <s v="-0.013289589905363"/>
        <s v="1.00158646218932"/>
        <s v="-0.273605165610427"/>
        <s v="-0.221735106998265"/>
        <s v="-0.193782051282051"/>
        <s v="0.063973063973064"/>
        <s v="0.557302739780978"/>
        <s v="-0.581981317600787"/>
        <s v="0.01110002616203"/>
        <s v="0.216445317011202"/>
        <s v="-0.48172411226085"/>
        <s v="-0.131821935290143"/>
        <s v="-0.070050789293068"/>
        <s v="-0.66078052273541"/>
        <s v="0.150736896433077"/>
        <s v="-0.274296222945254"/>
        <s v="-0.581243731193581"/>
        <s v="-0.183168316831683"/>
        <s v="0.039670192906037"/>
        <s v="-0.410910614666162"/>
        <s v="0.796696842500939"/>
        <s v="-0.535527299925205"/>
        <s v="0.131640362904881"/>
        <s v="0.389961013645223"/>
        <s v="0.669504643962854"/>
        <s v="-0.080772847412829"/>
        <s v="-0.920335429769393"/>
        <s v="0.145286059629331"/>
        <s v="0.026115400326797"/>
        <s v="-0.294815848214286"/>
        <s v="-0.055976886962802"/>
        <s v="0.144989689280347"/>
        <s v="-0.219303587978287"/>
        <s v="-0.155777777777778"/>
        <s v="-0.248834641092706"/>
        <s v="-0.271540534936761"/>
        <s v="-0.116425269181538"/>
        <s v="-0.194695153725899"/>
        <s v="-0.100372789931076"/>
        <s v="-0.427864661654135"/>
        <s v="-0.217968841857731"/>
        <s v="-0.519318097223256"/>
        <s v="0.191435063800035"/>
        <s v="-0.373481481481482"/>
        <s v="-0.466266479134559"/>
        <s v="-0.312877085338466"/>
        <s v="-0.56015037593985"/>
        <s v="0.297071327350024"/>
        <s v="0.686937443744374"/>
        <s v="-0.078019965198278"/>
        <s v="-0.360406157877497"/>
        <s v="-0.194928892618172"/>
        <s v="-0.205275821596244"/>
        <s v="-0.17401652892562"/>
        <s v="-0.192253116011505"/>
        <s v="-0.170486407824894"/>
        <s v="0.030165520753756"/>
        <s v="0.392716189000775"/>
        <s v="0.827495971145729"/>
        <s v="-0.097088135176147"/>
        <s v="0.686159844054581"/>
        <s v="-0.289155107187894"/>
        <s v="0.08997421351212"/>
        <s v="-0.051707364669947"/>
        <s v="0.931854235258905"/>
        <s v="-0.159183673469388"/>
        <s v="-0.120875912408759"/>
        <s v="2.28911873419363"/>
        <s v="0.960722719778995"/>
        <s v="-0.550510292336966"/>
        <s v="0.104290295084629"/>
        <s v="-0.61256928594718"/>
        <s v="0.215729720604372"/>
        <s v="-0.288816091954023"/>
        <s v="-0.253539474135271"/>
        <s v="-0.32878364163481"/>
        <s v="0.263720692736479"/>
        <s v="-0.183548527491658"/>
        <s v="0"/>
        <s v="-0.101957363284444"/>
        <s v="-0.258520726209937"/>
        <s v="-0.011381492948056"/>
        <s v="0.167270440251572"/>
        <s v="-0.213315009925179"/>
        <s v="-0.134245562130177"/>
        <s v="0.579409792085848"/>
        <s v="-0.012268033232394"/>
        <s v="0.248260972156678"/>
        <s v="-0.54802892940817"/>
        <s v="-0.01877649909146"/>
        <s v="0.325194805194805"/>
        <s v="-0.079260193358554"/>
        <s v="-0.522149320296754"/>
        <s v="-0.276989961987572"/>
        <s v="-0.305920499983199"/>
        <s v="-0.293558254338411"/>
        <s v="-0.234067928441794"/>
        <s v="-0.145568487983619"/>
        <s v="-0.332035506580961"/>
        <s v="-0.387755102040816"/>
        <s v="0.145859108818547"/>
        <s v="0.032874305653934"/>
        <s v="-0.143679605877856"/>
        <s v="-0.12896992364033"/>
        <s v="0.434071634417456"/>
        <s v="-0.271307692307692"/>
        <s v="0.222613003095976"/>
        <s v="0.494833477135462"/>
        <s v="0.51744813867576"/>
        <s v="-0.389166772767784"/>
        <s v="-0.038691282116632"/>
        <s v="-0.579522184300341"/>
        <s v="-0.408032319391635"/>
        <s v="1.21103061096475"/>
        <s v="0.037630593337276"/>
        <s v="-0.161074989163415"/>
        <s v="0.134944054124382"/>
        <s v="-0.031965916007304"/>
        <s v="-0.012693521168097"/>
        <s v="-0.328456965624192"/>
        <s v="-0.014694931689661"/>
        <s v="-0.182348944734552"/>
        <s v="-0.397277296585493"/>
        <s v="0.492067284717576"/>
        <s v="-0.020688480418725"/>
        <s v="0.277505539113418"/>
        <s v="0.04225352112676"/>
        <s v="-0.13255364476386"/>
        <s v="0.869249352890423"/>
        <s v="0.003703462957245"/>
        <s v="-0.179079562259686"/>
        <s v="-0.37649529873156"/>
        <s v="-0.649101002568564"/>
        <s v="-0.164294282598536"/>
        <s v="-0.153210382513661"/>
        <s v="0.213127127017236"/>
        <s v="-0.207752657453195"/>
        <s v="-0.159043759815422"/>
        <s v="0.212906202404955"/>
        <s v="-0.124243635878982"/>
        <s v="-0.239321327461466"/>
        <s v="0.000108076242877"/>
        <s v="0.496717525641842"/>
        <s v="-0.459516053206493"/>
        <s v="-0.113888193520336"/>
        <s v="-0.00061310782241"/>
        <s v="-0.138868716210764"/>
        <s v="-0.048111419481486"/>
        <s v="-0.38500490035936"/>
        <s v="-0.147627700886189"/>
        <s v="3.60720672769853"/>
        <s v="-0.059187089439111"/>
        <s v="0.218948453608248"/>
        <s v="-0.484653327673775"/>
        <s v="-0.672845314264208"/>
        <s v="7.77573131094258"/>
        <s v="0.250764525993884"/>
        <s v="0.397244121016104"/>
        <s v="0.255740266393443"/>
        <s v="0.040465043695381"/>
        <s v="0.06252688172043"/>
        <s v="0.092992475141091"/>
        <s v="-0.098118832236842"/>
        <s v="-0.282408671216379"/>
        <s v="2.29583333333333"/>
        <s v="0.194073892305569"/>
        <s v="-0.21619140625"/>
        <s v="0.331421023323276"/>
        <s v="0.099376598935513"/>
        <s v="-0.384525936162324"/>
        <s v="-0.367916303400174"/>
        <s v="-0.455005659018418"/>
        <s v="-0.399748725149656"/>
        <s v="0.25726964848768"/>
        <s v="-0.034198473282443"/>
        <s v="-0.20024144297685"/>
        <s v="0.455911732655285"/>
        <s v="-0.513616071428572"/>
        <s v="-0.162036977434467"/>
        <s v="-0.432610227895685"/>
        <s v="-0.401941747572816"/>
        <s v="0.387778838124776"/>
        <s v="0.012182152180218"/>
        <s v="-0.346050958207253"/>
        <s v="-0.453024999391446"/>
        <s v="-0.237890044082176"/>
        <s v="-0.250338496040367"/>
        <s v="-0.56926433159617"/>
        <s v="-0.374230687830688"/>
        <s v="0.28566284366504"/>
        <s v="-0.035369410387924"/>
        <s v="-0.001689101398056"/>
        <s v="-0.314444444444444"/>
        <s v="-0.201604048312407"/>
        <s v="0.298387716535433"/>
        <s v="-0.364998109420901"/>
        <s v="-0.163535535671758"/>
        <s v="-0.228840660359859"/>
        <s v="-0.357796291453406"/>
        <s v="-0.156082838494381"/>
        <s v="-0.187189148455162"/>
        <s v="-0.01042393732702"/>
        <s v="-0.331453154875717"/>
        <s v="-0.096183203871412"/>
        <s v="-0.017179179763023"/>
        <s v="-0.192853295026037"/>
        <s v="0.096921177493204"/>
        <s v="-0.547601755660109"/>
        <s v="0.544713771377138"/>
        <s v="0.28721338198119"/>
        <s v="-0.23054352904532"/>
        <s v="0.183866182413423"/>
        <s v="0.412255584914725"/>
        <s v="-0.022257775502368"/>
        <s v="0.003383009408694"/>
        <s v="-0.386175633033172"/>
        <s v="-0.00476479398256"/>
        <s v="-0.159265451866126"/>
        <s v="0.8959739201304"/>
        <s v="-0.46314170235869"/>
        <s v="-0.119218448410145"/>
        <s v="-0.193243637327678"/>
        <s v="-0.247057408383865"/>
        <s v="-0.127415883158375"/>
        <s v="0.953385826771653"/>
        <s v="0.598187311178248"/>
        <s v="-0.507673429350403"/>
        <s v="-0.219324303089349"/>
        <s v="1.24537207557465"/>
        <s v="-0.446807329792833"/>
        <s v="-0.254334060554462"/>
        <s v="-0.391106268313872"/>
        <s v="0.670130387540746"/>
        <s v="-0.341386841386841"/>
        <s v="-0.297988314473782"/>
        <s v="1.10319904521061"/>
        <s v="-0.468766912581537"/>
        <s v="-0.200171947449768"/>
        <s v="-0.119529906995196"/>
        <s v="0.093979946817129"/>
        <s v="0.283386891861595"/>
        <s v="-0.179132970433226"/>
        <s v="-0.255789296239648"/>
        <s v="-0.295685241050041"/>
        <s v="-0.222375595740439"/>
        <s v="-0.32202126231977"/>
        <s v="0.026838716816736"/>
        <s v="-0.464660845000953"/>
        <s v="-0.332734015345268"/>
        <s v="-0.192093400901531"/>
        <s v="0.171263859217539"/>
        <s v="0.293549394592108"/>
        <s v="-0.284452107937727"/>
        <s v="-0.211224320650075"/>
        <s v="-0.313711637766161"/>
        <s v="0.055743884175863"/>
        <s v="-0.172918957376625"/>
        <s v="-0.334909891543668"/>
        <s v="0.002069274314773"/>
        <s v="0.687148284708884"/>
        <s v="0.088645643297715"/>
        <s v="-0.387472176381279"/>
        <s v="-0.331926466538144"/>
        <s v="-0.253040097084974"/>
        <s v="-0.049714964336764"/>
        <s v="0.164208209942294"/>
        <s v="-0.491404834036698"/>
        <s v="-0.386075573453072"/>
        <s v="-0.393740535083291"/>
        <s v="-0.355194105585097"/>
        <s v="-0.310204701933369"/>
        <s v="-0.019232135667085"/>
        <s v="-0.216486107868316"/>
        <s v="-0.461687771513079"/>
        <s v="-0.247480665573002"/>
        <s v="-0.375660876132931"/>
        <s v="0.176381054196491"/>
        <s v="0.070164340928355"/>
        <s v="0.354231182455919"/>
        <s v="0.185811529149886"/>
        <s v="-0.151281044592763"/>
        <s v="0.857283095209348"/>
        <s v="-0.095542335955931"/>
        <s v="-0.298984540363851"/>
        <s v="0.493858475620489"/>
        <s v="-0.621269112402911"/>
        <s v="0.225386761349226"/>
        <s v="0.186219587720075"/>
        <s v="-0.047940623705922"/>
        <s v="0.061949944240297"/>
        <s v="-0.272900869677879"/>
        <s v="0.341187214789969"/>
        <s v="0.173781845164483"/>
        <s v="-0.314605581619427"/>
        <s v="-0.169985624894301"/>
        <s v="-0.027439524395244"/>
        <s v="-0.075113224167137"/>
        <s v="-0.151235690127922"/>
        <s v="-0.079112001943635"/>
        <s v="-0.189215234938464"/>
        <s v="-0.087307446232591"/>
        <s v="-0.275924256086565"/>
        <s v="0.028765145731791"/>
        <s v="0.043360677904985"/>
        <s v="0.042532423760348"/>
        <s v="-0.233501471206389"/>
        <s v="-0.003939693905192"/>
        <s v="-0.212061202368048"/>
        <s v="-0.325518485121731"/>
        <s v="-0.511612145856782"/>
        <s v="-0.442701802507837"/>
        <s v="-0.018837387473664"/>
        <s v="0.700108459869848"/>
        <s v="-0.157774453204593"/>
        <s v="0.22854468968329"/>
        <s v="-0.207589382651342"/>
        <s v="-0.126993712479131"/>
        <s v="0.268860681748388"/>
        <s v="0.988378196500675"/>
        <s v="0.227954656957678"/>
        <s v="0.097316977171346"/>
        <s v="-0.1446012936122"/>
        <s v="-0.28650954443226"/>
        <s v="-0.013339824274237"/>
        <s v="-0.294713386847849"/>
        <s v="-0.061871664315072"/>
        <s v="1.05900872770475"/>
        <s v="0.570500140840663"/>
        <s v="-0.090952302537646"/>
        <s v="-0.01942235919794"/>
        <s v="0.057686685756547"/>
        <s v="0.135818416898035"/>
        <s v="0.028479344162364"/>
        <s v="-0.263514614062076"/>
        <s v="-0.201833079753733"/>
        <s v="-0.043712493573265"/>
        <s v="-0.646811123782788"/>
        <s v="0.197238708379439"/>
        <s v="0.277194936115344"/>
        <s v="1.22469744200972"/>
        <s v="0.102970973249857"/>
        <s v="0.101837259008183"/>
        <s v="-0.321757127617867"/>
        <s v="0.071027685229256"/>
        <s v="0.036066441665012"/>
        <s v="0.002508811942774"/>
        <s v="-0.180949957271209"/>
        <s v="0.544607833542364"/>
        <s v="0.037757973733583"/>
        <s v="0.215694613203726"/>
        <s v="0.059041830995022"/>
        <s v="1.13733318554644"/>
        <s v="0.207932988420793"/>
        <s v="1.1642240513953"/>
        <s v="0.488097936975742"/>
        <s v="-0.105487678608407"/>
        <s v="0.071886503701866"/>
        <s v="0.040250174337517"/>
        <m/>
      </sharedItems>
    </cacheField>
    <cacheField name="Cost Per Mob">
      <sharedItems containsNumber="1" containsBlank="1" containsMixedTypes="1">
        <m/>
        <n v="4.24189189189189"/>
        <e v="#DIV/0!"/>
        <n v="1.15"/>
        <n v="1.18945"/>
        <n v="1.38541871921182"/>
        <n v="0.925094991364422"/>
        <n v="5.93486842105263"/>
        <n v="4.55751879699248"/>
        <n v="5.8238679245283"/>
        <n v="0.949662447257384"/>
        <n v="3.69166666666667"/>
        <n v="5.8346511627907"/>
        <n v="3.31941176470588"/>
        <n v="4.33547826086957"/>
        <n v="4.068"/>
        <n v="6.185"/>
        <n v="3.838"/>
        <n v="5.79173913043478"/>
        <n v="5.56531914893617"/>
        <n v="0.606920152091255"/>
        <n v="2.674"/>
        <n v="3.38319444444444"/>
        <n v="0.978805970149254"/>
        <n v="1.19250000000001"/>
        <n v="0.956889632107024"/>
        <n v="4.7975"/>
        <n v="7.15125"/>
        <n v="1.92857142857143"/>
        <n v="8.91106666666667"/>
        <n v="7.12457142857143"/>
        <n v="13.832"/>
        <n v="4.53642857142857"/>
        <n v="8.888"/>
        <n v="5.19952380952381"/>
        <n v="4.6479"/>
        <n v="5.48673684210526"/>
        <n v="5.8104347826087"/>
        <n v="6.23526315789474"/>
        <n v="5.20910714285714"/>
        <n v="6.60627118644068"/>
        <n v="6.47329411764706"/>
        <n v="15.5284615384615"/>
        <n v="6.35"/>
        <n v="6.15478723404255"/>
        <n v="0.9665625"/>
        <n v="3.69978873239437"/>
        <n v="6.54697674418605"/>
        <n v="6.54511904761905"/>
        <n v="6.60831578947368"/>
        <n v="4.18571428571428"/>
        <n v="7.17272727272727"/>
        <n v="3.382"/>
        <n v="3.7441935483871"/>
        <n v="6.82493670886076"/>
        <n v="6.60821052631579"/>
        <n v="6.65742268041237"/>
        <n v="6.24575757575758"/>
        <n v="6.83744444444444"/>
        <n v="6.28257731958763"/>
        <n v="5.83545454545455"/>
        <n v="6.94019047619048"/>
        <n v="7.18302083333333"/>
        <n v="8.31887096774194"/>
        <n v="6.55463917525773"/>
        <n v="6.03730769230769"/>
        <n v="1.42366141732283"/>
        <n v="5.62780952380952"/>
        <n v="5.88653846153846"/>
        <n v="7.11008849557522"/>
        <n v="5.80990825688073"/>
        <n v="6.8321"/>
        <n v="6.44745283018868"/>
        <n v="5.76349514563107"/>
        <n v="6.47272727272727"/>
        <n v="4.865234375"/>
        <n v="5.77017699115044"/>
        <n v="6.23981651376147"/>
        <n v="5.8750495049505"/>
        <n v="1.25239583333333"/>
        <n v="1.09761538461538"/>
        <n v="10.31375"/>
        <n v="1.26"/>
        <n v="6.10340659340659"/>
        <n v="6.32236994219653"/>
        <n v="6.47845360824742"/>
        <n v="6.36481989708405"/>
        <n v="11.1276595744681"/>
        <n v="5.36713043478261"/>
        <n v="3.61623376623377"/>
        <n v="3.7786820083682"/>
        <n v="6.20960784313726"/>
        <n v="6.35742574257426"/>
        <n v="1.19201219512195"/>
        <n v="1.15106719367589"/>
        <n v="6.20785123966942"/>
        <n v="6.2788256227758"/>
        <n v="12.27"/>
        <n v="5.92035714285714"/>
        <n v="1.26200854700855"/>
        <n v="1.36071748878924"/>
        <n v="11.0755813953488"/>
        <n v="7.12369565217391"/>
        <n v="10.3246478873239"/>
        <n v="0.973730569948186"/>
        <n v="11.3188333333333"/>
        <n v="9.68771929824562"/>
        <n v="6.37783018867924"/>
        <n v="3.80371428571429"/>
        <n v="6.10005813953488"/>
        <n v="0.620448222565688"/>
        <n v="6.20797160243408"/>
        <n v="6.19791907514451"/>
        <n v="6.24076530612245"/>
        <n v="5.99248772504092"/>
        <n v="6.097"/>
        <n v="5.6853642384106"/>
        <n v="5.94713333333333"/>
        <n v="6.12451327433628"/>
        <n v="6.21165217391304"/>
        <n v="5.72111111111111"/>
        <n v="6.01496855345912"/>
        <n v="6.0355487804878"/>
        <n v="5.96599078341014"/>
        <n v="6.40244897959184"/>
        <n v="6.15303664921466"/>
        <n v="4.8315625"/>
        <n v="11.1481818181818"/>
        <n v="1.2885447761194"/>
        <n v="3.67694174757282"/>
        <n v="4.11056603773585"/>
        <n v="4.01761194029851"/>
        <n v="3.95523148148148"/>
        <n v="4.04725961538462"/>
        <n v="3.97783410138249"/>
        <n v="3.83827272727273"/>
        <n v="4.0003125"/>
        <n v="7.63387387387387"/>
        <n v="12.6032631578947"/>
        <n v="11.6239705882353"/>
        <n v="11.7774324324324"/>
        <n v="11.120985915493"/>
        <n v="12.4235"/>
        <n v="3.91986725663717"/>
        <n v="14.9292"/>
        <n v="10.2355"/>
        <n v="12.7193548387097"/>
        <n v="7.064375"/>
        <n v="5.18892561983471"/>
        <n v="4.84061946902655"/>
        <n v="8.23293333333333"/>
        <n v="1.69794701986755"/>
        <n v="3.92698198198198"/>
        <n v="4.07793103448276"/>
        <n v="4.01481481481481"/>
        <n v="14.7583333333333"/>
        <n v="3.95481012658228"/>
        <n v="1.40717948717949"/>
        <n v="13.546"/>
        <n v="4.03849802371541"/>
        <n v="1.3101968503937"/>
        <n v="4.04197080291971"/>
        <n v="4.2686037735849"/>
        <n v="1.16"/>
        <n v="3.95530303030303"/>
        <n v="4.12700757575758"/>
        <n v="3.98236162361624"/>
        <n v="4.07801526717557"/>
        <n v="1.10830708661417"/>
        <n v="3.025546875"/>
        <n v="1.20505928853755"/>
        <n v="4.07326923076923"/>
        <n v="4.12268199233716"/>
        <n v="3.99631578947368"/>
        <n v="4.13218867924528"/>
        <n v="6.76835051546392"/>
        <n v="6.26490196078431"/>
        <n v="4.08785992217899"/>
        <n v="3.95635687732342"/>
        <n v="3.89173431734317"/>
        <n v="4.09717472118959"/>
        <n v="4.14691449814126"/>
        <n v="4.17018867924528"/>
        <n v="4.11083636363636"/>
        <n v="4.13675373134328"/>
        <n v="11.399"/>
        <n v="4.32217391304348"/>
        <n v="4.58655913978495"/>
        <n v="4.45183673469388"/>
        <n v="4.72311827956989"/>
        <n v="4.87568421052632"/>
        <n v="4.0925"/>
        <n v="4.01784860557769"/>
        <n v="4.62581632653061"/>
        <n v="4.92142857142857"/>
        <n v="4.19284482758621"/>
        <n v="4.78612244897959"/>
        <n v="5.1978947368421"/>
        <n v="4.12453333333333"/>
        <n v="4.65051546391753"/>
        <n v="4.51"/>
        <n v="0.332066666666667"/>
        <n v="0.239728260869565"/>
        <n v="4.78752475247525"/>
        <n v="4.49882352941176"/>
      </sharedItems>
    </cacheField>
    <cacheField name="Profit Per Mob">
      <sharedItems containsNumber="1" containsBlank="1" containsMixedTypes="1">
        <m/>
        <n v="3.54702702702703"/>
        <e v="#DIV/0!"/>
        <n v="2.93699771428571"/>
        <n v="0.67670464"/>
        <n v="1.35177339901478"/>
        <n v="0.922889618307426"/>
        <n v="5.69157894736842"/>
        <n v="3.31706766917293"/>
        <n v="6.46207547169811"/>
        <n v="0.719470042194093"/>
        <n v="1.56666666666667"/>
        <n v="4.23826046511628"/>
        <n v="3.53176470588235"/>
        <n v="6.75165217391304"/>
        <n v="1.7005"/>
        <n v="7.52371428571429"/>
        <n v="1.98914285714286"/>
        <n v="5.02826086956522"/>
        <n v="6.40421808510638"/>
        <n v="1.09045152091255"/>
        <n v="1.242"/>
        <n v="3.82855938888889"/>
        <n v="0.899745024875622"/>
        <n v="0.095"/>
        <n v="1.09562876254181"/>
        <n v="2.30607142857143"/>
        <n v="8.52025"/>
        <n v="1.20828571428571"/>
        <n v="4.75613498666667"/>
        <n v="4.89545628571429"/>
        <n v="6.084"/>
        <n v="5.88407142857143"/>
        <n v="14.9935"/>
        <n v="4.79385714285714"/>
        <n v="3.74189"/>
        <n v="10.0269894736842"/>
        <n v="11.2249130434783"/>
        <n v="7.58039473684211"/>
        <n v="3.88839285714286"/>
        <n v="4.43423728813559"/>
        <n v="5.81329411764706"/>
        <n v="11.5140323846154"/>
        <n v="6.23076923076923"/>
        <n v="4.71414893617021"/>
        <n v="0.825861458333333"/>
        <n v="4.23943661971831"/>
        <n v="9.9346976744186"/>
        <n v="3.99797619047619"/>
        <n v="6.35263157894737"/>
        <n v="1.76"/>
        <n v="4.24602272727273"/>
        <n v="3.50926666666667"/>
        <n v="2.51438709677419"/>
        <n v="4.11354430379747"/>
        <n v="9.85989473684211"/>
        <n v="6.51969072164948"/>
        <n v="7.9789898989899"/>
        <n v="6.86276666666667"/>
        <n v="3.91721649484536"/>
        <n v="4.87672272727273"/>
        <n v="8.41933333333333"/>
        <n v="5.69072916666667"/>
        <n v="6.9958064516129"/>
        <n v="4.98597422680412"/>
        <n v="9.03614423076923"/>
        <n v="0.769466141732284"/>
        <n v="5.35704761904762"/>
        <n v="3.62019230769231"/>
        <n v="6.06044247787611"/>
        <n v="5.46603669724771"/>
        <n v="3.5209"/>
        <n v="8.06424528301887"/>
        <n v="8.05300970873786"/>
        <n v="6.73464646464646"/>
        <n v="3.49125"/>
        <n v="6.89001769911504"/>
        <n v="6.85990825688073"/>
        <n v="3.61594059405941"/>
        <n v="0.954463333333333"/>
        <n v="0.82284"/>
        <n v="4.4425"/>
        <n v="0.788469333333333"/>
        <n v="7.84692307692308"/>
        <n v="6.0987514450867"/>
        <n v="5.17237113402062"/>
        <n v="6.29847341337907"/>
        <n v="7.43936170212766"/>
        <n v="5.27492753623188"/>
        <n v="2.91883116883117"/>
        <n v="4.14491631799163"/>
        <n v="2.80921568627451"/>
        <n v="4.89176237623762"/>
        <n v="1.41118292682927"/>
        <n v="1.15496126482213"/>
        <n v="6.17827210743802"/>
        <n v="5.2788256227758"/>
        <n v="23.2636"/>
        <n v="3.17839285714286"/>
        <n v="1.11155384615385"/>
        <n v="1.02454215246637"/>
        <n v="21.6348837209302"/>
        <n v="11.385"/>
        <n v="23.182676056338"/>
        <n v="0.726077720207254"/>
        <n v="6.89196666666667"/>
        <n v="16.1797543859649"/>
        <n v="4.47731132075472"/>
        <n v="7.99996825396825"/>
        <n v="6.67334127906977"/>
        <n v="0.796275115919629"/>
        <n v="5.09591920892495"/>
        <n v="4.61255771676301"/>
        <n v="4.3954631122449"/>
        <n v="4.65990469721768"/>
        <n v="4.13363636363636"/>
        <n v="5.8379521192053"/>
        <n v="3.18373333333333"/>
        <n v="4.08667938053097"/>
        <n v="5.0184347826087"/>
        <n v="6.70093067901234"/>
        <n v="7.78065893081761"/>
        <n v="4.31872420731707"/>
        <n v="4.70582843317972"/>
        <n v="4.3939262244898"/>
        <n v="6.49603081151832"/>
        <n v="3.99609375"/>
        <n v="7.41454545454546"/>
        <n v="1.40276865671642"/>
        <n v="2.25222912621359"/>
        <n v="2.74616037735849"/>
        <n v="3.00099502487562"/>
        <n v="4.60471296296296"/>
        <n v="2.48471153846154"/>
        <n v="2.56493087557604"/>
        <n v="3.76445454545454"/>
        <n v="3.0103125"/>
        <n v="4.76612612612613"/>
        <n v="14.82624"/>
        <n v="12.4395588235294"/>
        <n v="13.9658151621622"/>
        <n v="9.43859154929577"/>
        <n v="23.0739565333333"/>
        <n v="3.54535398230088"/>
        <n v="10.4656"/>
        <n v="3.8765"/>
        <n v="15.5861290322581"/>
        <n v="8.3799"/>
        <n v="4.9401652892562"/>
        <n v="5.14049557522124"/>
        <n v="5.98615866666667"/>
        <n v="2.27726483443709"/>
        <n v="2.69153153153153"/>
        <n v="3.38474137931034"/>
        <n v="3.90465020576132"/>
        <n v="13.6497873333333"/>
        <n v="3.35670168776371"/>
        <n v="1.2958547008547"/>
        <n v="12.3633333333333"/>
        <n v="4.15466600790514"/>
        <n v="1.36700787401575"/>
        <n v="4.02604667518248"/>
        <n v="2.87909433962264"/>
        <n v="0.646465909090909"/>
        <n v="3.88079545454545"/>
        <n v="3.47587121212121"/>
        <n v="4.89250922509225"/>
        <n v="3.23146259541985"/>
        <n v="0.96755905511811"/>
        <n v="3.715234375"/>
        <n v="1.32233201581028"/>
        <n v="3.48426923076923"/>
        <n v="2.94149425287356"/>
        <n v="3.94300563909774"/>
        <n v="2.91437735849057"/>
        <n v="13.9360927835052"/>
        <n v="9.83902941176471"/>
        <n v="3.71605964980545"/>
        <n v="3.8795150929368"/>
        <n v="4.11623557195572"/>
        <n v="4.65364650557621"/>
        <n v="4.26501590334572"/>
        <n v="3.07128301886792"/>
        <n v="3.2811336"/>
        <n v="3.95592591044776"/>
        <n v="4.026"/>
        <n v="5.17467391304348"/>
        <n v="5.85793010752688"/>
        <n v="9.90398979591837"/>
        <n v="5.2094623655914"/>
        <n v="5.37221052631579"/>
        <n v="2.77570895522388"/>
        <n v="4.30322709163347"/>
        <n v="4.79265306122449"/>
        <n v="4.93377551020408"/>
        <n v="6.47630096551724"/>
        <n v="4.96683673469388"/>
        <n v="6.31905263157895"/>
        <n v="4.36805333333333"/>
        <n v="9.93970103092783"/>
        <n v="5.44777777777778"/>
        <n v="0.718666666666667"/>
        <n v="0.356739130434783"/>
        <n v="5.13168316831683"/>
        <n v="4.67990196078431"/>
      </sharedItems>
    </cacheField>
    <cacheField name="What was the run on (mob)">
      <sharedItems containsBlank="1">
        <s v="Mining Bots"/>
        <s v="Warriors"/>
        <s v="Harbingers"/>
        <s v="Vampire Chicks"/>
        <s v="Pop Dragons"/>
        <s v="Aurli"/>
        <s v="Simple I Conductors"/>
        <s v="Kreltin"/>
        <s v="Planet Hunt"/>
        <s v="Oratan Miners, Riptors"/>
        <s v="Kadra"/>
        <s v="Simple I Plastic Ruds"/>
        <s v="Yuka, Riptors"/>
        <s v="Riptors"/>
        <s v="Kiana"/>
        <s v="Horrors"/>
        <s v="Otorugi"/>
        <s v="Yuka"/>
        <s v="Scoria, Oratan Miner Providers (Team)"/>
        <s v="Oratan Miners"/>
        <s v="Terra Amp I (L)"/>
        <s v="Simple II Conductors"/>
        <s v="Large Ribbed Wool Fabric Texture Blueprint (L)"/>
        <s v="Oratan Miners, Otorugi"/>
        <s v="Miluca Texture"/>
        <s v="Weapon Accuracy Enhancer I"/>
        <s v="Ore, Enmatter, Treasure"/>
        <s v="Oweko"/>
        <s v="Large Striped Cotton Fabric Texture"/>
        <s v="Miner Bots"/>
        <s v="Ambu"/>
        <s v="Ambu, Miner Bots"/>
        <s v="Galaxy SI Ion Conductors"/>
        <s v="Generic Leather"/>
        <s v="Shinkibas"/>
        <s v="Riverside + Crater (Amp V)"/>
        <s v="Drones"/>
        <s v="Proteron, Longu"/>
        <s v="FOMA"/>
        <s v="Oratan Miners, Kadra, Otorugi"/>
        <s v="Atrox"/>
        <s v="Genuine Leather"/>
        <s v="Allophyl, Estophyl, Atrax Event"/>
        <s v="Allophyl, Estophyl"/>
        <s v="Genuine Leather [Condition]"/>
        <s v="Basic Sheet Metal"/>
        <s v="Lysterium Texture (L)"/>
        <s v="Jester D-1"/>
        <s v="Combibo Leather (L)"/>
        <s v="Argonauts"/>
        <s v="Soft Leather Texture"/>
        <s v="L/Murdand Groover"/>
        <s v="Mannel Shoes (C)"/>
        <s v="Large Ribbed Wool Fabric Texture (L)"/>
        <s v="Ambulimax"/>
        <s v="Alekz Precision Scope"/>
        <s v="Simple I Plastic Springs"/>
        <s v="Allophyl/Estophyl"/>
        <s v="Miner Bots, Furor"/>
        <s v="Settler Harness"/>
        <s v="Galaxy SI Ion Conductors [Green Condition]"/>
        <s v="Ambulimax, Miner Bots, Furor"/>
        <s v="Kaldon Stone Texture"/>
        <s v="Fine Hessian Fabric Texture"/>
        <s v="Weapon Range Enhancer I"/>
        <s v="Traeskerons"/>
        <s v="Furor, Miner Bots"/>
        <s v="Traeskerons, Molisks"/>
        <s v="Basic Pattern Pants (C)"/>
        <s v="Huon"/>
        <s v="Beladoth"/>
        <s v="Rextelum, Proteron"/>
        <s v="Boorums, Miner Bots, Molisks"/>
        <s v="Beladoth, Huon, Kadra"/>
        <s v="Fine Frieze Fabric Texture"/>
        <s v="Arkace Texture"/>
        <s v="Galaxy SI Ion Conductors [Red Condition]"/>
        <s v="Generic Leather Texture"/>
        <s v="Atrax"/>
        <s v="Soft Leather Texture [Green Condition]"/>
        <s v="Mannell Shoes (C)"/>
        <s v="Basic Pattern Shirt (C)"/>
        <s v="Level 3 Finder Amplifier (L)"/>
        <s v="Settler Shin Guards"/>
        <s v="Neconu, Traeskerons"/>
        <s v="Soft Leather Texture [YELLOW CONDITION]"/>
        <s v="Fine Frieze Fabric Texture (L) [YELLOW CONDITION]"/>
        <s v="Genuine Leather Texture [RED CONDITION]"/>
        <s v="Mining Finder Depth Enhancer I"/>
        <s v="Atrox, Rextellum [FAP]"/>
        <s v="Fine Frieze Fabric Texture (L)"/>
        <s v="Genuine Leather Texture"/>
        <s v="Carabok Leather Texture"/>
        <s v="Medical Tool Economy Enhancer I"/>
        <s v="Armor Durability Enhancement I"/>
        <s v="Allophyl, Rextellum, Miner Bots"/>
        <s v="Atrox, Atrax, Traeskerons, Rextellums"/>
        <s v="Rextellums"/>
        <s v="Miner Bots/Shared Loot"/>
        <s v="Evenweave Cotton Fabric"/>
        <s v="Proteron"/>
        <s v="Weapon Accuracy Enhancer IV"/>
        <s v="Rextellum"/>
        <s v="Punies"/>
        <s v="Hekia Texture"/>
        <s v="Dusters, Tide Claw"/>
        <s v="Proteron, Furor"/>
        <s v="Harbinger"/>
        <s v="Atrox, Miner Bots"/>
        <s v="Merp"/>
        <s v="Scriptors (Team/Heal)"/>
        <s v="Large Striped Cotton Fabric Texture [GREEN CONDITION]"/>
        <s v="Weapon Damage Enhancer I"/>
        <s v="Teladon"/>
        <s v="Madana"/>
        <s v="Scoria"/>
        <s v="Halloween Mayhem Lvl 3"/>
        <s v="Canvas Texture"/>
        <s v="Feffox"/>
        <s v="Scriptors"/>
        <s v="Basic Filters"/>
        <s v="Halix Texture"/>
        <s v="Mining"/>
        <s v="Large Ribbed Wool Fabric Texture"/>
        <s v="Allophyl, Traeskeron, Feffox"/>
        <s v="Prim Longu, Proteron, Chompers, Atrox, Argo Elites"/>
        <s v="Canvas Fabric Texture"/>
        <s v="Halloween Mayhem Lvl 2"/>
        <s v="Genuine Leather Texture [Condition]"/>
        <s v="Allophyls"/>
        <s v="Eviscerators"/>
        <s v="Halloween Mayhem Lvl 4"/>
        <s v="Large Striped Cotton Fabric"/>
        <s v="Camp Sweat"/>
        <s v="Issyle"/>
        <s v="Fine Silk Fabric Texture"/>
        <s v="Hogglo"/>
        <s v="Cultists and Shobs"/>
        <s v="Halix"/>
        <s v="Sumimas"/>
        <s v="Furors, Miner Bots, Letomie"/>
        <s v="Welding Wire"/>
        <s v="Scipulors"/>
        <s v="Kadra/Huon"/>
        <s v="Cornucadas/Prancers"/>
        <s v="Miner Bots, Shinkibas, Corns"/>
        <s v="Hogglos"/>
        <s v="Akoz Event Mobs"/>
        <s v="Cornucadas/Snablesnots"/>
        <s v="Sumimas/Scriptors"/>
        <s v="Proterons"/>
        <s v="Brood of Bram"/>
        <s v="Brood of Dotty"/>
        <s v="Merry Mayhem (S, 2)"/>
        <s v="Merry Mayhem (T, 2)"/>
        <s v="Combibos"/>
        <s v="Aakas 9"/>
        <s v="Yukas"/>
        <s v="Aakas 10"/>
        <s v="Korwii"/>
        <s v="Aakas 7"/>
        <s v="Cornundacauda"/>
        <s v="Mining Misc"/>
        <s v="Oratan Event"/>
        <s v="Aakas 2"/>
        <m/>
      </sharedItems>
    </cacheField>
    <cacheField name="Kills">
      <sharedItems containsNumber="1" containsBlank="1" containsString="0" containsInteger="1">
        <n v="0.0"/>
        <n v="37.0"/>
        <n v="7.0"/>
        <n v="200.0"/>
        <n v="203.0"/>
        <n v="579.0"/>
        <n v="76.0"/>
        <n v="133.0"/>
        <n v="106.0"/>
        <n v="237.0"/>
        <n v="24.0"/>
        <n v="43.0"/>
        <n v="34.0"/>
        <n v="115.0"/>
        <n v="20.0"/>
        <n v="28.0"/>
        <n v="35.0"/>
        <n v="23.0"/>
        <n v="47.0"/>
        <n v="263.0"/>
        <n v="15.0"/>
        <n v="72.0"/>
        <n v="201.0"/>
        <n v="4.0"/>
        <n v="299.0"/>
        <n v="40.0"/>
        <n v="70.0"/>
        <n v="75.0"/>
        <n v="10.0"/>
        <n v="56.0"/>
        <n v="42.0"/>
        <n v="100.0"/>
        <n v="95.0"/>
        <n v="92.0"/>
        <n v="59.0"/>
        <n v="85.0"/>
        <n v="13.0"/>
        <n v="91.0"/>
        <n v="94.0"/>
        <n v="96.0"/>
        <n v="142.0"/>
        <n v="86.0"/>
        <n v="84.0"/>
        <n v="88.0"/>
        <n v="30.0"/>
        <n v="155.0"/>
        <n v="79.0"/>
        <n v="97.0"/>
        <n v="99.0"/>
        <n v="90.0"/>
        <n v="110.0"/>
        <n v="105.0"/>
        <n v="62.0"/>
        <n v="104.0"/>
        <n v="254.0"/>
        <n v="113.0"/>
        <n v="109.0"/>
        <n v="103.0"/>
        <n v="128.0"/>
        <n v="101.0"/>
        <n v="480.0"/>
        <n v="130.0"/>
        <n v="8.0"/>
        <n v="173.0"/>
        <n v="583.0"/>
        <n v="345.0"/>
        <n v="77.0"/>
        <n v="478.0"/>
        <n v="51.0"/>
        <n v="164.0"/>
        <n v="253.0"/>
        <n v="121.0"/>
        <n v="281.0"/>
        <n v="50.0"/>
        <n v="234.0"/>
        <n v="223.0"/>
        <n v="46.0"/>
        <n v="71.0"/>
        <n v="386.0"/>
        <n v="60.0"/>
        <n v="57.0"/>
        <n v="315.0"/>
        <n v="172.0"/>
        <n v="647.0"/>
        <n v="493.0"/>
        <n v="346.0"/>
        <n v="196.0"/>
        <n v="611.0"/>
        <n v="151.0"/>
        <n v="150.0"/>
        <n v="162.0"/>
        <n v="159.0"/>
        <n v="217.0"/>
        <n v="98.0"/>
        <n v="382.0"/>
        <n v="64.0"/>
        <n v="11.0"/>
        <n v="268.0"/>
        <n v="206.0"/>
        <n v="212.0"/>
        <n v="216.0"/>
        <n v="208.0"/>
        <n v="220.0"/>
        <n v="224.0"/>
        <n v="111.0"/>
        <n v="68.0"/>
        <n v="74.0"/>
        <n v="226.0"/>
        <n v="25.0"/>
        <n v="31.0"/>
        <n v="16.0"/>
        <n v="222.0"/>
        <n v="232.0"/>
        <n v="243.0"/>
        <n v="274.0"/>
        <n v="265.0"/>
        <n v="264.0"/>
        <n v="271.0"/>
        <n v="262.0"/>
        <n v="260.0"/>
        <n v="261.0"/>
        <n v="266.0"/>
        <n v="102.0"/>
        <n v="257.0"/>
        <n v="269.0"/>
        <n v="275.0"/>
        <n v="93.0"/>
        <n v="251.0"/>
        <m/>
        <n v="116.0"/>
        <n v="184.0"/>
      </sharedItems>
    </cacheField>
    <cacheField name="Location">
      <sharedItems containsBlank="1">
        <s v="Riverside"/>
        <s v="Boreas"/>
        <s v="Corinth West"/>
        <s v="Cathedral"/>
        <s v="London Blockade"/>
        <s v="Dome 1"/>
        <s v="Space Station"/>
        <s v="Whole Planet"/>
        <s v="Quad Desert Camp, Event 3"/>
        <s v="Sanctuary Cove"/>
        <s v="Taipan Digsite, Event 3"/>
        <s v="Steadfast"/>
        <s v="Event 3"/>
        <s v="SW Outpost"/>
        <s v="Calypso Training Grounds"/>
        <s v="Jaguar Digsite"/>
        <s v="Taipan Digsite"/>
        <s v="8 Coins, Dauntable Base"/>
        <s v="Quarry"/>
        <s v="Falcon Digsite"/>
        <s v="Outpost"/>
        <s v="Nea's Place"/>
        <s v="Twin Peaks"/>
        <s v="OLA 65"/>
        <s v="Riverside + Crater (Amp V)"/>
        <s v="Crater"/>
        <s v="Scylla Mountains"/>
        <s v="FOMA 6, 7"/>
        <s v="TI Castle"/>
        <s v="Arkadia"/>
        <s v="Ithica"/>
        <s v="Livas, OLA7"/>
        <s v="Livas"/>
        <s v="New Switzerland"/>
        <s v="Livas, OLA28"/>
        <s v="South Grace"/>
        <s v="Camp Posideon"/>
        <s v="OLA #1"/>
        <s v="Treasure Island"/>
        <s v="Nymphtown"/>
        <s v="Harbor"/>
        <s v="Thunder Ridge"/>
        <s v="Event Area 1 East"/>
        <s v="Triton"/>
        <s v="Atami's TP"/>
        <s v="OLA42 East"/>
        <s v="OLA7"/>
        <s v="Club Royal, OLA7"/>
        <s v="Shinook Jungle"/>
        <s v="Camp Poisedon"/>
        <s v="OLA42 West"/>
        <s v="Calypso"/>
        <s v="OLA49"/>
        <s v="Virtual Tycoon"/>
        <s v="Fort Troy"/>
        <s v="Fort Ithica"/>
        <s v="Camp Icarus"/>
        <s v="OLA42 West, Fort Ithaca"/>
        <s v="Arkadia Event 1"/>
        <s v="Cyrene"/>
        <s v="Fort Troy, Castle"/>
        <s v="Camp Phoenix"/>
        <s v="OLA42 West, Castle"/>
        <s v="OLA41 North"/>
        <s v="OLA 1"/>
        <s v="SE of PVP3"/>
        <s v="Dyno Island"/>
        <s v="OLA41 West"/>
        <s v="Steadfast Base"/>
        <s v="8 Coins"/>
        <s v="Dauntless Base"/>
        <s v="Fort Zeus"/>
        <s v="Issyle"/>
        <s v="Deino Island - Medusa"/>
        <s v="8Coins"/>
        <s v="Mercury's Massacre"/>
        <s v="Osere"/>
        <s v="Hogglos"/>
        <s v="Oasis"/>
        <s v="East of PVP3"/>
        <s v="Cave 1"/>
        <s v="LA40"/>
        <s v="Medusa's Head"/>
        <s v="Naga Island"/>
        <s v="North Port Atlantis"/>
        <s v="Dome 3"/>
        <s v="Dome 4"/>
        <s v="OLA65"/>
        <s v="OLA65, Fort Zeus"/>
        <s v="Camp Rusla"/>
        <s v="OLA42"/>
        <s v="Eudoria"/>
        <s v="Dome 1 [Team]"/>
        <s v="Issyle (Points)"/>
        <s v="Labs"/>
        <s v="Minopolis"/>
        <s v="Aakas"/>
        <s v="Cheetah Digsite"/>
        <s v="OLA2"/>
        <m/>
      </sharedItems>
    </cacheField>
    <cacheField name="Planet">
      <sharedItems containsBlank="1">
        <s v="Calypso"/>
        <s v="Rocktropia"/>
        <s v="Crystal Palace"/>
        <s v="Cyrene"/>
        <s v="Next Island"/>
        <s v="Arkadia"/>
        <s v="Space"/>
        <s v="FOMA"/>
        <s v="Monria"/>
        <m/>
      </sharedItems>
    </cacheField>
    <cacheField name="Bonus PED">
      <sharedItems containsNumber="1" containsBlank="1" containsString="0" containsInteger="1">
        <n v="0.0"/>
        <n v="25.0"/>
        <n v="4.0"/>
        <n v="-7.0"/>
        <n v="-13.0"/>
        <n v="-35.0"/>
        <n v="20.0"/>
        <m/>
      </sharedItems>
    </cacheField>
    <cacheField name="Skill Boosts">
      <sharedItems containsNumber="1" containsBlank="1" containsString="0" containsInteger="1">
        <n v="1.0"/>
        <n v="0.0"/>
        <n v="2.0"/>
        <n v="3.0"/>
        <m/>
      </sharedItems>
    </cacheField>
    <cacheField name="Globals">
      <sharedItems containsNumber="1" containsBlank="1" containsString="0" containsInteger="1">
        <n v="1.0"/>
        <n v="0.0"/>
        <n v="2.0"/>
        <n v="4.0"/>
        <n v="3.0"/>
        <n v="6.0"/>
        <n v="5.0"/>
        <n v="14.0"/>
        <n v="8.0"/>
        <n v="18.0"/>
        <n v="7.0"/>
        <n v="9.0"/>
        <n v="33.0"/>
        <n v="10.0"/>
        <m/>
      </sharedItems>
    </cacheField>
    <cacheField name="HOFs">
      <sharedItems containsNumber="1" containsBlank="1" containsString="0" containsInteger="1">
        <n v="0.0"/>
        <n v="1.0"/>
        <n v="2.0"/>
        <m/>
      </sharedItems>
    </cacheField>
    <cacheField name="Notes">
      <sharedItems containsBlank="1">
        <m/>
        <s v="130ped for Key"/>
        <s v="30ped for Warp"/>
        <s v="&gt; 15 Minis"/>
      </sharedItems>
    </cacheField>
    <cacheField name="Defensive Costs">
      <sharedItems containsBlank="1">
        <e v="#VALUE!"/>
        <s v="0.021583767283175"/>
        <s v="0.072782234623881"/>
        <s v="0.035334238529792"/>
        <s v="0.091089108910891"/>
        <s v="0.059160633440944"/>
        <s v="0.08402118050148"/>
        <s v="0.068187631080874"/>
        <s v="0.019937545039635"/>
        <s v="0.044029182132344"/>
        <s v="0.038905294966005"/>
        <s v="0.047025321326868"/>
        <s v="0.072635292551421"/>
        <s v="0.076334060702242"/>
        <s v="0.086356968215159"/>
        <s v="0.061681848344091"/>
        <s v="0.046730554332735"/>
        <s v="0.068398727465536"/>
        <s v="0.055529923543369"/>
        <s v="0.039361022364217"/>
        <s v="0.087391076115486"/>
        <s v="0.077756416124996"/>
        <s v="0.077228544333808"/>
        <s v="0.064866903422483"/>
        <s v="0.080553850351272"/>
        <s v="0.046170039711019"/>
        <s v="0.047757143617304"/>
        <s v="0.08742067056381"/>
        <s v="0.059942049981891"/>
        <s v="0.052006552006552"/>
        <s v="0.076902595961837"/>
        <s v="0.063563601158433"/>
        <s v="0.04460648873444"/>
        <s v="0.09964258114374"/>
        <s v="0.054392383303213"/>
        <s v="0.040582914764442"/>
        <s v="0.086241685972648"/>
        <s v="0.051726334981196"/>
        <s v="0.067093188092218"/>
        <s v="0.060546603553005"/>
        <s v="0.057021748452099"/>
        <s v="0.056838683704355"/>
        <s v="0.035376067280924"/>
        <s v="0.050040916071609"/>
        <s v="0.050731862383863"/>
        <s v="0.052482011367136"/>
        <s v="0.040611985067219"/>
        <s v="0.034808339781258"/>
        <s v="0.046654476021135"/>
        <s v="0.061214873862601"/>
        <s v="0.06722555144715"/>
        <s v="0.054993490635876"/>
        <s v="0.022152512774077"/>
        <s v="0.077387262496942"/>
        <s v="0.036732017782326"/>
        <s v="0.050288101613649"/>
        <s v="0.076767150262068"/>
        <s v="0.026747640108258"/>
        <s v="0.025199669512531"/>
        <s v="0.02812244594695"/>
        <s v="0.041187304883339"/>
        <s v="0.030444910046469"/>
        <s v="0.049729457989919"/>
        <s v="0.024446741028474"/>
        <s v="0.043628758924064"/>
        <s v="0.025614291175755"/>
        <s v="0.062084550223996"/>
        <s v="0.022204590132872"/>
        <s v="0.069052066308662"/>
        <s v="0.005823089010075"/>
        <s v="0.022219246264243"/>
        <s v="0.026411442598187"/>
        <s v="0.087061830269521"/>
        <s v="0.048100401047531"/>
        <s v="0.021866902610124"/>
        <s v="0.048443541817264"/>
        <s v="0.044833394546537"/>
        <s v="0.098160743751761"/>
        <s v="0.022587454424364"/>
        <s v="0.086648983200707"/>
        <s v="0.035398697412427"/>
        <s v="0.051682868448048"/>
        <s v="0.14352016231296"/>
        <s v="0.043085906396532"/>
        <s v="0.046618672952569"/>
        <s v="0.065394248523739"/>
        <s v="0.093154323286961"/>
        <s v="0.052966184328562"/>
        <s v="0.001830324016819"/>
        <s v="0.027713096043772"/>
        <s v="0.023116438356164"/>
        <s v="0.021658466584666"/>
        <s v="0.090954263128176"/>
        <s v="0.026629965112185"/>
        <s v="0.006802721088435"/>
        <s v="0.036951784672989"/>
        <s v="0.076775431861804"/>
        <s v="0.06100436984116"/>
        <s v="0.021453598762895"/>
        <s v="0.00492803269329"/>
        <s v="0.038504058025723"/>
        <s v="0.010508617065994"/>
        <s v="0.049119638826185"/>
        <s v="0.107166680563662"/>
        <s v="0.041903145388002"/>
        <s v="0.07891902358736"/>
        <s v="0.035364420062696"/>
        <s v="0.04542233288642"/>
        <s v="0.021691973969631"/>
        <s v="0.043697741227869"/>
        <s v="0.04124274939308"/>
        <s v="0.037381603084871"/>
        <s v="0.008774111044013"/>
        <s v="0.073139522980858"/>
        <s v="0.018674293405114"/>
        <s v="0.023394530947401"/>
        <s v="0.004460771451063"/>
        <s v="0.03285963835513"/>
        <s v="0.036430549618037"/>
        <s v="0.049302929389852"/>
        <s v="0.046199647498242"/>
        <s v="0.009830685234035"/>
        <s v="0.050888763651318"/>
        <s v="0.051281650026603"/>
        <s v="0.032582002322527"/>
        <s v="0.0431755398117"/>
        <s v="0.040695579618076"/>
        <s v="0.046790788829005"/>
        <s v="0.040599899598394"/>
        <s v="0.044158899647091"/>
        <s v="0.047165805675465"/>
        <s v="0.046525052992378"/>
        <s v="0.060005263619616"/>
        <s v="0.062852945227492"/>
        <s v="0.078035408912584"/>
        <s v="0.072910561481655"/>
        <s v="0.064431099294031"/>
        <s v="0.06076266363119"/>
        <s v="0.063408104665472"/>
        <s v="0.031792777104095"/>
        <s v="0.036431064572426"/>
        <s v="0.066309311097876"/>
        <s v="0.065477918308107"/>
        <s v="0.035022211272702"/>
        <s v="0.015029709891646"/>
        <s v="0.068800102336688"/>
        <s v="0.061948157148643"/>
        <s v="0.02169134285899"/>
        <s v="0.063422744402572"/>
        <s v="0.065802145624762"/>
        <s v="0.086328046576993"/>
        <s v="0.075946497392881"/>
        <s v="0.040381031269414"/>
        <s v="0.067047193613765"/>
        <s v="0.08538179916318"/>
        <m/>
      </sharedItems>
    </cacheField>
    <cacheField name="Weapon Decay/Mob">
      <sharedItems containsNumber="1" containsBlank="1" containsMixedTypes="1">
        <e v="#DIV/0!"/>
        <e v="#VALUE!"/>
        <n v="0.415584415584416"/>
        <n v="0.403619246861925"/>
        <n v="0.565098039215688"/>
        <n v="0.694158415841584"/>
        <n v="1.11073170731707"/>
        <n v="1.10612648221344"/>
        <n v="0.678181818181818"/>
        <n v="0.694590747330961"/>
        <n v="1.4944"/>
        <n v="0.665892857142857"/>
        <n v="1.2008547008547"/>
        <n v="1.27017937219731"/>
        <n v="1.13790697674419"/>
        <n v="0.786086956521738"/>
        <n v="1.09887323943662"/>
        <n v="0.927176165803109"/>
        <n v="1.04883333333333"/>
        <n v="0.851052631578947"/>
        <n v="0.714056603773585"/>
        <n v="0.297142857142857"/>
        <n v="0.667616279069768"/>
        <n v="0.064234930448223"/>
        <n v="0.64685598377282"/>
        <n v="0.532890173410404"/>
        <n v="0.61015306122449"/>
        <n v="0.695204582651391"/>
        <n v="0.711272727272727"/>
        <n v="0.683576158940398"/>
        <n v="0.6986"/>
        <n v="0.695840707964602"/>
        <n v="0.693565217391304"/>
        <n v="0.684012345679013"/>
        <n v="0.703710691823899"/>
        <n v="0.698780487804879"/>
        <n v="0.664792626728111"/>
        <n v="0.642857142857143"/>
        <n v="0.70413612565445"/>
        <n v="0.56875"/>
        <n v="1.10636363636364"/>
        <n v="1.35619402985075"/>
        <n v="0.432669902912621"/>
        <n v="0.46"/>
        <n v="0.477611940298507"/>
        <n v="0.449074074074074"/>
        <n v="0.443990384615385"/>
        <n v="0.44221198156682"/>
        <n v="0.437863636363636"/>
        <n v="0.441383928571428"/>
        <n v="0.841171171171172"/>
        <n v="1.32063157894737"/>
        <n v="1.25161764705882"/>
        <n v="1.26"/>
        <n v="1.32323943661972"/>
        <n v="0.554"/>
        <n v="0.438141592920354"/>
        <n v="1.5012"/>
        <n v="0.85"/>
        <n v="0.645161290322581"/>
        <n v="0.375"/>
        <n v="0.53603305785124"/>
        <n v="0.459469026548673"/>
        <n v="0.812666666666667"/>
        <n v="0.609735099337748"/>
        <n v="0.425045045045045"/>
        <n v="0.391508620689655"/>
        <n v="0.431893004115226"/>
        <n v="1.45966666666667"/>
        <n v="0.436413502109704"/>
        <n v="0.17948717948718"/>
        <n v="1.33600000000001"/>
        <n v="0.415335968379447"/>
        <n v="0.148661417322835"/>
        <n v="0.404963503649635"/>
        <n v="0.416264150943396"/>
        <n v="1.11897727272727"/>
        <n v="0.408598484848485"/>
        <n v="0.422045454545455"/>
        <n v="0.407047970479705"/>
        <n v="0.410534351145038"/>
        <n v="0.128307086614173"/>
        <n v="0.38796875"/>
        <n v="0.138735177865612"/>
        <n v="0.413884615384615"/>
        <n v="0.416130268199234"/>
        <n v="0.403157894736842"/>
        <n v="0.413698113207547"/>
        <n v="0.657319587628866"/>
        <n v="0.667156862745098"/>
        <n v="0.419027237354086"/>
        <n v="0.397843866171004"/>
        <n v="0.402435424354244"/>
        <n v="0.41089219330855"/>
        <n v="0.408921933085502"/>
        <n v="0.412037735849056"/>
        <n v="0.402472727272727"/>
        <n v="0.400373134328358"/>
        <n v="1.101"/>
        <n v="0.567391304347825"/>
        <n v="0.550322580645162"/>
        <n v="0.573673469387754"/>
        <n v="0.59225806451613"/>
        <n v="0.579157894736842"/>
        <n v="0.391641791044776"/>
        <n v="0.400398406374502"/>
        <n v="0.573469387755102"/>
        <n v="0.642551020408162"/>
        <n v="0.447241379310345"/>
        <n v="0.597448979591837"/>
        <n v="0.682105263157895"/>
        <n v="0.3792"/>
        <n v="0.615670103092784"/>
        <n v="0.637474747474748"/>
        <n v="0.3034"/>
        <n v="0.228641304347826"/>
        <n v="0.645247524752475"/>
        <n v="0.662745098039216"/>
        <m/>
      </sharedItems>
    </cacheField>
    <cacheField name="Attachment Decay/Mob">
      <sharedItems containsNumber="1" containsBlank="1" containsMixedTypes="1">
        <e v="#DIV/0!"/>
        <e v="#VALUE!"/>
        <n v="0.439350649350649"/>
        <n v="0.430962343096234"/>
        <n v="0.594705882352941"/>
        <n v="0.526435643564356"/>
        <n v="0.0"/>
        <n v="0.526280991735537"/>
        <n v="0.512313167259786"/>
        <n v="0.9838"/>
        <n v="0.501071428571428"/>
        <n v="0.002008547008547"/>
        <n v="0.014529147982063"/>
        <n v="0.883023255813954"/>
        <n v="0.576086956521739"/>
        <n v="0.855633802816901"/>
        <n v="0.9165"/>
        <n v="0.767719298245614"/>
        <n v="0.514528301886792"/>
        <n v="0.435238095238095"/>
        <n v="0.54046511627907"/>
        <n v="0.050262751159196"/>
        <n v="0.5347261663286"/>
        <n v="0.535693641618497"/>
        <n v="0.61734693877551"/>
        <n v="0.65518821603928"/>
        <n v="0.558909090909091"/>
        <n v="0.647218543046358"/>
        <n v="0.6628"/>
        <n v="0.54858407079646"/>
        <n v="0.541826086956522"/>
        <n v="0.621172839506173"/>
        <n v="0.638930817610063"/>
        <n v="0.638109756097561"/>
        <n v="0.521152073732719"/>
        <n v="0.55265306122449"/>
        <n v="0.574947643979058"/>
        <n v="0.72421875"/>
        <n v="0.923636363636364"/>
        <n v="0.300194174757282"/>
        <n v="0.338207547169811"/>
        <n v="0.279502487562189"/>
        <n v="0.311990740740741"/>
        <n v="0.300528846153846"/>
        <n v="0.297926267281106"/>
        <n v="0.295636363636364"/>
        <n v="0.298482142857143"/>
        <n v="0.589369369369369"/>
        <n v="0.891263157894737"/>
        <n v="0.844852941176471"/>
        <n v="0.852837837837838"/>
        <n v="0.819859154929578"/>
        <n v="0.933333333333333"/>
        <n v="0.308672566371681"/>
        <n v="1.0144"/>
        <n v="0.8545"/>
        <n v="0.929354838709677"/>
        <n v="0.578125"/>
        <n v="0.362314049586777"/>
        <n v="0.310442477876106"/>
        <n v="0.551733333333333"/>
        <n v="0.084238410596026"/>
        <n v="0.327117117117117"/>
        <n v="0.339784482758621"/>
        <n v="0.326625514403292"/>
        <n v="1.12483333333333"/>
        <n v="0.330295358649789"/>
        <n v="0.184145299145299"/>
        <n v="1.136"/>
        <n v="0.321146245059288"/>
        <n v="0.178110236220472"/>
        <n v="0.313102189781022"/>
        <n v="0.321735849056604"/>
        <n v="0.315795454545455"/>
        <n v="0.326325757575758"/>
        <n v="0.314723247232472"/>
        <n v="0.317442748091603"/>
        <n v="0.153346456692913"/>
        <n v="0.39"/>
        <n v="0.182371541501976"/>
        <n v="0.319884615384615"/>
        <n v="0.321685823754789"/>
        <n v="0.312894736842105"/>
        <n v="0.319849056603774"/>
        <n v="0.399484536082474"/>
        <n v="0.379509803921569"/>
        <n v="0.324007782101167"/>
        <n v="0.310631970260223"/>
        <n v="0.311070110701107"/>
        <n v="0.317695167286245"/>
        <n v="0.316208178438662"/>
        <n v="0.318603773584906"/>
        <n v="0.3104"/>
        <n v="0.309328358208955"/>
        <n v="0.851"/>
        <n v="0.377934782608696"/>
        <n v="0.358924731182796"/>
        <n v="0.346020408163265"/>
        <n v="0.367096774193548"/>
        <n v="0.408210526315789"/>
        <n v="0.302649253731343"/>
        <n v="0.309561752988048"/>
        <n v="0.385204081632653"/>
        <n v="0.418061224489796"/>
        <n v="0.345775862068966"/>
        <n v="0.423163265306122"/>
        <n v="0.378526315789474"/>
        <n v="0.410133333333333"/>
        <n v="0.391546391752577"/>
        <n v="0.401818181818182"/>
        <n v="0.374455445544554"/>
        <n v="0.335686274509804"/>
        <m/>
      </sharedItems>
    </cacheField>
    <cacheField name="Armor Decay/Mob">
      <sharedItems containsNumber="1" containsBlank="1" containsMixedTypes="1">
        <e v="#DIV/0!"/>
        <e v="#VALUE!"/>
        <n v="0.076233766233766"/>
        <n v="0.264393305439331"/>
        <n v="0.169019607843137"/>
        <n v="0.505841584158416"/>
        <n v="0.077378048780488"/>
        <n v="0.043320158102767"/>
        <n v="0.388099173553719"/>
        <n v="0.437081850533808"/>
        <n v="0.9792"/>
        <n v="0.35125"/>
        <n v="0.052222222222222"/>
        <n v="0.057085201793722"/>
        <n v="0.88906976744186"/>
        <n v="0.507608695652174"/>
        <n v="0.793661971830986"/>
        <n v="0.044170984455959"/>
        <n v="0.9305"/>
        <n v="0.565964912280702"/>
        <n v="0.472075471698113"/>
        <n v="0.231460317460317"/>
        <n v="0.2125"/>
        <n v="0.045069551777434"/>
        <n v="0.269675456389452"/>
        <n v="0.353092485549133"/>
        <n v="0.318775510204082"/>
        <n v="0.301472995090016"/>
        <n v="0.275909090909091"/>
        <n v="0.175629139072848"/>
        <n v="0.239666666666667"/>
        <n v="0.255398230088496"/>
        <n v="0.259826086956522"/>
        <n v="0.20141975308642"/>
        <n v="0.181194968553459"/>
        <n v="0.245731707317073"/>
        <n v="0.294792626728111"/>
        <n v="0.346734693877551"/>
        <n v="0.279162303664921"/>
        <n v="0.096875"/>
        <n v="0.739090909090909"/>
        <n v="0.082238805970149"/>
        <n v="0.066747572815534"/>
        <n v="0.075990566037736"/>
        <n v="0.085621890547264"/>
        <n v="0.089675925925926"/>
        <n v="0.06875"/>
        <n v="0.06926267281106"/>
        <n v="0.060272727272727"/>
        <n v="0.064508928571429"/>
        <n v="0.146846846846847"/>
        <n v="0.847684210526316"/>
        <n v="0.317352941176471"/>
        <n v="0.33445945945946"/>
        <n v="0.345774647887324"/>
        <n v="0.982833333333333"/>
        <n v="0.067654867256637"/>
        <n v="1.0464"/>
        <n v="0.48"/>
        <n v="1.03516129032258"/>
        <n v="0.298125"/>
        <n v="0.19"/>
        <n v="0.248761061946903"/>
        <n v="0.510133333333333"/>
        <n v="0.074172185430464"/>
        <n v="0.078828828828829"/>
        <n v="0.072112068965517"/>
        <n v="0.067078189300412"/>
        <n v="1.09266666666667"/>
        <n v="0.08210970464135"/>
        <n v="0.007264957264957"/>
        <n v="1.01666666666667"/>
        <n v="0.067509881422925"/>
        <n v="0.005157480314961"/>
        <n v="0.196459854014599"/>
        <n v="0.175811320754717"/>
        <n v="0.0"/>
        <n v="0.177689393939394"/>
        <n v="0.178560606060606"/>
        <n v="0.162952029520295"/>
        <n v="0.150648854961832"/>
        <n v="0.008425196850394"/>
        <n v="0.06375"/>
        <n v="0.004426877470356"/>
        <n v="0.129576923076923"/>
        <n v="0.14727969348659"/>
        <n v="0.192781954887218"/>
        <n v="0.187735849056604"/>
        <n v="0.260618556701031"/>
        <n v="0.257058823529412"/>
        <n v="0.118560311284047"/>
        <n v="0.167063197026022"/>
        <n v="0.156014760147602"/>
        <n v="0.188587360594796"/>
        <n v="0.164646840148699"/>
        <n v="0.179924528301887"/>
        <n v="0.191236363636364"/>
        <n v="0.188992537313433"/>
        <n v="0.651"/>
        <n v="0.266630434782609"/>
        <n v="0.265591397849462"/>
        <n v="0.233265306122449"/>
        <n v="0.240752688172043"/>
        <n v="0.255473684210526"/>
        <n v="0.122425373134328"/>
        <n v="0.137450199203187"/>
        <n v="0.25469387755102"/>
        <n v="0.270204081632653"/>
        <n v="0.022844827586207"/>
        <n v="0.267959183673469"/>
        <n v="0.25621052631579"/>
        <n v="8.0E-4"/>
        <n v="0.236701030927835"/>
        <n v="0.240707070707071"/>
        <n v="0.255643564356436"/>
        <n v="0.302745098039216"/>
        <m/>
      </sharedItems>
    </cacheField>
    <cacheField name="Tool Decay/Mob">
      <sharedItems containsNumber="1" containsBlank="1" containsMixedTypes="1">
        <e v="#DIV/0!"/>
        <e v="#VALUE!"/>
        <n v="0.001818181818182"/>
        <n v="0.010627615062762"/>
        <n v="0.050392156862745"/>
        <n v="0.028316831683168"/>
        <n v="0.00390243902439"/>
        <n v="0.001462450592885"/>
        <n v="0.062809917355372"/>
        <n v="0.04220640569395"/>
        <n v="0.0804"/>
        <n v="0.013928571428571"/>
        <n v="0.006752136752137"/>
        <n v="0.01847533632287"/>
        <n v="0.078837209302326"/>
        <n v="0.046304347826087"/>
        <n v="0.038028169014084"/>
        <n v="0.002331606217617"/>
        <n v="0.059"/>
        <n v="0.014736842105263"/>
        <n v="0.018396226415094"/>
        <n v="0.01031746031746"/>
        <n v="0.035058139534884"/>
        <n v="0.008438948995363"/>
        <n v="0.051440162271805"/>
        <n v="0.062745664739884"/>
        <n v="0.059081632653061"/>
        <n v="0.040229132569558"/>
        <n v="0.070636363636364"/>
        <n v="0.025496688741722"/>
        <n v="0.057933333333333"/>
        <n v="0.055309734513274"/>
        <n v="0.066173913043478"/>
        <n v="0.030925925925926"/>
        <n v="0.028176100628931"/>
        <n v="0.035853658536585"/>
        <n v="0.070414746543779"/>
        <n v="0.083673469387755"/>
        <n v="0.059214659685864"/>
        <n v="0.01015625"/>
        <n v="0.123636363636364"/>
        <n v="0.016679104477612"/>
        <n v="0.031601941747573"/>
        <n v="0.027594339622642"/>
        <n v="0.027363184079602"/>
        <n v="0.030740740740741"/>
        <n v="0.030192307692308"/>
        <n v="0.032626728110599"/>
        <n v="0.024954545454546"/>
        <n v="0.024375"/>
        <n v="0.054774774774775"/>
        <n v="0.249578947368421"/>
        <n v="0.241764705882353"/>
        <n v="0.236081081081081"/>
        <n v="0.152816901408451"/>
        <n v="0.236666666666667"/>
        <n v="0.020884955752212"/>
        <n v="0.2472"/>
        <n v="0.049"/>
        <n v="0.790322580645161"/>
        <n v="0.00625"/>
        <n v="0.051900826446281"/>
        <n v="0.067787610619469"/>
        <n v="0.2568"/>
        <n v="0.015761589403974"/>
        <n v="0.03"/>
        <n v="0.022155172413793"/>
        <n v="0.019876543209876"/>
        <n v="0.249666666666667"/>
        <n v="0.023206751054852"/>
        <n v="0.002307692307692"/>
        <n v="0.023333333333333"/>
        <n v="0.019130434782609"/>
        <n v="0.001299212598425"/>
        <n v="0.002080291970803"/>
        <n v="0.003056603773585"/>
        <n v="0.041022727272727"/>
        <n v="0.001969696969697"/>
        <n v="0.001780303030303"/>
        <n v="0.001291512915129"/>
        <n v="0.001793893129771"/>
        <n v="0.00703125"/>
        <n v="9.48616600791E-4"/>
        <n v="0.004269230769231"/>
        <n v="0.002911877394636"/>
        <n v="0.004248120300752"/>
        <n v="0.003169811320755"/>
        <n v="0.083814432989691"/>
        <n v="0.06421568627451"/>
        <n v="0.014630350194552"/>
        <n v="0.003754646840149"/>
        <n v="0.002361623616236"/>
        <n v="0.003122676579926"/>
        <n v="0.003717472118959"/>
        <n v="0.00422641509434"/>
        <n v="0.002654545454545"/>
        <n v="0.003470149253731"/>
        <n v="0.033"/>
        <n v="0.070652173913044"/>
        <n v="0.068817204301075"/>
        <n v="0.053571428571429"/>
        <n v="0.046236559139785"/>
        <n v="0.053684210526316"/>
        <n v="0.007686567164179"/>
        <n v="0.008924302788845"/>
        <n v="0.052040816326531"/>
        <n v="0.040172413793103"/>
        <n v="0.061326530612245"/>
        <n v="0.06578947368421"/>
        <n v="0.088666666666667"/>
        <n v="0.058247422680412"/>
        <n v="0.056060606060606"/>
        <n v="0.028666666666667"/>
        <n v="0.01820652173913"/>
        <n v="0.065346534653465"/>
        <n v="0.081372549019608"/>
        <m/>
      </sharedItems>
    </cacheField>
    <cacheField name="Mind force Decay/Mob">
      <sharedItems containsNumber="1" containsBlank="1" containsMixedTypes="1">
        <e v="#DIV/0!"/>
        <e v="#VALUE!"/>
        <n v="0.014285714285714"/>
        <n v="0.007594142259414"/>
        <n v="0.158235294117647"/>
        <n v="0.102475247524752"/>
        <n v="0.0"/>
        <n v="1.58102766798E-4"/>
        <n v="0.08396694214876"/>
        <n v="0.107330960854093"/>
        <n v="0.231"/>
        <n v="0.111607142857143"/>
        <n v="1.7094017094E-4"/>
        <n v="4.48430493274E-4"/>
        <n v="0.207674418604651"/>
        <n v="0.103695652173913"/>
        <n v="0.227887323943662"/>
        <n v="5.1813471503E-5"/>
        <n v="0.262333333333333"/>
        <n v="0.170526315789474"/>
        <n v="0.115943396226415"/>
        <n v="0.011650793650794"/>
        <n v="0.111220930232558"/>
        <n v="0.013508500772798"/>
        <n v="0.115882352941176"/>
        <n v="0.123150289017341"/>
        <n v="0.115510204081633"/>
        <n v="0.01342062193126"/>
        <n v="0.079636363636364"/>
        <n v="0.004238410596026"/>
        <n v="0.005666666666667"/>
        <n v="0.077522123893805"/>
        <n v="0.113913043478261"/>
        <n v="0.008456790123457"/>
        <n v="0.005974842767296"/>
        <n v="0.010243902439024"/>
        <n v="0.112811059907834"/>
        <n v="0.111632653061224"/>
        <n v="0.073534031413613"/>
        <n v="0.03890625"/>
        <n v="0.218181818181818"/>
        <n v="1.49253731343E-4"/>
        <n v="0.086699029126214"/>
        <n v="0.104528301886792"/>
        <n v="0.106069651741294"/>
        <n v="0.127731481481481"/>
        <n v="0.126586538461538"/>
        <n v="0.127142857142857"/>
        <n v="0.127681818181818"/>
        <n v="0.122589285714286"/>
        <n v="0.200900900900901"/>
        <n v="0.319578947368421"/>
        <n v="0.287205882352941"/>
        <n v="0.309864864864865"/>
        <n v="0.306901408450704"/>
        <n v="0.374333333333333"/>
        <n v="0.126548672566372"/>
        <n v="0.4048"/>
        <n v="0.3315"/>
        <n v="0.393870967741936"/>
        <n v="0.21375"/>
        <n v="0.085867768595041"/>
        <n v="0.108318584070796"/>
        <n v="0.171466666666667"/>
        <n v="0.022913907284768"/>
        <n v="0.125990990990991"/>
        <n v="0.121077586206897"/>
        <n v="0.120781893004115"/>
        <n v="0.389833333333333"/>
        <n v="0.121729957805907"/>
        <n v="5.12820512821E-4"/>
        <n v="0.346"/>
        <n v="0.11600790513834"/>
        <n v="0.113102189781022"/>
        <n v="0.119320754716981"/>
        <n v="0.121212121212121"/>
        <n v="0.107462121212121"/>
        <n v="0.116236162361624"/>
        <n v="0.120229007633588"/>
        <n v="4.72440944882E-4"/>
        <n v="0.114453125"/>
        <n v="4.74308300395E-4"/>
        <n v="0.116769230769231"/>
        <n v="0.119693486590038"/>
        <n v="0.116503759398496"/>
        <n v="0.111735849056604"/>
        <n v="0.151958762886598"/>
        <n v="0.129705882352941"/>
        <n v="0.122062256809339"/>
        <n v="0.125315985130112"/>
        <n v="0.119852398523985"/>
        <n v="0.119219330855019"/>
        <n v="0.124312267657993"/>
        <n v="0.122566037735849"/>
        <n v="0.118618181818182"/>
        <n v="0.127313432835821"/>
        <n v="0.315"/>
        <n v="0.13195652173913"/>
        <n v="0.127634408602151"/>
        <n v="0.136428571428571"/>
        <n v="0.139354838709677"/>
        <n v="0.170947368421053"/>
        <n v="0.13"/>
        <n v="0.129402390438247"/>
        <n v="0.158775510204082"/>
        <n v="0.155918367346939"/>
        <n v="0.067413793103448"/>
        <n v="0.146224489795918"/>
        <n v="0.165157894736842"/>
        <n v="0.1196"/>
        <n v="0.139278350515464"/>
        <n v="0.162626262626263"/>
        <n v="0.163465346534653"/>
        <n v="0.152549019607843"/>
        <m/>
      </sharedItems>
    </cacheField>
    <cacheField name="Weight">
      <sharedItems containsNumber="1" containsBlank="1" containsString="0" containsInteger="1">
        <n v="1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Target="../pivotCache/pivotCacheDefinition1.xml" Type="http://schemas.openxmlformats.org/officeDocument/2006/relationships/pivotCacheDefinition" Id="rId1"/></Relationships>
</file>

<file path=xl/pivotTables/pivotTable1.xml><?xml version="1.0" encoding="utf-8"?>
<pivotTableDefinition xmlns="http://schemas.openxmlformats.org/spreadsheetml/2006/main" cacheId="0" showHeaders="0" dataCaption="" name="By Mob - Current">
  <location firstDataCol="0" firstDataRow="2" ref="A1:P168" firstHeaderRow="0"/>
  <pivotFields>
    <pivotField name="Date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Time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t="default"/>
      </items>
    </pivotField>
    <pivotField name="Ammo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t="default"/>
      </items>
    </pivotField>
    <pivotField name="Consumables" showAll="0" outline="0" multipleItemSelectionAllowed="1">
      <items>
        <item x="0"/>
        <item x="1"/>
        <item x="2"/>
        <item x="3"/>
        <item x="4"/>
        <item x="5"/>
        <item x="6"/>
        <item x="7"/>
        <item t="default"/>
      </items>
    </pivotField>
    <pivotField name="Weapon Decay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Attachment Decay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t="default"/>
      </items>
    </pivotField>
    <pivotField name="Armor Decay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t="default"/>
      </items>
    </pivotField>
    <pivotField name="Tool Decay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t="default"/>
      </items>
    </pivotField>
    <pivotField name="Mindforce Decay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t="default"/>
      </items>
    </pivotField>
    <pivotField name="Total Repair Cost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t="default"/>
      </items>
    </pivotField>
    <pivotField name="Ammo Return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t="default"/>
      </items>
    </pivotField>
    <pivotField name="TT Return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t="default"/>
      </items>
    </pivotField>
    <pivotField name="[MU]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Skills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Total Return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t="default"/>
      </items>
    </pivotField>
    <pivotField name="Cost of Run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t="default"/>
      </items>
    </pivotField>
    <pivotField name="Plus/Minus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t="default"/>
      </items>
    </pivotField>
    <pivotField name="Return %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t="default"/>
      </items>
    </pivotField>
    <pivotField name="Cost Per Mob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t="default"/>
      </items>
    </pivotField>
    <pivotField name="Profit Per Mob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t="default"/>
      </items>
    </pivotField>
    <pivotField axis="axisRow" name="What was the run on (mob)" sortType="ascending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t="default"/>
      </items>
      <autoSortScope>
        <pivotArea>
          <references>
            <reference field="4294967294">
              <x v="7"/>
            </reference>
          </references>
        </pivotArea>
      </autoSortScope>
    </pivotField>
    <pivotField name="Kills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t="default"/>
      </items>
    </pivotField>
    <pivotField name="Location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Planet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Bonus PED" showAll="0" outline="0" multipleItemSelectionAllowed="1">
      <items>
        <item x="0"/>
        <item x="1"/>
        <item x="2"/>
        <item x="3"/>
        <item x="4"/>
        <item x="5"/>
        <item x="6"/>
        <item x="7"/>
        <item t="default"/>
      </items>
    </pivotField>
    <pivotField name="Skill Boosts" showAll="0" dataField="1" outline="0" multipleItemSelectionAllowed="1">
      <items>
        <item x="0"/>
        <item x="1"/>
        <item x="2"/>
        <item x="3"/>
        <item x="4"/>
        <item t="default"/>
      </items>
    </pivotField>
    <pivotField name="Globals" showAll="0" dataField="1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HOFs" showAll="0" dataField="1" outline="0" multipleItemSelectionAllowed="1">
      <items>
        <item x="0"/>
        <item x="1"/>
        <item x="2"/>
        <item x="3"/>
        <item t="default"/>
      </items>
    </pivotField>
    <pivotField name="Notes" showAll="0" outline="0" multipleItemSelectionAllowed="1">
      <items>
        <item x="0"/>
        <item x="1"/>
        <item x="2"/>
        <item x="3"/>
        <item t="default"/>
      </items>
    </pivotField>
    <pivotField name="Defensive Costs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t="default"/>
      </items>
    </pivotField>
    <pivotField name="Weapon Decay/Mob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t="default"/>
      </items>
    </pivotField>
    <pivotField name="Attachment Decay/Mob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/>
      </items>
    </pivotField>
    <pivotField name="Armor Decay/Mob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Tool Decay/Mob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Mind force Decay/Mob" showAll="0" outline="0" multipleItemSelectionAllowed="1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Weight" showAll="0" dataField="1" outline="0" multipleItemSelectionAllowed="1">
      <items>
        <item x="0"/>
        <item x="1"/>
        <item t="default"/>
      </items>
    </pivotField>
  </pivotFields>
  <rowFields>
    <field x="20"/>
  </rowFields>
  <colFields>
    <field x="-2"/>
  </colFields>
  <dataFields>
    <dataField baseField="0" name="SUM of Ammo" fld="2"/>
    <dataField baseField="0" name="SUM of Total Repair Cost" fld="9"/>
    <dataField baseField="0" name="SUM of Ammo Return" fld="10"/>
    <dataField baseField="0" name="SUM of TT Return" fld="11"/>
    <dataField baseField="0" name="SUM of [MU]" fld="12"/>
    <dataField baseField="0" name="SUM of Total Return" fld="14"/>
    <dataField baseField="0" name="SUM of Cost of Run" fld="15"/>
    <dataField baseField="0" name="SUM of Plus/Minus" fld="16"/>
    <dataField baseField="0" name="AVERAGE of Return %" fld="17" subtotal="average"/>
    <dataField baseField="0" name="SUM of Cost Per Mob" fld="18"/>
    <dataField baseField="0" name="SUM of Profit Per Mob" fld="19"/>
    <dataField baseField="0" name="SUM of Skill Boosts" fld="25"/>
    <dataField baseField="0" name="SUM of Globals" fld="26"/>
    <dataField baseField="0" name="SUM of HOFs" fld="27"/>
    <dataField baseField="0" name="COUNT of Weight" fld="35" subtotal="countNums"/>
  </dataFields>
</pivotTableDefinition>
</file>

<file path=xl/worksheets/_rels/sheet10.xml.rels><?xml version="1.0" encoding="UTF-8" standalone="yes"?><Relationships xmlns="http://schemas.openxmlformats.org/package/2006/relationships"><Relationship Target="../pivotTables/pivotTable1.xml" Type="http://schemas.openxmlformats.org/officeDocument/2006/relationships/pivot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6.0"/>
    <col min="2" customWidth="1" max="2" width="7.43"/>
    <col min="3" customWidth="1" max="3" width="10.0"/>
    <col min="4" customWidth="1" max="4" width="7.86"/>
    <col min="5" customWidth="1" max="5" width="7.29"/>
    <col min="6" customWidth="1" max="6" width="12.43"/>
    <col min="7" customWidth="1" max="7" width="9.57"/>
    <col min="8" customWidth="1" max="8" width="13.29"/>
    <col min="9" customWidth="1" max="9" width="8.0"/>
    <col min="10" customWidth="1" max="10" width="9.14"/>
    <col min="11" customWidth="1" max="11" width="10.71"/>
    <col min="12" customWidth="1" max="12" width="10.29"/>
    <col min="13" customWidth="1" max="13" width="11.29"/>
    <col min="14" customWidth="1" max="14" width="10.14"/>
    <col min="15" customWidth="1" max="15" width="7.86"/>
    <col min="16" customWidth="1" max="16" width="6.14"/>
    <col min="17" customWidth="1" max="17" width="10.57"/>
    <col min="18" customWidth="1" max="19" width="11.0"/>
    <col min="20" customWidth="1" max="20" width="9.71"/>
    <col min="21" customWidth="1" max="21" width="11.0"/>
    <col min="22" customWidth="1" max="22" width="10.86"/>
    <col min="23" customWidth="1" max="23" width="21.57"/>
    <col min="24" customWidth="1" max="24" width="4.14"/>
    <col min="25" customWidth="1" max="25" width="25.86"/>
    <col min="27" customWidth="1" max="27" width="9.14"/>
    <col min="28" customWidth="1" max="28" width="9.57"/>
    <col min="29" customWidth="1" max="29" width="7.57"/>
    <col min="30" customWidth="1" max="30" width="5.14"/>
    <col min="35" customWidth="1" max="36" width="18.43"/>
    <col min="38" max="38" hidden="1"/>
  </cols>
  <sheetData>
    <row r="1">
      <c t="s" s="56" r="A1">
        <v>0</v>
      </c>
      <c t="s" s="56" r="B1">
        <v>1</v>
      </c>
      <c t="s" s="56" r="C1">
        <v>2</v>
      </c>
      <c t="s" s="56" r="D1">
        <v>3</v>
      </c>
      <c t="s" s="56" r="E1">
        <v>4</v>
      </c>
      <c t="s" s="56" r="F1">
        <v>5</v>
      </c>
      <c t="s" s="56" r="G1">
        <v>6</v>
      </c>
      <c t="s" s="56" r="H1">
        <v>7</v>
      </c>
      <c t="s" s="56" r="I1">
        <v>8</v>
      </c>
      <c t="s" s="56" r="J1">
        <v>9</v>
      </c>
      <c t="s" s="56" r="K1">
        <v>10</v>
      </c>
      <c t="s" s="56" r="L1">
        <v>11</v>
      </c>
      <c t="s" s="56" r="M1">
        <v>12</v>
      </c>
      <c t="s" s="56" r="N1">
        <v>13</v>
      </c>
      <c t="s" s="56" r="O1">
        <v>14</v>
      </c>
      <c t="s" s="56" r="P1">
        <v>15</v>
      </c>
      <c t="s" s="56" r="Q1">
        <v>16</v>
      </c>
      <c t="s" s="56" r="R1">
        <v>17</v>
      </c>
      <c t="s" s="56" r="S1">
        <v>18</v>
      </c>
      <c t="s" s="56" r="T1">
        <v>19</v>
      </c>
      <c t="s" s="56" r="U1">
        <v>20</v>
      </c>
      <c t="s" s="56" r="V1">
        <v>21</v>
      </c>
      <c t="s" s="56" r="W1">
        <v>22</v>
      </c>
      <c t="s" s="56" r="X1">
        <v>23</v>
      </c>
      <c t="s" s="56" r="Y1">
        <v>24</v>
      </c>
      <c t="s" s="56" r="Z1">
        <v>25</v>
      </c>
      <c t="s" s="56" r="AA1">
        <v>26</v>
      </c>
      <c t="s" s="56" r="AB1">
        <v>27</v>
      </c>
      <c t="s" s="56" r="AC1">
        <v>28</v>
      </c>
      <c t="s" s="56" r="AD1">
        <v>29</v>
      </c>
      <c t="s" s="56" r="AE1">
        <v>30</v>
      </c>
      <c t="s" s="56" r="AF1">
        <v>31</v>
      </c>
      <c t="s" s="56" r="AG1">
        <v>32</v>
      </c>
      <c t="s" s="56" r="AH1">
        <v>33</v>
      </c>
      <c t="s" s="56" r="AI1">
        <v>34</v>
      </c>
      <c t="s" s="56" r="AJ1">
        <v>35</v>
      </c>
      <c t="s" s="56" r="AK1">
        <v>36</v>
      </c>
      <c t="s" s="56" r="AL1">
        <v>37</v>
      </c>
    </row>
    <row r="2">
      <c s="30" r="A2">
        <v>1</v>
      </c>
      <c t="s" s="30" r="B2">
        <v>38</v>
      </c>
      <c s="62" r="C2">
        <v>41558</v>
      </c>
      <c s="52" r="D2">
        <v>41558.5763888889</v>
      </c>
      <c s="55" r="E2">
        <v>200</v>
      </c>
      <c s="55" r="F2"/>
      <c t="s" s="55" r="G2">
        <v>39</v>
      </c>
      <c t="s" s="55" r="H2">
        <v>39</v>
      </c>
      <c t="s" s="55" r="I2">
        <v>39</v>
      </c>
      <c t="s" s="55" r="J2">
        <v>39</v>
      </c>
      <c t="s" s="55" r="K2">
        <v>39</v>
      </c>
      <c s="80" r="L2">
        <v>29.95</v>
      </c>
      <c s="79" r="M2">
        <v>0</v>
      </c>
      <c s="79" r="N2">
        <f>SUMIF(Sellables!$A$2:$A$11482, A2, Sellables!$E$2:$E$11482)</f>
        <v>229.11</v>
      </c>
      <c s="79" r="O2">
        <v>0</v>
      </c>
      <c s="32" r="P2">
        <f>SUMIF(Skills!$A$2:$A$9999, A2, Skills!$F$2:$F$9999)</f>
        <v>0</v>
      </c>
      <c s="14" r="Q2">
        <f>((M2+N2)+O2)+P2</f>
        <v>229.11</v>
      </c>
      <c s="23" r="R2">
        <f>E2+L2</f>
        <v>229.95</v>
      </c>
      <c s="70" r="S2">
        <f>Q2-R2</f>
        <v>-0.840000000000003</v>
      </c>
      <c s="29" r="T2">
        <f> (Q2/R2) - 1</f>
        <v>-0.00365296803653</v>
      </c>
      <c s="70" r="U2"/>
      <c s="70" r="V2"/>
      <c t="s" s="30" r="W2">
        <v>40</v>
      </c>
      <c s="30" r="X2">
        <v>0</v>
      </c>
      <c t="s" s="30" r="Y2">
        <v>41</v>
      </c>
      <c t="s" s="30" r="Z2">
        <v>42</v>
      </c>
      <c s="30" r="AA2">
        <v>0</v>
      </c>
      <c s="30" r="AB2">
        <v>1</v>
      </c>
      <c s="30" r="AC2">
        <v>1</v>
      </c>
      <c s="30" r="AD2">
        <v>0</v>
      </c>
      <c s="30" r="AE2"/>
      <c t="str" s="8" r="AF2">
        <f>(I2+J2)/R2</f>
        <v>#VALUE!:notNumber:NA</v>
      </c>
      <c t="str" s="28" r="AG2">
        <f>G2/$X2</f>
        <v>#DIV/0!:divZero</v>
      </c>
      <c t="str" s="28" r="AH2">
        <f>H2/$X2</f>
        <v>#DIV/0!:divZero</v>
      </c>
      <c t="str" s="28" r="AI2">
        <f>I2/$X2</f>
        <v>#DIV/0!:divZero</v>
      </c>
      <c t="str" s="28" r="AJ2">
        <f>J2/$X2</f>
        <v>#DIV/0!:divZero</v>
      </c>
      <c t="str" s="28" r="AK2">
        <f>K2/$X2</f>
        <v>#DIV/0!:divZero</v>
      </c>
      <c s="30" r="AL2">
        <v>1</v>
      </c>
    </row>
    <row r="3">
      <c s="30" r="A3">
        <v>2</v>
      </c>
      <c t="s" s="30" r="B3">
        <v>38</v>
      </c>
      <c s="62" r="C3">
        <v>41558</v>
      </c>
      <c s="52" r="D3">
        <v>41558.7180555556</v>
      </c>
      <c s="55" r="E3">
        <v>200</v>
      </c>
      <c s="55" r="F3"/>
      <c t="s" s="55" r="G3">
        <v>39</v>
      </c>
      <c t="s" s="55" r="H3">
        <v>39</v>
      </c>
      <c t="s" s="55" r="I3">
        <v>39</v>
      </c>
      <c t="s" s="55" r="J3">
        <v>39</v>
      </c>
      <c t="s" s="55" r="K3">
        <v>39</v>
      </c>
      <c s="80" r="L3">
        <v>42.43</v>
      </c>
      <c s="79" r="M3">
        <v>64.74</v>
      </c>
      <c s="79" r="N3">
        <v>144.56</v>
      </c>
      <c s="79" r="O3">
        <v>0</v>
      </c>
      <c s="32" r="P3">
        <f>SUMIF(Skills!$A$2:$A$9999, A3, Skills!$F$2:$F$9999)</f>
        <v>0</v>
      </c>
      <c s="14" r="Q3">
        <f>((M3+N3)+O3)+P3</f>
        <v>209.3</v>
      </c>
      <c s="23" r="R3">
        <f>E3+L3</f>
        <v>242.43</v>
      </c>
      <c s="70" r="S3">
        <f>Q3-R3</f>
        <v>-33.13</v>
      </c>
      <c s="29" r="T3">
        <f> (Q3/R3) - 1</f>
        <v>-0.136658004372396</v>
      </c>
      <c s="70" r="U3"/>
      <c s="70" r="V3"/>
      <c t="s" s="30" r="W3">
        <v>43</v>
      </c>
      <c s="30" r="X3">
        <v>0</v>
      </c>
      <c t="s" s="30" r="Y3">
        <v>44</v>
      </c>
      <c t="s" s="30" r="Z3">
        <v>42</v>
      </c>
      <c s="30" r="AA3">
        <v>0</v>
      </c>
      <c s="30" r="AB3">
        <v>1</v>
      </c>
      <c s="30" r="AC3">
        <v>0</v>
      </c>
      <c s="30" r="AD3">
        <v>0</v>
      </c>
      <c s="30" r="AE3"/>
      <c t="str" s="8" r="AF3">
        <f>(I3+J3)/R3</f>
        <v>#VALUE!:notNumber:NA</v>
      </c>
      <c t="str" s="28" r="AG3">
        <f>G3/$X3</f>
        <v>#DIV/0!:divZero</v>
      </c>
      <c t="str" s="28" r="AH3">
        <f>H3/$X3</f>
        <v>#DIV/0!:divZero</v>
      </c>
      <c t="str" s="28" r="AI3">
        <f>I3/$X3</f>
        <v>#DIV/0!:divZero</v>
      </c>
      <c t="str" s="28" r="AJ3">
        <f>J3/$X3</f>
        <v>#DIV/0!:divZero</v>
      </c>
      <c t="str" s="28" r="AK3">
        <f>K3/$X3</f>
        <v>#DIV/0!:divZero</v>
      </c>
      <c s="30" r="AL3">
        <v>1</v>
      </c>
    </row>
    <row r="4">
      <c s="30" r="A4">
        <v>3</v>
      </c>
      <c t="s" s="30" r="B4">
        <v>38</v>
      </c>
      <c s="62" r="C4">
        <v>41558</v>
      </c>
      <c s="52" r="D4">
        <v>41558.8201388889</v>
      </c>
      <c s="55" r="E4">
        <v>200</v>
      </c>
      <c s="55" r="F4"/>
      <c t="s" s="55" r="G4">
        <v>39</v>
      </c>
      <c t="s" s="55" r="H4">
        <v>39</v>
      </c>
      <c t="s" s="55" r="I4">
        <v>39</v>
      </c>
      <c t="s" s="55" r="J4">
        <v>39</v>
      </c>
      <c t="s" s="55" r="K4">
        <v>39</v>
      </c>
      <c s="80" r="L4">
        <v>38.36</v>
      </c>
      <c s="79" r="M4">
        <v>72.38</v>
      </c>
      <c s="79" r="N4">
        <v>89.72</v>
      </c>
      <c s="79" r="O4">
        <v>0</v>
      </c>
      <c s="32" r="P4">
        <f>SUMIF(Skills!$A$2:$A$9999, A4, Skills!$F$2:$F$9999)</f>
        <v>0</v>
      </c>
      <c s="20" r="Q4">
        <f>SUMIF(Sellables!A4:A11484, A4,Sellables!G4:G11484)+P4</f>
        <v>19.36</v>
      </c>
      <c s="17" r="R4">
        <f>E4+L4</f>
        <v>238.36</v>
      </c>
      <c s="63" r="S4">
        <f>Q4-R4</f>
        <v>-219</v>
      </c>
      <c s="39" r="T4">
        <f> (Q4/R4) - 1</f>
        <v>-0.918778318509817</v>
      </c>
      <c s="70" r="U4"/>
      <c s="70" r="V4"/>
      <c t="s" s="30" r="W4">
        <v>45</v>
      </c>
      <c s="30" r="X4">
        <v>0</v>
      </c>
      <c t="s" s="30" r="Y4">
        <v>46</v>
      </c>
      <c t="s" s="30" r="Z4">
        <v>42</v>
      </c>
      <c s="30" r="AA4">
        <v>0</v>
      </c>
      <c s="30" r="AB4">
        <v>1</v>
      </c>
      <c s="30" r="AC4">
        <v>0</v>
      </c>
      <c s="30" r="AD4">
        <v>0</v>
      </c>
      <c s="30" r="AE4"/>
      <c t="str" s="8" r="AF4">
        <f>(I4+J4)/R4</f>
        <v>#VALUE!:notNumber:NA</v>
      </c>
      <c t="str" s="28" r="AG4">
        <f>G4/$X4</f>
        <v>#DIV/0!:divZero</v>
      </c>
      <c t="str" s="28" r="AH4">
        <f>H4/$X4</f>
        <v>#DIV/0!:divZero</v>
      </c>
      <c t="str" s="28" r="AI4">
        <f>I4/$X4</f>
        <v>#DIV/0!:divZero</v>
      </c>
      <c t="str" s="28" r="AJ4">
        <f>J4/$X4</f>
        <v>#DIV/0!:divZero</v>
      </c>
      <c t="str" s="28" r="AK4">
        <f>K4/$X4</f>
        <v>#DIV/0!:divZero</v>
      </c>
      <c s="30" r="AL4">
        <v>1</v>
      </c>
    </row>
    <row r="5">
      <c s="30" r="A5">
        <v>4</v>
      </c>
      <c t="s" s="30" r="B5">
        <v>38</v>
      </c>
      <c s="62" r="C5">
        <v>41558</v>
      </c>
      <c s="52" r="D5">
        <v>41558.9027777778</v>
      </c>
      <c s="55" r="E5">
        <v>200</v>
      </c>
      <c s="55" r="F5"/>
      <c t="s" s="55" r="G5">
        <v>39</v>
      </c>
      <c t="s" s="55" r="H5">
        <v>39</v>
      </c>
      <c t="s" s="55" r="I5">
        <v>39</v>
      </c>
      <c t="s" s="55" r="J5">
        <v>39</v>
      </c>
      <c t="s" s="55" r="K5">
        <v>39</v>
      </c>
      <c s="80" r="L5">
        <v>17.1</v>
      </c>
      <c s="79" r="M5">
        <v>0</v>
      </c>
      <c s="79" r="N5">
        <f>SUMIF(Sellables!$A$2:$A$11482, A5, Sellables!$E$2:$E$11482)</f>
        <v>190.42</v>
      </c>
      <c s="79" r="O5">
        <v>0</v>
      </c>
      <c s="32" r="P5">
        <f>SUMIF(Skills!$A$2:$A$9999, A5, Skills!$F$2:$F$9999)</f>
        <v>0</v>
      </c>
      <c s="20" r="Q5">
        <f>SUMIF(Sellables!A5:A11485, A5,Sellables!G5:G11485)+P5</f>
        <v>190.42</v>
      </c>
      <c s="17" r="R5">
        <f>E5+L5</f>
        <v>217.1</v>
      </c>
      <c s="63" r="S5">
        <f>Q5-R5</f>
        <v>-26.68</v>
      </c>
      <c s="39" r="T5">
        <f> (Q5/R5) - 1</f>
        <v>-0.122892676186089</v>
      </c>
      <c s="70" r="U5"/>
      <c s="70" r="V5"/>
      <c t="s" s="30" r="W5">
        <v>47</v>
      </c>
      <c s="30" r="X5">
        <v>0</v>
      </c>
      <c t="s" s="30" r="Y5">
        <v>48</v>
      </c>
      <c t="s" s="30" r="Z5">
        <v>49</v>
      </c>
      <c s="30" r="AA5">
        <v>0</v>
      </c>
      <c s="30" r="AB5">
        <v>0</v>
      </c>
      <c s="30" r="AC5">
        <v>0</v>
      </c>
      <c s="30" r="AD5">
        <v>0</v>
      </c>
      <c s="30" r="AE5"/>
      <c t="str" s="8" r="AF5">
        <f>(I5+J5)/R5</f>
        <v>#VALUE!:notNumber:NA</v>
      </c>
      <c t="str" s="28" r="AG5">
        <f>G5/$X5</f>
        <v>#DIV/0!:divZero</v>
      </c>
      <c t="str" s="28" r="AH5">
        <f>H5/$X5</f>
        <v>#DIV/0!:divZero</v>
      </c>
      <c t="str" s="28" r="AI5">
        <f>I5/$X5</f>
        <v>#DIV/0!:divZero</v>
      </c>
      <c t="str" s="28" r="AJ5">
        <f>J5/$X5</f>
        <v>#DIV/0!:divZero</v>
      </c>
      <c t="str" s="28" r="AK5">
        <f>K5/$X5</f>
        <v>#DIV/0!:divZero</v>
      </c>
      <c s="30" r="AL5">
        <v>1</v>
      </c>
    </row>
    <row r="6">
      <c s="30" r="A6">
        <v>5</v>
      </c>
      <c t="s" s="30" r="B6">
        <v>38</v>
      </c>
      <c s="62" r="C6">
        <v>41558</v>
      </c>
      <c s="52" r="D6">
        <v>41558.9375</v>
      </c>
      <c s="55" r="E6">
        <v>200</v>
      </c>
      <c s="55" r="F6"/>
      <c t="s" s="55" r="G6">
        <v>39</v>
      </c>
      <c t="s" s="55" r="H6">
        <v>39</v>
      </c>
      <c t="s" s="55" r="I6">
        <v>39</v>
      </c>
      <c t="s" s="55" r="J6">
        <v>39</v>
      </c>
      <c t="s" s="55" r="K6">
        <v>39</v>
      </c>
      <c s="80" r="L6">
        <v>14.97</v>
      </c>
      <c s="79" r="M6">
        <v>0</v>
      </c>
      <c s="79" r="N6">
        <f>SUMIF(Sellables!$A$2:$A$11482, A6, Sellables!$E$2:$E$11482)</f>
        <v>194.19</v>
      </c>
      <c s="79" r="O6">
        <v>0</v>
      </c>
      <c s="32" r="P6">
        <f>SUMIF(Skills!$A$2:$A$9999, A6, Skills!$F$2:$F$9999)</f>
        <v>0</v>
      </c>
      <c s="20" r="Q6">
        <f>SUMIF(Sellables!A6:A11486, A6,Sellables!G6:G11486)+P6</f>
        <v>194.19</v>
      </c>
      <c s="17" r="R6">
        <f>E6+L6</f>
        <v>214.97</v>
      </c>
      <c s="63" r="S6">
        <f>Q6-R6</f>
        <v>-20.78</v>
      </c>
      <c s="39" r="T6">
        <f> (Q6/R6) - 1</f>
        <v>-0.096664650881518</v>
      </c>
      <c s="70" r="U6"/>
      <c s="70" r="V6"/>
      <c t="s" s="30" r="W6">
        <v>50</v>
      </c>
      <c s="30" r="X6">
        <v>0</v>
      </c>
      <c t="s" s="30" r="Y6">
        <v>51</v>
      </c>
      <c t="s" s="30" r="Z6">
        <v>49</v>
      </c>
      <c s="30" r="AA6">
        <v>0</v>
      </c>
      <c s="30" r="AB6">
        <v>0</v>
      </c>
      <c s="30" r="AC6">
        <v>0</v>
      </c>
      <c s="30" r="AD6">
        <v>0</v>
      </c>
      <c s="30" r="AE6"/>
      <c t="str" s="8" r="AF6">
        <f>(I6+J6)/R6</f>
        <v>#VALUE!:notNumber:NA</v>
      </c>
      <c t="str" s="28" r="AG6">
        <f>G6/$X6</f>
        <v>#DIV/0!:divZero</v>
      </c>
      <c t="str" s="28" r="AH6">
        <f>H6/$X6</f>
        <v>#DIV/0!:divZero</v>
      </c>
      <c t="str" s="28" r="AI6">
        <f>I6/$X6</f>
        <v>#DIV/0!:divZero</v>
      </c>
      <c t="str" s="28" r="AJ6">
        <f>J6/$X6</f>
        <v>#DIV/0!:divZero</v>
      </c>
      <c t="str" s="28" r="AK6">
        <f>K6/$X6</f>
        <v>#DIV/0!:divZero</v>
      </c>
      <c s="30" r="AL6">
        <v>1</v>
      </c>
    </row>
    <row r="7">
      <c s="30" r="A7">
        <v>6</v>
      </c>
      <c t="s" s="30" r="B7">
        <v>38</v>
      </c>
      <c s="62" r="C7">
        <v>41559</v>
      </c>
      <c s="52" r="D7">
        <v>41559.6159722222</v>
      </c>
      <c s="55" r="E7">
        <v>200</v>
      </c>
      <c s="55" r="F7"/>
      <c t="s" s="55" r="G7">
        <v>39</v>
      </c>
      <c t="s" s="55" r="H7">
        <v>39</v>
      </c>
      <c t="s" s="55" r="I7">
        <v>39</v>
      </c>
      <c t="s" s="55" r="J7">
        <v>39</v>
      </c>
      <c t="s" s="55" r="K7">
        <v>39</v>
      </c>
      <c s="80" r="L7">
        <v>23.96</v>
      </c>
      <c s="79" r="M7">
        <v>0</v>
      </c>
      <c s="79" r="N7">
        <f>SUMIF(Sellables!$A$2:$A$11482, A7, Sellables!$E$2:$E$11482)</f>
        <v>238.24</v>
      </c>
      <c s="79" r="O7">
        <v>0</v>
      </c>
      <c s="32" r="P7">
        <f>SUMIF(Skills!$A$2:$A$9999, A7, Skills!$F$2:$F$9999)</f>
        <v>0</v>
      </c>
      <c s="20" r="Q7">
        <f>SUMIF(Sellables!A7:A11487, A7,Sellables!G7:G11487)+P7</f>
        <v>238.24</v>
      </c>
      <c s="17" r="R7">
        <f>E7+L7</f>
        <v>223.96</v>
      </c>
      <c s="63" r="S7">
        <f>Q7-R7</f>
        <v>14.28</v>
      </c>
      <c s="39" r="T7">
        <f> (Q7/R7) - 1</f>
        <v>0.063761385961779</v>
      </c>
      <c s="70" r="U7"/>
      <c s="70" r="V7"/>
      <c t="s" s="30" r="W7">
        <v>52</v>
      </c>
      <c s="30" r="X7">
        <v>0</v>
      </c>
      <c t="s" s="30" r="Y7">
        <v>53</v>
      </c>
      <c t="s" s="30" r="Z7">
        <v>54</v>
      </c>
      <c s="30" r="AA7">
        <v>0</v>
      </c>
      <c s="30" r="AB7">
        <v>1</v>
      </c>
      <c s="30" r="AC7">
        <v>2</v>
      </c>
      <c s="30" r="AD7">
        <v>0</v>
      </c>
      <c s="30" r="AE7"/>
      <c t="str" s="8" r="AF7">
        <f>(I7+J7)/R7</f>
        <v>#VALUE!:notNumber:NA</v>
      </c>
      <c t="str" s="28" r="AG7">
        <f>G7/$X7</f>
        <v>#DIV/0!:divZero</v>
      </c>
      <c t="str" s="28" r="AH7">
        <f>H7/$X7</f>
        <v>#DIV/0!:divZero</v>
      </c>
      <c t="str" s="28" r="AI7">
        <f>I7/$X7</f>
        <v>#DIV/0!:divZero</v>
      </c>
      <c t="str" s="28" r="AJ7">
        <f>J7/$X7</f>
        <v>#DIV/0!:divZero</v>
      </c>
      <c t="str" s="28" r="AK7">
        <f>K7/$X7</f>
        <v>#DIV/0!:divZero</v>
      </c>
      <c s="30" r="AL7">
        <v>1</v>
      </c>
    </row>
    <row r="8">
      <c s="30" r="A8">
        <v>7</v>
      </c>
      <c t="s" s="30" r="B8">
        <v>55</v>
      </c>
      <c s="62" r="C8">
        <v>41559</v>
      </c>
      <c s="52" r="D8">
        <v>41559.6458333333</v>
      </c>
      <c s="55" r="E8">
        <f>46*0.7</f>
        <v>32.2</v>
      </c>
      <c s="55" r="F8"/>
      <c t="s" s="55" r="G8">
        <v>39</v>
      </c>
      <c t="s" s="55" r="H8">
        <v>39</v>
      </c>
      <c t="s" s="55" r="I8">
        <v>39</v>
      </c>
      <c t="s" s="55" r="J8">
        <v>39</v>
      </c>
      <c t="s" s="55" r="K8">
        <v>39</v>
      </c>
      <c s="80" r="L8">
        <v>0</v>
      </c>
      <c s="79" r="M8">
        <v>0</v>
      </c>
      <c s="79" r="N8">
        <f>SUMIF(Sellables!$A$2:$A$11482, A8, Sellables!$E$2:$E$11482)</f>
        <v>41.84</v>
      </c>
      <c s="79" r="O8">
        <v>0</v>
      </c>
      <c s="32" r="P8">
        <f>SUMIF(Skills!$A$2:$A$9999, A8, Skills!$F$2:$F$9999)</f>
        <v>0</v>
      </c>
      <c s="20" r="Q8">
        <f>SUMIF(Sellables!A8:A11488, A8,Sellables!G8:G11488)+P8</f>
        <v>41.84</v>
      </c>
      <c s="17" r="R8">
        <f>E8+L8</f>
        <v>32.2</v>
      </c>
      <c s="63" r="S8">
        <f>Q8-R8</f>
        <v>9.64000000000001</v>
      </c>
      <c s="39" r="T8">
        <f> (Q8/R8) - 1</f>
        <v>0.299378881987578</v>
      </c>
      <c s="70" r="U8"/>
      <c s="70" r="V8"/>
      <c t="s" s="30" r="W8">
        <v>56</v>
      </c>
      <c s="30" r="X8">
        <v>0</v>
      </c>
      <c t="s" s="30" r="Y8">
        <v>57</v>
      </c>
      <c t="s" s="30" r="Z8">
        <v>54</v>
      </c>
      <c s="30" r="AA8">
        <v>0</v>
      </c>
      <c s="30" r="AB8">
        <v>0</v>
      </c>
      <c s="30" r="AC8">
        <v>0</v>
      </c>
      <c s="30" r="AD8">
        <v>0</v>
      </c>
      <c s="30" r="AE8"/>
      <c t="str" s="8" r="AF8">
        <f>(I8+J8)/R8</f>
        <v>#VALUE!:notNumber:NA</v>
      </c>
      <c t="str" s="28" r="AG8">
        <f>G8/$X8</f>
        <v>#DIV/0!:divZero</v>
      </c>
      <c t="str" s="28" r="AH8">
        <f>H8/$X8</f>
        <v>#DIV/0!:divZero</v>
      </c>
      <c t="str" s="28" r="AI8">
        <f>I8/$X8</f>
        <v>#DIV/0!:divZero</v>
      </c>
      <c t="str" s="28" r="AJ8">
        <f>J8/$X8</f>
        <v>#DIV/0!:divZero</v>
      </c>
      <c t="str" s="28" r="AK8">
        <f>K8/$X8</f>
        <v>#DIV/0!:divZero</v>
      </c>
      <c s="30" r="AL8">
        <v>1</v>
      </c>
    </row>
    <row r="9">
      <c s="30" r="A9">
        <v>8</v>
      </c>
      <c t="s" s="30" r="B9">
        <v>38</v>
      </c>
      <c s="62" r="C9">
        <v>41559</v>
      </c>
      <c s="52" r="D9">
        <v>41559.65625</v>
      </c>
      <c s="55" r="E9">
        <v>200</v>
      </c>
      <c s="55" r="F9"/>
      <c t="s" s="55" r="G9">
        <v>39</v>
      </c>
      <c t="s" s="55" r="H9">
        <v>39</v>
      </c>
      <c t="s" s="55" r="I9">
        <v>39</v>
      </c>
      <c t="s" s="55" r="J9">
        <v>39</v>
      </c>
      <c t="s" s="55" r="K9">
        <v>39</v>
      </c>
      <c s="80" r="L9">
        <v>5.08</v>
      </c>
      <c s="79" r="M9">
        <v>0</v>
      </c>
      <c s="79" r="N9">
        <f>SUMIF(Sellables!$A$2:$A$11482, A9, Sellables!$E$2:$E$11482)</f>
        <v>195.58</v>
      </c>
      <c s="79" r="O9">
        <v>0</v>
      </c>
      <c s="32" r="P9">
        <f>SUMIF(Skills!$A$2:$A$9999, A9, Skills!$F$2:$F$9999)</f>
        <v>0</v>
      </c>
      <c s="20" r="Q9">
        <f>SUMIF(Sellables!A8:A11489, A9,Sellables!G8:G11489)+P9</f>
        <v>195.58</v>
      </c>
      <c s="17" r="R9">
        <f>E9+L9</f>
        <v>205.08</v>
      </c>
      <c s="63" r="S9">
        <f>Q9-R9</f>
        <v>-9.50000000000003</v>
      </c>
      <c s="39" r="T9">
        <f> (Q9/R9) - 1</f>
        <v>-0.046323385995709</v>
      </c>
      <c s="70" r="U9"/>
      <c s="70" r="V9"/>
      <c t="s" s="30" r="W9">
        <v>58</v>
      </c>
      <c s="30" r="X9">
        <v>0</v>
      </c>
      <c t="s" s="30" r="Y9">
        <v>53</v>
      </c>
      <c t="s" s="30" r="Z9">
        <v>54</v>
      </c>
      <c s="30" r="AA9">
        <v>0</v>
      </c>
      <c s="30" r="AB9">
        <v>0</v>
      </c>
      <c s="30" r="AC9">
        <v>0</v>
      </c>
      <c s="30" r="AD9">
        <v>0</v>
      </c>
      <c s="30" r="AE9"/>
      <c t="str" s="8" r="AF9">
        <f>(I9+J9)/R9</f>
        <v>#VALUE!:notNumber:NA</v>
      </c>
      <c t="str" s="28" r="AG9">
        <f>G9/$X9</f>
        <v>#DIV/0!:divZero</v>
      </c>
      <c t="str" s="28" r="AH9">
        <f>H9/$X9</f>
        <v>#DIV/0!:divZero</v>
      </c>
      <c t="str" s="28" r="AI9">
        <f>I9/$X9</f>
        <v>#DIV/0!:divZero</v>
      </c>
      <c t="str" s="28" r="AJ9">
        <f>J9/$X9</f>
        <v>#DIV/0!:divZero</v>
      </c>
      <c t="str" s="28" r="AK9">
        <f>K9/$X9</f>
        <v>#DIV/0!:divZero</v>
      </c>
      <c s="30" r="AL9">
        <v>1</v>
      </c>
    </row>
    <row r="10">
      <c s="30" r="A10">
        <v>9</v>
      </c>
      <c t="s" s="30" r="B10">
        <v>38</v>
      </c>
      <c s="62" r="C10">
        <v>41559</v>
      </c>
      <c s="52" r="D10">
        <v>41559.7048611111</v>
      </c>
      <c s="55" r="E10">
        <v>200</v>
      </c>
      <c s="55" r="F10"/>
      <c t="s" s="55" r="G10">
        <v>39</v>
      </c>
      <c t="s" s="55" r="H10">
        <v>39</v>
      </c>
      <c t="s" s="55" r="I10">
        <v>39</v>
      </c>
      <c t="s" s="55" r="J10">
        <v>39</v>
      </c>
      <c t="s" s="55" r="K10">
        <v>39</v>
      </c>
      <c s="80" r="L10">
        <v>15.44</v>
      </c>
      <c s="79" r="M10">
        <v>0</v>
      </c>
      <c s="79" r="N10">
        <f>SUMIF(Sellables!$A$2:$A$11482, A10, Sellables!$E$2:$E$11482)</f>
        <v>225.9</v>
      </c>
      <c s="79" r="O10">
        <v>0</v>
      </c>
      <c s="32" r="P10">
        <f>SUMIF(Skills!$A$2:$A$9999, A10, Skills!$F$2:$F$9999)</f>
        <v>0</v>
      </c>
      <c s="20" r="Q10">
        <f>SUMIF(Sellables!A8:A11490, A10,Sellables!G8:G11490)+P10</f>
        <v>225.9</v>
      </c>
      <c s="17" r="R10">
        <f>E10+L10</f>
        <v>215.44</v>
      </c>
      <c s="63" r="S10">
        <f>Q10-R10</f>
        <v>10.46</v>
      </c>
      <c s="39" r="T10">
        <f> (Q10/R10) - 1</f>
        <v>0.048551800965466</v>
      </c>
      <c s="70" r="U10"/>
      <c s="70" r="V10"/>
      <c t="s" s="30" r="W10">
        <v>59</v>
      </c>
      <c s="30" r="X10">
        <v>0</v>
      </c>
      <c t="s" s="30" r="Y10">
        <v>60</v>
      </c>
      <c t="s" s="30" r="Z10">
        <v>61</v>
      </c>
      <c s="30" r="AA10">
        <v>0</v>
      </c>
      <c s="30" r="AB10">
        <v>1</v>
      </c>
      <c s="30" r="AC10">
        <v>1</v>
      </c>
      <c s="30" r="AD10">
        <v>0</v>
      </c>
      <c s="30" r="AE10"/>
      <c t="str" s="8" r="AF10">
        <f>(I10+J10)/R10</f>
        <v>#VALUE!:notNumber:NA</v>
      </c>
      <c t="str" s="28" r="AG10">
        <f>G10/$X10</f>
        <v>#DIV/0!:divZero</v>
      </c>
      <c t="str" s="28" r="AH10">
        <f>H10/$X10</f>
        <v>#DIV/0!:divZero</v>
      </c>
      <c t="str" s="28" r="AI10">
        <f>I10/$X10</f>
        <v>#DIV/0!:divZero</v>
      </c>
      <c t="str" s="28" r="AJ10">
        <f>J10/$X10</f>
        <v>#DIV/0!:divZero</v>
      </c>
      <c t="str" s="28" r="AK10">
        <f>K10/$X10</f>
        <v>#DIV/0!:divZero</v>
      </c>
      <c s="30" r="AL10">
        <v>1</v>
      </c>
    </row>
    <row r="11">
      <c s="30" r="A11">
        <v>10</v>
      </c>
      <c t="s" s="30" r="B11">
        <v>38</v>
      </c>
      <c s="62" r="C11">
        <v>41559</v>
      </c>
      <c s="52" r="D11">
        <v>41559.8020833333</v>
      </c>
      <c s="55" r="E11">
        <v>200</v>
      </c>
      <c s="55" r="F11"/>
      <c t="s" s="55" r="G11">
        <v>39</v>
      </c>
      <c t="s" s="55" r="H11">
        <v>39</v>
      </c>
      <c t="s" s="55" r="I11">
        <v>39</v>
      </c>
      <c t="s" s="55" r="J11">
        <v>39</v>
      </c>
      <c t="s" s="55" r="K11">
        <v>39</v>
      </c>
      <c s="80" r="L11">
        <v>1.07</v>
      </c>
      <c s="79" r="M11">
        <v>0</v>
      </c>
      <c s="79" r="N11">
        <f>SUMIF(Sellables!$A$2:$A$11482, A11, Sellables!$E$2:$E$11482)</f>
        <v>201.48</v>
      </c>
      <c s="79" r="O11">
        <v>0</v>
      </c>
      <c s="32" r="P11">
        <f>SUMIF(Skills!$A$2:$A$9999, A11, Skills!$F$2:$F$9999)</f>
        <v>0</v>
      </c>
      <c s="20" r="Q11">
        <f>SUMIF(Sellables!A8:A11491, A11,Sellables!G8:G11491)+P11</f>
        <v>201.48</v>
      </c>
      <c s="17" r="R11">
        <f>E11+L11</f>
        <v>201.07</v>
      </c>
      <c s="63" r="S11">
        <f>Q11-R11</f>
        <v>0.409999999999997</v>
      </c>
      <c s="39" r="T11">
        <f> (Q11/R11) - 1</f>
        <v>0.002039090863878</v>
      </c>
      <c s="70" r="U11"/>
      <c s="70" r="V11"/>
      <c t="s" s="30" r="W11">
        <v>59</v>
      </c>
      <c s="30" r="X11">
        <v>0</v>
      </c>
      <c t="s" s="30" r="Y11">
        <v>60</v>
      </c>
      <c t="s" s="30" r="Z11">
        <v>62</v>
      </c>
      <c s="30" r="AA11">
        <v>0</v>
      </c>
      <c s="30" r="AB11">
        <v>0</v>
      </c>
      <c s="30" r="AC11">
        <v>0</v>
      </c>
      <c s="30" r="AD11">
        <v>0</v>
      </c>
      <c s="30" r="AE11"/>
      <c t="str" s="8" r="AF11">
        <f>(I11+J11)/R11</f>
        <v>#VALUE!:notNumber:NA</v>
      </c>
      <c t="str" s="28" r="AG11">
        <f>G11/$X11</f>
        <v>#DIV/0!:divZero</v>
      </c>
      <c t="str" s="28" r="AH11">
        <f>H11/$X11</f>
        <v>#DIV/0!:divZero</v>
      </c>
      <c t="str" s="28" r="AI11">
        <f>I11/$X11</f>
        <v>#DIV/0!:divZero</v>
      </c>
      <c t="str" s="28" r="AJ11">
        <f>J11/$X11</f>
        <v>#DIV/0!:divZero</v>
      </c>
      <c t="str" s="28" r="AK11">
        <f>K11/$X11</f>
        <v>#DIV/0!:divZero</v>
      </c>
      <c s="30" r="AL11">
        <v>1</v>
      </c>
    </row>
    <row r="12">
      <c s="30" r="A12">
        <v>11</v>
      </c>
      <c t="s" s="30" r="B12">
        <v>38</v>
      </c>
      <c s="62" r="C12">
        <v>41559</v>
      </c>
      <c s="52" r="D12">
        <v>41559.9208333333</v>
      </c>
      <c s="55" r="E12">
        <v>200</v>
      </c>
      <c s="55" r="F12"/>
      <c t="s" s="55" r="G12">
        <v>39</v>
      </c>
      <c t="s" s="55" r="H12">
        <v>39</v>
      </c>
      <c t="s" s="55" r="I12">
        <v>39</v>
      </c>
      <c t="s" s="55" r="J12">
        <v>39</v>
      </c>
      <c t="s" s="55" r="K12">
        <v>39</v>
      </c>
      <c s="80" r="L12">
        <v>56.01</v>
      </c>
      <c s="79" r="M12">
        <v>0</v>
      </c>
      <c s="79" r="N12">
        <f>SUMIF(Sellables!$A$2:$A$11482, A12, Sellables!$E$2:$E$11482)</f>
        <v>220.77</v>
      </c>
      <c s="79" r="O12">
        <v>0</v>
      </c>
      <c s="32" r="P12">
        <f>SUMIF(Skills!$A$2:$A$9999, A12, Skills!$F$2:$F$9999)</f>
        <v>0</v>
      </c>
      <c s="20" r="Q12">
        <f>SUMIF(Sellables!A8:A11492, A12,Sellables!G8:G11492)+P12</f>
        <v>220.77</v>
      </c>
      <c s="17" r="R12">
        <f>E12+L12</f>
        <v>256.01</v>
      </c>
      <c s="63" r="S12">
        <f>Q12-R12</f>
        <v>-35.24</v>
      </c>
      <c s="39" r="T12">
        <f> (Q12/R12) - 1</f>
        <v>-0.137650873012773</v>
      </c>
      <c s="70" r="U12"/>
      <c s="70" r="V12"/>
      <c t="s" s="30" r="W12">
        <v>63</v>
      </c>
      <c s="30" r="X12">
        <v>0</v>
      </c>
      <c t="s" s="30" r="Y12">
        <v>64</v>
      </c>
      <c t="s" s="30" r="Z12">
        <v>65</v>
      </c>
      <c s="30" r="AA12">
        <v>0</v>
      </c>
      <c s="30" r="AB12">
        <v>1</v>
      </c>
      <c s="30" r="AC12">
        <v>0</v>
      </c>
      <c s="30" r="AD12">
        <v>0</v>
      </c>
      <c s="30" r="AE12"/>
      <c t="str" s="8" r="AF12">
        <f>(I12+J12)/R12</f>
        <v>#VALUE!:notNumber:NA</v>
      </c>
      <c t="str" s="28" r="AG12">
        <f>G12/$X12</f>
        <v>#DIV/0!:divZero</v>
      </c>
      <c t="str" s="28" r="AH12">
        <f>H12/$X12</f>
        <v>#DIV/0!:divZero</v>
      </c>
      <c t="str" s="28" r="AI12">
        <f>I12/$X12</f>
        <v>#DIV/0!:divZero</v>
      </c>
      <c t="str" s="28" r="AJ12">
        <f>J12/$X12</f>
        <v>#DIV/0!:divZero</v>
      </c>
      <c t="str" s="28" r="AK12">
        <f>K12/$X12</f>
        <v>#DIV/0!:divZero</v>
      </c>
      <c s="30" r="AL12">
        <v>1</v>
      </c>
    </row>
    <row r="13">
      <c s="30" r="A13">
        <v>12</v>
      </c>
      <c t="s" s="30" r="B13">
        <v>38</v>
      </c>
      <c s="62" r="C13">
        <v>41559</v>
      </c>
      <c s="52" r="D13">
        <v>41559.96875</v>
      </c>
      <c s="55" r="E13">
        <v>200</v>
      </c>
      <c s="55" r="F13"/>
      <c t="s" s="55" r="G13">
        <v>39</v>
      </c>
      <c t="s" s="55" r="H13">
        <v>39</v>
      </c>
      <c t="s" s="55" r="I13">
        <v>39</v>
      </c>
      <c t="s" s="55" r="J13">
        <v>39</v>
      </c>
      <c t="s" s="55" r="K13">
        <v>39</v>
      </c>
      <c s="80" r="L13">
        <v>44.86</v>
      </c>
      <c s="79" r="M13">
        <v>0</v>
      </c>
      <c s="79" r="N13">
        <f>SUMIF(Sellables!$A$2:$A$11482, A13, Sellables!$E$2:$E$11482)</f>
        <v>241.49</v>
      </c>
      <c s="79" r="O13">
        <v>0</v>
      </c>
      <c s="32" r="P13">
        <f>SUMIF(Skills!$A$2:$A$9999, A13, Skills!$F$2:$F$9999)</f>
        <v>0</v>
      </c>
      <c s="20" r="Q13">
        <f>SUMIF(Sellables!A9:A11493, A13,Sellables!G9:G11493)+P13</f>
        <v>241.49</v>
      </c>
      <c s="17" r="R13">
        <f>E13+L13</f>
        <v>244.86</v>
      </c>
      <c s="63" r="S13">
        <f>Q13-R13</f>
        <v>-3.37</v>
      </c>
      <c s="39" r="T13">
        <f> (Q13/R13) - 1</f>
        <v>-0.013762966593155</v>
      </c>
      <c s="70" r="U13"/>
      <c s="70" r="V13"/>
      <c t="s" s="30" r="W13">
        <v>66</v>
      </c>
      <c s="30" r="X13">
        <v>0</v>
      </c>
      <c t="s" s="30" r="Y13">
        <v>67</v>
      </c>
      <c t="s" s="30" r="Z13">
        <v>65</v>
      </c>
      <c s="30" r="AA13">
        <v>0</v>
      </c>
      <c s="30" r="AB13">
        <v>0</v>
      </c>
      <c s="30" r="AC13">
        <v>1</v>
      </c>
      <c s="30" r="AD13">
        <v>0</v>
      </c>
      <c s="30" r="AE13"/>
      <c t="str" s="8" r="AF13">
        <f>(I13+J13)/R13</f>
        <v>#VALUE!:notNumber:NA</v>
      </c>
      <c t="str" s="28" r="AG13">
        <f>G13/$X13</f>
        <v>#DIV/0!:divZero</v>
      </c>
      <c t="str" s="28" r="AH13">
        <f>H13/$X13</f>
        <v>#DIV/0!:divZero</v>
      </c>
      <c t="str" s="28" r="AI13">
        <f>I13/$X13</f>
        <v>#DIV/0!:divZero</v>
      </c>
      <c t="str" s="28" r="AJ13">
        <f>J13/$X13</f>
        <v>#DIV/0!:divZero</v>
      </c>
      <c t="str" s="28" r="AK13">
        <f>K13/$X13</f>
        <v>#DIV/0!:divZero</v>
      </c>
      <c s="30" r="AL13">
        <v>1</v>
      </c>
    </row>
    <row r="14">
      <c s="30" r="A14">
        <v>13</v>
      </c>
      <c t="s" s="30" r="B14">
        <v>55</v>
      </c>
      <c s="62" r="C14">
        <v>41560</v>
      </c>
      <c s="52" r="D14">
        <v>41560.0125</v>
      </c>
      <c s="55" r="E14">
        <f>1.15*9</f>
        <v>10.35</v>
      </c>
      <c s="55" r="F14"/>
      <c t="s" s="55" r="G14">
        <v>39</v>
      </c>
      <c t="s" s="55" r="H14">
        <v>39</v>
      </c>
      <c t="s" s="55" r="I14">
        <v>39</v>
      </c>
      <c t="s" s="55" r="J14">
        <v>39</v>
      </c>
      <c t="s" s="55" r="K14">
        <v>39</v>
      </c>
      <c s="80" r="L14">
        <v>0</v>
      </c>
      <c s="79" r="M14">
        <v>0</v>
      </c>
      <c s="79" r="N14">
        <v>21.49</v>
      </c>
      <c s="79" r="O14">
        <v>0</v>
      </c>
      <c s="32" r="P14">
        <f>SUMIF(Skills!$A$2:$A$9999, A14, Skills!$F$2:$F$9999)</f>
        <v>0</v>
      </c>
      <c s="20" r="Q14">
        <v>21.49</v>
      </c>
      <c s="17" r="R14">
        <f>E14+L14</f>
        <v>10.35</v>
      </c>
      <c s="63" r="S14">
        <f>Q14-R14</f>
        <v>11.14</v>
      </c>
      <c s="39" r="T14">
        <f> (Q14/R14) - 1</f>
        <v>1.07632850241546</v>
      </c>
      <c s="70" r="U14"/>
      <c s="70" r="V14"/>
      <c t="s" s="30" r="W14">
        <v>68</v>
      </c>
      <c s="30" r="X14">
        <v>0</v>
      </c>
      <c t="s" s="30" r="Y14">
        <v>67</v>
      </c>
      <c t="s" s="30" r="Z14">
        <v>65</v>
      </c>
      <c s="30" r="AA14">
        <v>0</v>
      </c>
      <c s="30" r="AB14">
        <v>0</v>
      </c>
      <c s="30" r="AC14">
        <v>0</v>
      </c>
      <c s="30" r="AD14">
        <v>0</v>
      </c>
      <c s="30" r="AE14"/>
      <c t="str" s="8" r="AF14">
        <f>(I14+J14)/R14</f>
        <v>#VALUE!:notNumber:NA</v>
      </c>
      <c t="str" s="28" r="AG14">
        <f>G14/$X14</f>
        <v>#DIV/0!:divZero</v>
      </c>
      <c t="str" s="28" r="AH14">
        <f>H14/$X14</f>
        <v>#DIV/0!:divZero</v>
      </c>
      <c t="str" s="28" r="AI14">
        <f>I14/$X14</f>
        <v>#DIV/0!:divZero</v>
      </c>
      <c t="str" s="28" r="AJ14">
        <f>J14/$X14</f>
        <v>#DIV/0!:divZero</v>
      </c>
      <c t="str" s="28" r="AK14">
        <f>K14/$X14</f>
        <v>#DIV/0!:divZero</v>
      </c>
      <c s="30" r="AL14">
        <v>1</v>
      </c>
    </row>
    <row r="15">
      <c s="30" r="A15">
        <v>14</v>
      </c>
      <c t="s" s="30" r="B15">
        <v>38</v>
      </c>
      <c s="62" r="C15">
        <v>41560</v>
      </c>
      <c s="52" r="D15">
        <v>41560.4791666667</v>
      </c>
      <c s="55" r="E15">
        <v>200</v>
      </c>
      <c s="55" r="F15"/>
      <c t="s" s="55" r="G15">
        <v>39</v>
      </c>
      <c t="s" s="55" r="H15">
        <v>39</v>
      </c>
      <c t="s" s="55" r="I15">
        <v>39</v>
      </c>
      <c t="s" s="55" r="J15">
        <v>39</v>
      </c>
      <c t="s" s="55" r="K15">
        <v>39</v>
      </c>
      <c s="80" r="L15">
        <v>17.14</v>
      </c>
      <c s="79" r="M15">
        <v>0</v>
      </c>
      <c s="79" r="N15">
        <f>SUMIF(Sellables!$A$2:$A$11482, A15, Sellables!$E$2:$E$11482)</f>
        <v>276.18</v>
      </c>
      <c s="79" r="O15">
        <v>0</v>
      </c>
      <c s="32" r="P15">
        <f>SUMIF(Skills!$A$2:$A$9999, A15, Skills!$F$2:$F$9999)</f>
        <v>9.0142</v>
      </c>
      <c s="20" r="Q15">
        <f>SUMIF(Sellables!A11:A11495, A15,Sellables!G11:G11495)+P15</f>
        <v>285.1942</v>
      </c>
      <c s="17" r="R15">
        <f>E15+L15</f>
        <v>217.14</v>
      </c>
      <c s="63" r="S15">
        <f>Q15-R15</f>
        <v>68.0542</v>
      </c>
      <c s="39" r="T15">
        <f> (Q15/R15) - 1</f>
        <v>0.313411623837156</v>
      </c>
      <c s="70" r="U15"/>
      <c s="70" r="V15"/>
      <c t="s" s="30" r="W15">
        <v>66</v>
      </c>
      <c s="30" r="X15">
        <v>0</v>
      </c>
      <c t="s" s="30" r="Y15">
        <v>67</v>
      </c>
      <c t="s" s="30" r="Z15">
        <v>65</v>
      </c>
      <c s="30" r="AA15">
        <v>0</v>
      </c>
      <c s="30" r="AB15">
        <v>0</v>
      </c>
      <c s="30" r="AC15">
        <v>1</v>
      </c>
      <c s="30" r="AD15">
        <v>0</v>
      </c>
      <c s="30" r="AE15"/>
      <c t="str" s="8" r="AF15">
        <f>(I15+J15)/R15</f>
        <v>#VALUE!:notNumber:NA</v>
      </c>
      <c t="str" s="28" r="AG15">
        <f>G15/$X15</f>
        <v>#DIV/0!:divZero</v>
      </c>
      <c t="str" s="28" r="AH15">
        <f>H15/$X15</f>
        <v>#DIV/0!:divZero</v>
      </c>
      <c t="str" s="28" r="AI15">
        <f>I15/$X15</f>
        <v>#DIV/0!:divZero</v>
      </c>
      <c t="str" s="28" r="AJ15">
        <f>J15/$X15</f>
        <v>#DIV/0!:divZero</v>
      </c>
      <c t="str" s="28" r="AK15">
        <f>K15/$X15</f>
        <v>#DIV/0!:divZero</v>
      </c>
      <c s="30" r="AL15">
        <v>1</v>
      </c>
    </row>
    <row r="16">
      <c s="30" r="A16">
        <v>15</v>
      </c>
      <c t="s" s="30" r="B16">
        <v>38</v>
      </c>
      <c s="62" r="C16">
        <v>41560</v>
      </c>
      <c s="52" r="D16">
        <v>41560.5</v>
      </c>
      <c s="55" r="E16">
        <v>150</v>
      </c>
      <c s="55" r="F16"/>
      <c t="s" s="55" r="G16">
        <v>39</v>
      </c>
      <c t="s" s="55" r="H16">
        <v>39</v>
      </c>
      <c t="s" s="55" r="I16">
        <v>39</v>
      </c>
      <c t="s" s="55" r="J16">
        <v>39</v>
      </c>
      <c t="s" s="55" r="K16">
        <v>39</v>
      </c>
      <c s="80" r="L16">
        <v>45.38</v>
      </c>
      <c s="79" r="M16">
        <v>0</v>
      </c>
      <c s="79" r="N16">
        <f>SUMIF(Sellables!$A$2:$A$11482, A16, Sellables!$E$2:$E$11482)</f>
        <v>160.34</v>
      </c>
      <c s="79" r="O16">
        <v>0</v>
      </c>
      <c s="32" r="P16">
        <f>SUMIF(Skills!$A$2:$A$9999, A16, Skills!$F$2:$F$9999)</f>
        <v>0</v>
      </c>
      <c s="20" r="Q16">
        <f>SUMIF(Sellables!A12:A11496, A16,Sellables!G12:G11496)+P16</f>
        <v>160.34</v>
      </c>
      <c s="17" r="R16">
        <f>E16+L16</f>
        <v>195.38</v>
      </c>
      <c s="63" r="S16">
        <f>Q16-R16</f>
        <v>-35.04</v>
      </c>
      <c s="39" r="T16">
        <f> (Q16/R16) - 1</f>
        <v>-0.179342819121711</v>
      </c>
      <c s="70" r="U16"/>
      <c s="70" r="V16"/>
      <c t="s" s="30" r="W16">
        <v>69</v>
      </c>
      <c s="30" r="X16">
        <v>0</v>
      </c>
      <c t="s" s="30" r="Y16">
        <v>70</v>
      </c>
      <c t="s" s="30" r="Z16">
        <v>65</v>
      </c>
      <c s="30" r="AA16">
        <v>0</v>
      </c>
      <c s="30" r="AB16">
        <v>0</v>
      </c>
      <c s="30" r="AC16">
        <v>0</v>
      </c>
      <c s="30" r="AD16">
        <v>0</v>
      </c>
      <c s="30" r="AE16"/>
      <c t="str" s="8" r="AF16">
        <f>(I16+J16)/R16</f>
        <v>#VALUE!:notNumber:NA</v>
      </c>
      <c t="str" s="28" r="AG16">
        <f>G16/$X16</f>
        <v>#DIV/0!:divZero</v>
      </c>
      <c t="str" s="28" r="AH16">
        <f>H16/$X16</f>
        <v>#DIV/0!:divZero</v>
      </c>
      <c t="str" s="28" r="AI16">
        <f>I16/$X16</f>
        <v>#DIV/0!:divZero</v>
      </c>
      <c t="str" s="28" r="AJ16">
        <f>J16/$X16</f>
        <v>#DIV/0!:divZero</v>
      </c>
      <c t="str" s="28" r="AK16">
        <f>K16/$X16</f>
        <v>#DIV/0!:divZero</v>
      </c>
      <c s="30" r="AL16">
        <v>1</v>
      </c>
    </row>
    <row r="17">
      <c s="30" r="A17">
        <v>16</v>
      </c>
      <c t="s" s="30" r="B17">
        <v>55</v>
      </c>
      <c s="62" r="C17">
        <v>41560</v>
      </c>
      <c s="52" r="D17">
        <v>41560.5722222222</v>
      </c>
      <c s="55" r="E17">
        <f>1.15*44</f>
        <v>50.6</v>
      </c>
      <c s="55" r="F17"/>
      <c t="s" s="55" r="G17">
        <v>39</v>
      </c>
      <c t="s" s="55" r="H17">
        <v>39</v>
      </c>
      <c t="s" s="55" r="I17">
        <v>39</v>
      </c>
      <c t="s" s="55" r="J17">
        <v>39</v>
      </c>
      <c t="s" s="55" r="K17">
        <v>39</v>
      </c>
      <c s="80" r="L17">
        <v>0</v>
      </c>
      <c s="79" r="M17">
        <v>0</v>
      </c>
      <c s="79" r="N17">
        <v>70.98</v>
      </c>
      <c s="79" r="O17">
        <v>0</v>
      </c>
      <c s="32" r="P17">
        <f>SUMIF(Skills!$A$2:$A$9999, A17, Skills!$F$2:$F$9999)</f>
        <v>0</v>
      </c>
      <c s="20" r="Q17">
        <v>70.98</v>
      </c>
      <c s="17" r="R17">
        <f>E17+L17</f>
        <v>50.6</v>
      </c>
      <c s="63" r="S17">
        <f>Q17-R17</f>
        <v>20.38</v>
      </c>
      <c s="39" r="T17">
        <f> (Q17/R17) - 1</f>
        <v>0.402766798418973</v>
      </c>
      <c s="70" r="U17"/>
      <c s="70" r="V17"/>
      <c t="s" s="30" r="W17">
        <v>68</v>
      </c>
      <c s="30" r="X17">
        <v>0</v>
      </c>
      <c t="s" s="30" r="Y17">
        <v>71</v>
      </c>
      <c t="s" s="30" r="Z17">
        <v>65</v>
      </c>
      <c s="30" r="AA17">
        <v>0</v>
      </c>
      <c s="30" r="AB17">
        <v>0</v>
      </c>
      <c s="30" r="AC17">
        <v>0</v>
      </c>
      <c s="30" r="AD17">
        <v>0</v>
      </c>
      <c s="30" r="AE17"/>
      <c t="str" s="8" r="AF17">
        <f>(I17+J17)/R17</f>
        <v>#VALUE!:notNumber:NA</v>
      </c>
      <c t="str" s="28" r="AG17">
        <f>G17/$X17</f>
        <v>#DIV/0!:divZero</v>
      </c>
      <c t="str" s="28" r="AH17">
        <f>H17/$X17</f>
        <v>#DIV/0!:divZero</v>
      </c>
      <c t="str" s="28" r="AI17">
        <f>I17/$X17</f>
        <v>#DIV/0!:divZero</v>
      </c>
      <c t="str" s="28" r="AJ17">
        <f>J17/$X17</f>
        <v>#DIV/0!:divZero</v>
      </c>
      <c t="str" s="28" r="AK17">
        <f>K17/$X17</f>
        <v>#DIV/0!:divZero</v>
      </c>
      <c s="30" r="AL17">
        <v>1</v>
      </c>
    </row>
    <row r="18">
      <c s="30" r="A18">
        <v>17</v>
      </c>
      <c t="s" s="30" r="B18">
        <v>38</v>
      </c>
      <c s="62" r="C18">
        <v>41560</v>
      </c>
      <c s="52" r="D18">
        <v>41560.5833333333</v>
      </c>
      <c s="55" r="E18">
        <v>200</v>
      </c>
      <c s="55" r="F18"/>
      <c t="s" s="55" r="G18">
        <v>39</v>
      </c>
      <c t="s" s="55" r="H18">
        <v>39</v>
      </c>
      <c t="s" s="55" r="I18">
        <v>39</v>
      </c>
      <c t="s" s="55" r="J18">
        <v>39</v>
      </c>
      <c t="s" s="55" r="K18">
        <v>39</v>
      </c>
      <c s="80" r="L18">
        <v>19.58</v>
      </c>
      <c s="79" r="M18">
        <v>0</v>
      </c>
      <c s="79" r="N18">
        <f>SUMIF(Sellables!$A$2:$A$11482, A18, Sellables!$E$2:$E$11482)</f>
        <v>227.6</v>
      </c>
      <c s="79" r="O18">
        <v>0</v>
      </c>
      <c s="32" r="P18">
        <f>SUMIF(Skills!$A$2:$A$9999, A18, Skills!$F$2:$F$9999)</f>
        <v>7.497576</v>
      </c>
      <c s="20" r="Q18">
        <f>SUMIF(Sellables!A14:A11498, A18,Sellables!G14:G11498)+P18</f>
        <v>235.097576</v>
      </c>
      <c s="17" r="R18">
        <f>E18+L18</f>
        <v>219.58</v>
      </c>
      <c s="63" r="S18">
        <f>Q18-R18</f>
        <v>15.517576</v>
      </c>
      <c s="39" r="T18">
        <f> (Q18/R18) - 1</f>
        <v>0.070669350578377</v>
      </c>
      <c s="70" r="U18"/>
      <c s="70" r="V18"/>
      <c t="s" s="30" r="W18">
        <v>72</v>
      </c>
      <c s="30" r="X18">
        <v>0</v>
      </c>
      <c t="s" s="30" r="Y18">
        <v>73</v>
      </c>
      <c t="s" s="30" r="Z18">
        <v>65</v>
      </c>
      <c s="30" r="AA18">
        <v>0</v>
      </c>
      <c s="30" r="AB18">
        <v>1</v>
      </c>
      <c s="30" r="AC18">
        <v>0</v>
      </c>
      <c s="30" r="AD18">
        <v>0</v>
      </c>
      <c s="30" r="AE18"/>
      <c t="str" s="8" r="AF18">
        <f>(I18+J18)/R18</f>
        <v>#VALUE!:notNumber:NA</v>
      </c>
      <c t="str" s="28" r="AG18">
        <f>G18/$X18</f>
        <v>#DIV/0!:divZero</v>
      </c>
      <c t="str" s="28" r="AH18">
        <f>H18/$X18</f>
        <v>#DIV/0!:divZero</v>
      </c>
      <c t="str" s="28" r="AI18">
        <f>I18/$X18</f>
        <v>#DIV/0!:divZero</v>
      </c>
      <c t="str" s="28" r="AJ18">
        <f>J18/$X18</f>
        <v>#DIV/0!:divZero</v>
      </c>
      <c t="str" s="28" r="AK18">
        <f>K18/$X18</f>
        <v>#DIV/0!:divZero</v>
      </c>
      <c s="30" r="AL18">
        <v>1</v>
      </c>
    </row>
    <row r="19">
      <c s="30" r="A19">
        <v>18</v>
      </c>
      <c t="s" s="30" r="B19">
        <v>38</v>
      </c>
      <c s="62" r="C19">
        <v>41560</v>
      </c>
      <c s="52" r="D19">
        <v>41560.5993055556</v>
      </c>
      <c s="55" r="E19">
        <v>200</v>
      </c>
      <c s="55" r="F19"/>
      <c t="s" s="55" r="G19">
        <v>39</v>
      </c>
      <c t="s" s="55" r="H19">
        <v>39</v>
      </c>
      <c t="s" s="55" r="I19">
        <v>39</v>
      </c>
      <c t="s" s="55" r="J19">
        <v>39</v>
      </c>
      <c t="s" s="55" r="K19">
        <v>39</v>
      </c>
      <c s="80" r="L19">
        <v>44.35</v>
      </c>
      <c s="79" r="M19">
        <v>0</v>
      </c>
      <c s="79" r="N19">
        <f>SUMIF(Sellables!$A$2:$A$11482, A19, Sellables!$E$2:$E$11482)</f>
        <v>307.56</v>
      </c>
      <c s="79" r="O19">
        <v>0</v>
      </c>
      <c s="32" r="P19">
        <f>SUMIF(Skills!$A$2:$A$9999, A19, Skills!$F$2:$F$9999)</f>
        <v>6.216</v>
      </c>
      <c s="20" r="Q19">
        <f>SUMIF(Sellables!A15:A11499, A19,Sellables!G15:G11499)+P19</f>
        <v>313.776</v>
      </c>
      <c s="17" r="R19">
        <f>E19+L19</f>
        <v>244.35</v>
      </c>
      <c s="63" r="S19">
        <f>Q19-R19</f>
        <v>69.426</v>
      </c>
      <c s="39" r="T19">
        <f> (Q19/R19) - 1</f>
        <v>0.284125230202578</v>
      </c>
      <c s="70" r="U19"/>
      <c s="70" r="V19"/>
      <c t="s" s="30" r="W19">
        <v>74</v>
      </c>
      <c s="30" r="X19">
        <v>0</v>
      </c>
      <c t="s" s="30" r="Y19">
        <v>75</v>
      </c>
      <c t="s" s="30" r="Z19">
        <v>65</v>
      </c>
      <c s="30" r="AA19">
        <v>0</v>
      </c>
      <c s="30" r="AB19">
        <v>2</v>
      </c>
      <c s="30" r="AC19">
        <v>1</v>
      </c>
      <c s="30" r="AD19">
        <v>0</v>
      </c>
      <c s="30" r="AE19"/>
      <c t="str" s="8" r="AF19">
        <f>(I19+J19)/R19</f>
        <v>#VALUE!:notNumber:NA</v>
      </c>
      <c t="str" s="28" r="AG19">
        <f>G19/$X19</f>
        <v>#DIV/0!:divZero</v>
      </c>
      <c t="str" s="28" r="AH19">
        <f>H19/$X19</f>
        <v>#DIV/0!:divZero</v>
      </c>
      <c t="str" s="28" r="AI19">
        <f>I19/$X19</f>
        <v>#DIV/0!:divZero</v>
      </c>
      <c t="str" s="28" r="AJ19">
        <f>J19/$X19</f>
        <v>#DIV/0!:divZero</v>
      </c>
      <c t="str" s="28" r="AK19">
        <f>K19/$X19</f>
        <v>#DIV/0!:divZero</v>
      </c>
      <c s="30" r="AL19">
        <v>1</v>
      </c>
    </row>
    <row r="20">
      <c s="30" r="A20">
        <v>19</v>
      </c>
      <c t="s" s="30" r="B20">
        <v>38</v>
      </c>
      <c s="62" r="C20">
        <v>41560</v>
      </c>
      <c s="52" r="D20">
        <v>41560.6979166667</v>
      </c>
      <c s="55" r="E20">
        <v>200</v>
      </c>
      <c s="55" r="F20"/>
      <c t="s" s="55" r="G20">
        <v>39</v>
      </c>
      <c t="s" s="55" r="H20">
        <v>39</v>
      </c>
      <c t="s" s="55" r="I20">
        <v>39</v>
      </c>
      <c t="s" s="55" r="J20">
        <v>39</v>
      </c>
      <c t="s" s="55" r="K20">
        <v>39</v>
      </c>
      <c s="80" r="L20">
        <v>0</v>
      </c>
      <c s="79" r="M20">
        <v>0</v>
      </c>
      <c s="79" r="N20">
        <f>SUMIF(Sellables!$A$2:$A$11482, A20, Sellables!$E$2:$E$11482)</f>
        <v>210.27</v>
      </c>
      <c s="79" r="O20">
        <v>0</v>
      </c>
      <c s="32" r="P20">
        <f>SUMIF(Skills!$A$2:$A$9999, A20, Skills!$F$2:$F$9999)</f>
        <v>0</v>
      </c>
      <c s="20" r="Q20">
        <f>SUMIF(Sellables!A16:A11500, A20,Sellables!G16:G11500)+P20</f>
        <v>233.74</v>
      </c>
      <c s="17" r="R20">
        <f>E20+L20</f>
        <v>200</v>
      </c>
      <c s="63" r="S20">
        <f>Q20-R20</f>
        <v>33.74</v>
      </c>
      <c s="39" r="T20">
        <f> (Q20/R20) - 1</f>
        <v>0.1687</v>
      </c>
      <c s="70" r="U20"/>
      <c s="70" r="V20"/>
      <c t="s" s="30" r="W20">
        <v>76</v>
      </c>
      <c s="30" r="X20">
        <v>0</v>
      </c>
      <c t="s" s="30" r="Y20">
        <v>77</v>
      </c>
      <c t="s" s="30" r="Z20">
        <v>78</v>
      </c>
      <c s="30" r="AA20">
        <v>0</v>
      </c>
      <c s="30" r="AB20">
        <v>0</v>
      </c>
      <c s="30" r="AC20">
        <v>0</v>
      </c>
      <c s="30" r="AD20">
        <v>0</v>
      </c>
      <c s="30" r="AE20"/>
      <c t="str" s="8" r="AF20">
        <f>(I20+J20)/R20</f>
        <v>#VALUE!:notNumber:NA</v>
      </c>
      <c t="str" s="28" r="AG20">
        <f>G20/$X20</f>
        <v>#DIV/0!:divZero</v>
      </c>
      <c t="str" s="28" r="AH20">
        <f>H20/$X20</f>
        <v>#DIV/0!:divZero</v>
      </c>
      <c t="str" s="28" r="AI20">
        <f>I20/$X20</f>
        <v>#DIV/0!:divZero</v>
      </c>
      <c t="str" s="28" r="AJ20">
        <f>J20/$X20</f>
        <v>#DIV/0!:divZero</v>
      </c>
      <c t="str" s="28" r="AK20">
        <f>K20/$X20</f>
        <v>#DIV/0!:divZero</v>
      </c>
      <c s="30" r="AL20">
        <v>1</v>
      </c>
    </row>
    <row r="21">
      <c s="30" r="A21">
        <v>20</v>
      </c>
      <c t="s" s="30" r="B21">
        <v>38</v>
      </c>
      <c s="62" r="C21">
        <v>41560</v>
      </c>
      <c s="52" r="D21">
        <v>41560.8118055556</v>
      </c>
      <c s="55" r="E21">
        <v>200</v>
      </c>
      <c s="55" r="F21"/>
      <c t="s" s="55" r="G21">
        <v>39</v>
      </c>
      <c t="s" s="55" r="H21">
        <v>39</v>
      </c>
      <c t="s" s="55" r="I21">
        <v>39</v>
      </c>
      <c t="s" s="55" r="J21">
        <v>39</v>
      </c>
      <c t="s" s="55" r="K21">
        <v>39</v>
      </c>
      <c s="80" r="L21">
        <v>15.63</v>
      </c>
      <c s="79" r="M21">
        <v>0</v>
      </c>
      <c s="79" r="N21">
        <f>SUMIF(Sellables!$A$2:$A$11482, A21, Sellables!$E$2:$E$11482)</f>
        <v>298.18</v>
      </c>
      <c s="79" r="O21">
        <v>0</v>
      </c>
      <c s="32" r="P21">
        <f>SUMIF(Skills!$A$2:$A$9999, A21, Skills!$F$2:$F$9999)</f>
        <v>0</v>
      </c>
      <c s="20" r="Q21">
        <f>SUMIF(Sellables!A17:A11501, A21,Sellables!G17:G11501)+P21</f>
        <v>298.18</v>
      </c>
      <c s="17" r="R21">
        <f>E21+L21</f>
        <v>215.63</v>
      </c>
      <c s="63" r="S21">
        <f>Q21-R21</f>
        <v>82.55</v>
      </c>
      <c s="39" r="T21">
        <f> (Q21/R21) - 1</f>
        <v>0.382831702453277</v>
      </c>
      <c s="70" r="U21"/>
      <c s="70" r="V21"/>
      <c t="s" s="30" r="W21">
        <v>79</v>
      </c>
      <c s="30" r="X21">
        <v>0</v>
      </c>
      <c t="s" s="30" r="Y21">
        <v>80</v>
      </c>
      <c t="s" s="30" r="Z21">
        <v>65</v>
      </c>
      <c s="30" r="AA21">
        <v>0</v>
      </c>
      <c s="30" r="AB21">
        <v>0</v>
      </c>
      <c s="30" r="AC21">
        <v>1</v>
      </c>
      <c s="30" r="AD21">
        <v>0</v>
      </c>
      <c s="30" r="AE21"/>
      <c t="str" s="8" r="AF21">
        <f>(I21+J21)/R21</f>
        <v>#VALUE!:notNumber:NA</v>
      </c>
      <c t="str" s="28" r="AG21">
        <f>G21/$X21</f>
        <v>#DIV/0!:divZero</v>
      </c>
      <c t="str" s="28" r="AH21">
        <f>H21/$X21</f>
        <v>#DIV/0!:divZero</v>
      </c>
      <c t="str" s="28" r="AI21">
        <f>I21/$X21</f>
        <v>#DIV/0!:divZero</v>
      </c>
      <c t="str" s="28" r="AJ21">
        <f>J21/$X21</f>
        <v>#DIV/0!:divZero</v>
      </c>
      <c t="str" s="28" r="AK21">
        <f>K21/$X21</f>
        <v>#DIV/0!:divZero</v>
      </c>
      <c s="30" r="AL21">
        <v>1</v>
      </c>
    </row>
    <row r="22">
      <c s="30" r="A22">
        <v>21</v>
      </c>
      <c t="s" s="30" r="B22">
        <v>38</v>
      </c>
      <c s="62" r="C22">
        <v>41560</v>
      </c>
      <c s="52" r="D22">
        <v>41560.8333333333</v>
      </c>
      <c s="55" r="E22">
        <v>200</v>
      </c>
      <c s="55" r="F22"/>
      <c t="s" s="55" r="G22">
        <v>39</v>
      </c>
      <c t="s" s="55" r="H22">
        <v>39</v>
      </c>
      <c t="s" s="55" r="I22">
        <v>39</v>
      </c>
      <c t="s" s="55" r="J22">
        <v>39</v>
      </c>
      <c t="s" s="55" r="K22">
        <v>39</v>
      </c>
      <c s="80" r="L22">
        <v>10.6</v>
      </c>
      <c s="79" r="M22">
        <v>0</v>
      </c>
      <c s="79" r="N22">
        <f>SUMIF(Sellables!$A$2:$A$11482, A22, Sellables!$E$2:$E$11482)</f>
        <v>344.38</v>
      </c>
      <c s="79" r="O22">
        <v>0</v>
      </c>
      <c s="32" r="P22">
        <f>SUMIF(Skills!$A$2:$A$9999, A22, Skills!$F$2:$F$9999)</f>
        <v>0</v>
      </c>
      <c s="20" r="Q22">
        <f>SUMIF(Sellables!A18:A11502, A22,Sellables!G18:G11502)+P22</f>
        <v>352.38</v>
      </c>
      <c s="17" r="R22">
        <f>E22+L22</f>
        <v>210.6</v>
      </c>
      <c s="63" r="S22">
        <f>Q22-R22</f>
        <v>141.78</v>
      </c>
      <c s="39" r="T22">
        <f> (Q22/R22) - 1</f>
        <v>0.673219373219373</v>
      </c>
      <c s="70" r="U22"/>
      <c s="70" r="V22"/>
      <c t="s" s="30" r="W22">
        <v>81</v>
      </c>
      <c s="30" r="X22">
        <v>0</v>
      </c>
      <c t="s" s="30" r="Y22">
        <v>82</v>
      </c>
      <c t="s" s="30" r="Z22">
        <v>65</v>
      </c>
      <c s="30" r="AA22">
        <v>0</v>
      </c>
      <c s="30" r="AB22">
        <v>0</v>
      </c>
      <c s="30" r="AC22">
        <v>1</v>
      </c>
      <c s="30" r="AD22">
        <v>0</v>
      </c>
      <c s="30" r="AE22"/>
      <c t="str" s="8" r="AF22">
        <f>(I22+J22)/R22</f>
        <v>#VALUE!:notNumber:NA</v>
      </c>
      <c t="str" s="28" r="AG22">
        <f>G22/$X22</f>
        <v>#DIV/0!:divZero</v>
      </c>
      <c t="str" s="28" r="AH22">
        <f>H22/$X22</f>
        <v>#DIV/0!:divZero</v>
      </c>
      <c t="str" s="28" r="AI22">
        <f>I22/$X22</f>
        <v>#DIV/0!:divZero</v>
      </c>
      <c t="str" s="28" r="AJ22">
        <f>J22/$X22</f>
        <v>#DIV/0!:divZero</v>
      </c>
      <c t="str" s="28" r="AK22">
        <f>K22/$X22</f>
        <v>#DIV/0!:divZero</v>
      </c>
      <c s="30" r="AL22">
        <v>1</v>
      </c>
    </row>
    <row r="23">
      <c s="30" r="A23">
        <v>22</v>
      </c>
      <c t="s" s="30" r="B23">
        <v>38</v>
      </c>
      <c s="62" r="C23">
        <v>41560</v>
      </c>
      <c s="52" r="D23">
        <v>41560.8583333333</v>
      </c>
      <c s="55" r="E23">
        <v>200</v>
      </c>
      <c s="55" r="F23"/>
      <c t="s" s="55" r="G23">
        <v>39</v>
      </c>
      <c t="s" s="55" r="H23">
        <v>39</v>
      </c>
      <c t="s" s="55" r="I23">
        <v>39</v>
      </c>
      <c t="s" s="55" r="J23">
        <v>39</v>
      </c>
      <c t="s" s="55" r="K23">
        <v>39</v>
      </c>
      <c s="80" r="L23">
        <v>22.54</v>
      </c>
      <c s="79" r="M23">
        <v>0</v>
      </c>
      <c s="79" r="N23">
        <f>SUMIF(Sellables!$A$2:$A$11482, A23, Sellables!$E$2:$E$11482)</f>
        <v>222.9</v>
      </c>
      <c s="79" r="O23">
        <v>0</v>
      </c>
      <c s="32" r="P23">
        <f>SUMIF(Skills!$A$2:$A$9999, A23, Skills!$F$2:$F$9999)</f>
        <v>0</v>
      </c>
      <c s="20" r="Q23">
        <f>SUMIF(Sellables!A19:A11503, A23,Sellables!G19:G11503)+P23</f>
        <v>222.9</v>
      </c>
      <c s="17" r="R23">
        <f>E23+L23</f>
        <v>222.54</v>
      </c>
      <c s="63" r="S23">
        <f>Q23-R23</f>
        <v>0.359999999999985</v>
      </c>
      <c s="39" r="T23">
        <f> (Q23/R23) - 1</f>
        <v>0.001617686708008</v>
      </c>
      <c s="70" r="U23"/>
      <c s="70" r="V23"/>
      <c t="s" s="30" r="W23">
        <v>83</v>
      </c>
      <c s="30" r="X23">
        <v>0</v>
      </c>
      <c t="s" s="30" r="Y23">
        <v>84</v>
      </c>
      <c t="s" s="30" r="Z23">
        <v>65</v>
      </c>
      <c s="30" r="AA23">
        <v>0</v>
      </c>
      <c s="30" r="AB23">
        <v>1</v>
      </c>
      <c s="30" r="AC23">
        <v>1</v>
      </c>
      <c s="30" r="AD23">
        <v>0</v>
      </c>
      <c s="30" r="AE23"/>
      <c t="str" s="8" r="AF23">
        <f>(I23+J23)/R23</f>
        <v>#VALUE!:notNumber:NA</v>
      </c>
      <c t="str" s="28" r="AG23">
        <f>G23/$X23</f>
        <v>#DIV/0!:divZero</v>
      </c>
      <c t="str" s="28" r="AH23">
        <f>H23/$X23</f>
        <v>#DIV/0!:divZero</v>
      </c>
      <c t="str" s="28" r="AI23">
        <f>I23/$X23</f>
        <v>#DIV/0!:divZero</v>
      </c>
      <c t="str" s="28" r="AJ23">
        <f>J23/$X23</f>
        <v>#DIV/0!:divZero</v>
      </c>
      <c t="str" s="28" r="AK23">
        <f>K23/$X23</f>
        <v>#DIV/0!:divZero</v>
      </c>
      <c s="30" r="AL23">
        <v>1</v>
      </c>
    </row>
    <row r="24">
      <c s="30" r="A24">
        <v>23</v>
      </c>
      <c t="s" s="30" r="B24">
        <v>38</v>
      </c>
      <c s="62" r="C24">
        <v>41560</v>
      </c>
      <c s="52" r="D24">
        <v>41560.9263888889</v>
      </c>
      <c s="55" r="E24">
        <v>200</v>
      </c>
      <c s="55" r="F24"/>
      <c t="s" s="55" r="G24">
        <v>39</v>
      </c>
      <c t="s" s="55" r="H24">
        <v>39</v>
      </c>
      <c t="s" s="55" r="I24">
        <v>39</v>
      </c>
      <c t="s" s="55" r="J24">
        <v>39</v>
      </c>
      <c t="s" s="55" r="K24">
        <v>39</v>
      </c>
      <c s="80" r="L24">
        <v>35.27</v>
      </c>
      <c s="79" r="M24">
        <v>0</v>
      </c>
      <c s="79" r="N24">
        <f>SUMIF(Sellables!$A$2:$A$11482, A24, Sellables!$E$2:$E$11482)</f>
        <v>292.07</v>
      </c>
      <c s="79" r="O24">
        <v>0</v>
      </c>
      <c s="32" r="P24">
        <f>SUMIF(Skills!$A$2:$A$9999, A24, Skills!$F$2:$F$9999)</f>
        <v>10.09765</v>
      </c>
      <c s="20" r="Q24">
        <f>SUMIF(Sellables!A20:A11504, A24,Sellables!G20:G11504)+P24</f>
        <v>302.16765</v>
      </c>
      <c s="17" r="R24">
        <f>E24+L24</f>
        <v>235.27</v>
      </c>
      <c s="63" r="S24">
        <f>Q24-R24</f>
        <v>66.89765</v>
      </c>
      <c s="39" r="T24">
        <f> (Q24/R24) - 1</f>
        <v>0.284344157776172</v>
      </c>
      <c s="70" r="U24"/>
      <c s="70" r="V24"/>
      <c t="s" s="30" r="W24">
        <v>85</v>
      </c>
      <c s="30" r="X24">
        <v>0</v>
      </c>
      <c t="s" s="30" r="Y24">
        <v>71</v>
      </c>
      <c t="s" s="30" r="Z24">
        <v>65</v>
      </c>
      <c s="30" r="AA24">
        <v>0</v>
      </c>
      <c s="30" r="AB24">
        <v>0</v>
      </c>
      <c s="30" r="AC24">
        <v>2</v>
      </c>
      <c s="30" r="AD24">
        <v>0</v>
      </c>
      <c s="30" r="AE24"/>
      <c t="str" s="8" r="AF24">
        <f>(I24+J24)/R24</f>
        <v>#VALUE!:notNumber:NA</v>
      </c>
      <c t="str" s="28" r="AG24">
        <f>G24/$X24</f>
        <v>#DIV/0!:divZero</v>
      </c>
      <c t="str" s="28" r="AH24">
        <f>H24/$X24</f>
        <v>#DIV/0!:divZero</v>
      </c>
      <c t="str" s="28" r="AI24">
        <f>I24/$X24</f>
        <v>#DIV/0!:divZero</v>
      </c>
      <c t="str" s="28" r="AJ24">
        <f>J24/$X24</f>
        <v>#DIV/0!:divZero</v>
      </c>
      <c t="str" s="28" r="AK24">
        <f>K24/$X24</f>
        <v>#DIV/0!:divZero</v>
      </c>
      <c s="30" r="AL24">
        <v>1</v>
      </c>
    </row>
    <row r="25">
      <c s="30" r="A25">
        <v>24</v>
      </c>
      <c t="s" s="30" r="B25">
        <v>55</v>
      </c>
      <c s="62" r="C25">
        <v>41560</v>
      </c>
      <c s="52" r="D25">
        <v>41560.9583333333</v>
      </c>
      <c s="55" r="E25">
        <f> 14 * (5.64+0.6)</f>
        <v>87.36</v>
      </c>
      <c s="55" r="F25"/>
      <c t="s" s="55" r="G25">
        <v>39</v>
      </c>
      <c t="s" s="55" r="H25">
        <v>39</v>
      </c>
      <c t="s" s="55" r="I25">
        <v>39</v>
      </c>
      <c t="s" s="55" r="J25">
        <v>39</v>
      </c>
      <c t="s" s="55" r="K25">
        <v>39</v>
      </c>
      <c s="80" r="L25">
        <v>0</v>
      </c>
      <c s="79" r="M25">
        <v>0</v>
      </c>
      <c s="79" r="N25">
        <f>SUMIF(Sellables!$A$2:$A$11482, A25, Sellables!$E$2:$E$11482)</f>
        <v>84.27</v>
      </c>
      <c s="79" r="O25">
        <v>0</v>
      </c>
      <c s="32" r="P25">
        <f>SUMIF(Skills!$A$2:$A$9999, A25, Skills!$F$2:$F$9999)</f>
        <v>0</v>
      </c>
      <c s="20" r="Q25">
        <f>SUMIF(Sellables!A21:A11505, A25,Sellables!G21:G11505)+P25</f>
        <v>84.27</v>
      </c>
      <c s="17" r="R25">
        <f>E25+L25</f>
        <v>87.36</v>
      </c>
      <c s="63" r="S25">
        <f>Q25-R25</f>
        <v>-3.08999999999998</v>
      </c>
      <c s="39" r="T25">
        <f> (Q25/R25) - 1</f>
        <v>-0.035370879120879</v>
      </c>
      <c s="70" r="U25"/>
      <c s="70" r="V25"/>
      <c t="s" s="30" r="W25">
        <v>86</v>
      </c>
      <c s="30" r="X25">
        <v>0</v>
      </c>
      <c t="s" s="30" r="Y25">
        <v>71</v>
      </c>
      <c t="s" s="30" r="Z25">
        <v>65</v>
      </c>
      <c s="30" r="AA25">
        <v>0</v>
      </c>
      <c s="30" r="AB25">
        <v>0</v>
      </c>
      <c s="30" r="AC25">
        <v>0</v>
      </c>
      <c s="30" r="AD25">
        <v>0</v>
      </c>
      <c s="30" r="AE25"/>
      <c t="str" s="8" r="AF25">
        <f>(I25+J25)/R25</f>
        <v>#VALUE!:notNumber:NA</v>
      </c>
      <c t="str" s="28" r="AG25">
        <f>G25/$X25</f>
        <v>#DIV/0!:divZero</v>
      </c>
      <c t="str" s="28" r="AH25">
        <f>H25/$X25</f>
        <v>#DIV/0!:divZero</v>
      </c>
      <c t="str" s="28" r="AI25">
        <f>I25/$X25</f>
        <v>#DIV/0!:divZero</v>
      </c>
      <c t="str" s="28" r="AJ25">
        <f>J25/$X25</f>
        <v>#DIV/0!:divZero</v>
      </c>
      <c t="str" s="28" r="AK25">
        <f>K25/$X25</f>
        <v>#DIV/0!:divZero</v>
      </c>
      <c s="30" r="AL25">
        <v>1</v>
      </c>
    </row>
    <row r="26">
      <c s="30" r="A26">
        <v>25</v>
      </c>
      <c t="s" s="30" r="B26">
        <v>55</v>
      </c>
      <c s="62" r="C26">
        <v>41560</v>
      </c>
      <c s="52" r="D26">
        <v>41560.9583333333</v>
      </c>
      <c s="55" r="E26">
        <f>1.15*36</f>
        <v>41.4</v>
      </c>
      <c s="55" r="F26"/>
      <c t="s" s="55" r="G26">
        <v>39</v>
      </c>
      <c t="s" s="55" r="H26">
        <v>39</v>
      </c>
      <c t="s" s="55" r="I26">
        <v>39</v>
      </c>
      <c t="s" s="55" r="J26">
        <v>39</v>
      </c>
      <c t="s" s="55" r="K26">
        <v>39</v>
      </c>
      <c s="80" r="L26">
        <v>0</v>
      </c>
      <c s="79" r="M26">
        <v>0</v>
      </c>
      <c s="79" r="N26">
        <v>25.31</v>
      </c>
      <c s="79" r="O26">
        <v>0</v>
      </c>
      <c s="32" r="P26">
        <f>SUMIF(Skills!$A$2:$A$9999, A26, Skills!$F$2:$F$9999)</f>
        <v>0</v>
      </c>
      <c s="20" r="Q26">
        <f>N26</f>
        <v>25.31</v>
      </c>
      <c s="17" r="R26">
        <f>E26+L26</f>
        <v>41.4</v>
      </c>
      <c s="63" r="S26">
        <f>Q26-R26</f>
        <v>-16.09</v>
      </c>
      <c s="39" r="T26">
        <f> (Q26/R26) - 1</f>
        <v>-0.388647342995169</v>
      </c>
      <c s="70" r="U26"/>
      <c s="70" r="V26"/>
      <c t="s" s="30" r="W26">
        <v>68</v>
      </c>
      <c s="30" r="X26">
        <v>0</v>
      </c>
      <c t="s" s="30" r="Y26">
        <v>71</v>
      </c>
      <c t="s" s="30" r="Z26">
        <v>65</v>
      </c>
      <c s="30" r="AA26">
        <v>0</v>
      </c>
      <c s="30" r="AB26">
        <v>0</v>
      </c>
      <c s="30" r="AC26">
        <v>0</v>
      </c>
      <c s="30" r="AD26">
        <v>0</v>
      </c>
      <c s="30" r="AE26"/>
      <c t="str" s="8" r="AF26">
        <f>(I26+J26)/R26</f>
        <v>#VALUE!:notNumber:NA</v>
      </c>
      <c t="str" s="28" r="AG26">
        <f>G26/$X26</f>
        <v>#DIV/0!:divZero</v>
      </c>
      <c t="str" s="28" r="AH26">
        <f>H26/$X26</f>
        <v>#DIV/0!:divZero</v>
      </c>
      <c t="str" s="28" r="AI26">
        <f>I26/$X26</f>
        <v>#DIV/0!:divZero</v>
      </c>
      <c t="str" s="28" r="AJ26">
        <f>J26/$X26</f>
        <v>#DIV/0!:divZero</v>
      </c>
      <c t="str" s="28" r="AK26">
        <f>K26/$X26</f>
        <v>#DIV/0!:divZero</v>
      </c>
      <c s="30" r="AL26">
        <v>1</v>
      </c>
    </row>
    <row r="27">
      <c s="30" r="A27">
        <v>26</v>
      </c>
      <c t="s" s="30" r="B27">
        <v>55</v>
      </c>
      <c s="62" r="C27">
        <v>41560</v>
      </c>
      <c s="52" r="D27">
        <v>41560.9583333333</v>
      </c>
      <c s="55" r="E27">
        <f> 823 * 0.7</f>
        <v>576.1</v>
      </c>
      <c s="55" r="F27"/>
      <c t="s" s="55" r="G27">
        <v>39</v>
      </c>
      <c t="s" s="55" r="H27">
        <v>39</v>
      </c>
      <c t="s" s="55" r="I27">
        <v>39</v>
      </c>
      <c t="s" s="55" r="J27">
        <v>39</v>
      </c>
      <c t="s" s="55" r="K27">
        <v>39</v>
      </c>
      <c s="80" r="L27">
        <v>0</v>
      </c>
      <c s="79" r="M27">
        <v>0</v>
      </c>
      <c s="79" r="N27">
        <v>626.94</v>
      </c>
      <c s="79" r="O27">
        <v>0</v>
      </c>
      <c s="32" r="P27">
        <f>SUMIF(Skills!$A$2:$A$9999, A27, Skills!$F$2:$F$9999)</f>
        <v>0</v>
      </c>
      <c s="20" r="Q27">
        <f>N27</f>
        <v>626.94</v>
      </c>
      <c s="17" r="R27">
        <f>E27+L27</f>
        <v>576.1</v>
      </c>
      <c s="63" r="S27">
        <f>Q27-R27</f>
        <v>50.8400000000001</v>
      </c>
      <c s="39" r="T27">
        <f> (Q27/R27) - 1</f>
        <v>0.088248567956952</v>
      </c>
      <c s="70" r="U27"/>
      <c s="70" r="V27"/>
      <c t="s" s="30" r="W27">
        <v>56</v>
      </c>
      <c s="30" r="X27">
        <v>0</v>
      </c>
      <c t="s" s="30" r="Y27">
        <v>71</v>
      </c>
      <c t="s" s="30" r="Z27">
        <v>65</v>
      </c>
      <c s="30" r="AA27">
        <v>0</v>
      </c>
      <c s="30" r="AB27">
        <v>1</v>
      </c>
      <c s="30" r="AC27">
        <v>1</v>
      </c>
      <c s="30" r="AD27">
        <v>0</v>
      </c>
      <c s="30" r="AE27"/>
      <c t="str" s="8" r="AF27">
        <f>(I27+J27)/R27</f>
        <v>#VALUE!:notNumber:NA</v>
      </c>
      <c t="str" s="28" r="AG27">
        <f>G27/$X27</f>
        <v>#DIV/0!:divZero</v>
      </c>
      <c t="str" s="28" r="AH27">
        <f>H27/$X27</f>
        <v>#DIV/0!:divZero</v>
      </c>
      <c t="str" s="28" r="AI27">
        <f>I27/$X27</f>
        <v>#DIV/0!:divZero</v>
      </c>
      <c t="str" s="28" r="AJ27">
        <f>J27/$X27</f>
        <v>#DIV/0!:divZero</v>
      </c>
      <c t="str" s="28" r="AK27">
        <f>K27/$X27</f>
        <v>#DIV/0!:divZero</v>
      </c>
      <c s="30" r="AL27">
        <v>1</v>
      </c>
    </row>
    <row r="28">
      <c s="30" r="A28">
        <v>27</v>
      </c>
      <c t="s" s="30" r="B28">
        <v>55</v>
      </c>
      <c s="62" r="C28">
        <v>41561</v>
      </c>
      <c s="52" r="D28">
        <v>41561.71875</v>
      </c>
      <c s="55" r="E28">
        <f>250*0.7</f>
        <v>175</v>
      </c>
      <c s="55" r="F28"/>
      <c t="s" s="55" r="G28">
        <v>39</v>
      </c>
      <c t="s" s="55" r="H28">
        <v>39</v>
      </c>
      <c t="s" s="55" r="I28">
        <v>39</v>
      </c>
      <c t="s" s="55" r="J28">
        <v>39</v>
      </c>
      <c t="s" s="55" r="K28">
        <v>39</v>
      </c>
      <c s="80" r="L28">
        <v>0</v>
      </c>
      <c s="79" r="M28">
        <v>0</v>
      </c>
      <c s="79" r="N28">
        <v>270.04</v>
      </c>
      <c s="79" r="O28">
        <v>0</v>
      </c>
      <c s="32" r="P28">
        <f>SUMIF(Skills!$A$2:$A$9999, A28, Skills!$F$2:$F$9999)</f>
        <v>0</v>
      </c>
      <c s="20" r="Q28">
        <f>N28</f>
        <v>270.04</v>
      </c>
      <c s="17" r="R28">
        <f>E28+L28</f>
        <v>175</v>
      </c>
      <c s="63" r="S28">
        <f>Q28-R28</f>
        <v>95.04</v>
      </c>
      <c s="39" r="T28">
        <f> (Q28/R28) - 1</f>
        <v>0.543085714285714</v>
      </c>
      <c s="70" r="U28"/>
      <c s="70" r="V28"/>
      <c t="s" s="30" r="W28">
        <v>56</v>
      </c>
      <c s="30" r="X28">
        <v>0</v>
      </c>
      <c t="s" s="30" r="Y28">
        <v>87</v>
      </c>
      <c t="s" s="30" r="Z28">
        <v>65</v>
      </c>
      <c s="30" r="AA28">
        <v>0</v>
      </c>
      <c s="30" r="AB28">
        <v>0</v>
      </c>
      <c s="30" r="AC28">
        <v>1</v>
      </c>
      <c s="30" r="AD28">
        <v>0</v>
      </c>
      <c s="30" r="AE28"/>
      <c t="str" s="8" r="AF28">
        <f>(I28+J28)/R28</f>
        <v>#VALUE!:notNumber:NA</v>
      </c>
      <c t="str" s="28" r="AG28">
        <f>G28/$X28</f>
        <v>#DIV/0!:divZero</v>
      </c>
      <c t="str" s="28" r="AH28">
        <f>H28/$X28</f>
        <v>#DIV/0!:divZero</v>
      </c>
      <c t="str" s="28" r="AI28">
        <f>I28/$X28</f>
        <v>#DIV/0!:divZero</v>
      </c>
      <c t="str" s="28" r="AJ28">
        <f>J28/$X28</f>
        <v>#DIV/0!:divZero</v>
      </c>
      <c t="str" s="28" r="AK28">
        <f>K28/$X28</f>
        <v>#DIV/0!:divZero</v>
      </c>
      <c s="30" r="AL28">
        <v>1</v>
      </c>
    </row>
    <row r="29">
      <c s="30" r="A29">
        <v>28</v>
      </c>
      <c t="s" s="30" r="B29">
        <v>55</v>
      </c>
      <c s="62" r="C29">
        <v>41561</v>
      </c>
      <c s="52" r="D29">
        <v>41561.71875</v>
      </c>
      <c s="55" r="E29">
        <f>310*2.4</f>
        <v>744</v>
      </c>
      <c s="55" r="F29"/>
      <c t="s" s="55" r="G29">
        <v>39</v>
      </c>
      <c t="s" s="55" r="H29">
        <v>39</v>
      </c>
      <c t="s" s="55" r="I29">
        <v>39</v>
      </c>
      <c t="s" s="55" r="J29">
        <v>39</v>
      </c>
      <c t="s" s="55" r="K29">
        <v>39</v>
      </c>
      <c s="80" r="L29">
        <v>0</v>
      </c>
      <c s="79" r="M29">
        <v>0</v>
      </c>
      <c s="79" r="N29">
        <f>SUMIF(Sellables!$A$2:$A$11482, A29, Sellables!$E$2:$E$11482)</f>
        <v>788.4</v>
      </c>
      <c s="79" r="O29">
        <v>0</v>
      </c>
      <c s="32" r="P29">
        <f>SUMIF(Skills!$A$2:$A$9999, A29, Skills!$F$2:$F$9999)</f>
        <v>0</v>
      </c>
      <c s="20" r="Q29">
        <f>SUMIF(Sellables!A25:A11509, A29,Sellables!G25:G11509)+P29</f>
        <v>810.513</v>
      </c>
      <c s="17" r="R29">
        <f>E29+L29</f>
        <v>744</v>
      </c>
      <c s="63" r="S29">
        <f>Q29-R29</f>
        <v>66.5129999999999</v>
      </c>
      <c s="39" r="T29">
        <f> (Q29/R29) - 1</f>
        <v>0.089399193548387</v>
      </c>
      <c s="70" r="U29"/>
      <c s="70" r="V29"/>
      <c t="s" s="30" r="W29">
        <v>88</v>
      </c>
      <c s="30" r="X29">
        <v>0</v>
      </c>
      <c t="s" s="30" r="Y29">
        <v>87</v>
      </c>
      <c t="s" s="30" r="Z29">
        <v>65</v>
      </c>
      <c s="30" r="AA29">
        <v>0</v>
      </c>
      <c s="30" r="AB29">
        <v>0</v>
      </c>
      <c s="30" r="AC29">
        <v>1</v>
      </c>
      <c s="30" r="AD29">
        <v>0</v>
      </c>
      <c s="30" r="AE29"/>
      <c t="str" s="8" r="AF29">
        <f>(I29+J29)/R29</f>
        <v>#VALUE!:notNumber:NA</v>
      </c>
      <c t="str" s="28" r="AG29">
        <f>G29/$X29</f>
        <v>#DIV/0!:divZero</v>
      </c>
      <c t="str" s="28" r="AH29">
        <f>H29/$X29</f>
        <v>#DIV/0!:divZero</v>
      </c>
      <c t="str" s="28" r="AI29">
        <f>I29/$X29</f>
        <v>#DIV/0!:divZero</v>
      </c>
      <c t="str" s="28" r="AJ29">
        <f>J29/$X29</f>
        <v>#DIV/0!:divZero</v>
      </c>
      <c t="str" s="28" r="AK29">
        <f>K29/$X29</f>
        <v>#DIV/0!:divZero</v>
      </c>
      <c s="30" r="AL29">
        <v>1</v>
      </c>
    </row>
    <row r="30">
      <c s="30" r="A30">
        <v>29</v>
      </c>
      <c t="s" s="30" r="B30">
        <v>55</v>
      </c>
      <c s="62" r="C30">
        <v>41561</v>
      </c>
      <c s="52" r="D30">
        <v>41561.9180555556</v>
      </c>
      <c s="55" r="E30">
        <f>0.61*45</f>
        <v>27.45</v>
      </c>
      <c s="55" r="F30"/>
      <c t="s" s="55" r="G30">
        <v>39</v>
      </c>
      <c t="s" s="55" r="H30">
        <v>39</v>
      </c>
      <c t="s" s="55" r="I30">
        <v>39</v>
      </c>
      <c t="s" s="55" r="J30">
        <v>39</v>
      </c>
      <c t="s" s="55" r="K30">
        <v>39</v>
      </c>
      <c s="80" r="L30">
        <v>0</v>
      </c>
      <c s="79" r="M30">
        <v>0</v>
      </c>
      <c s="79" r="N30">
        <v>19.58</v>
      </c>
      <c s="79" r="O30">
        <v>0</v>
      </c>
      <c s="32" r="P30">
        <f>SUMIF(Skills!$A$2:$A$9999, A30, Skills!$F$2:$F$9999)</f>
        <v>0</v>
      </c>
      <c s="20" r="Q30">
        <f>N30</f>
        <v>19.58</v>
      </c>
      <c s="17" r="R30">
        <f>E30+L30</f>
        <v>27.45</v>
      </c>
      <c s="63" r="S30">
        <f>Q30-R30</f>
        <v>-7.87</v>
      </c>
      <c s="39" r="T30">
        <f> (Q30/R30) - 1</f>
        <v>-0.286703096539162</v>
      </c>
      <c s="70" r="U30"/>
      <c s="70" r="V30"/>
      <c t="s" s="30" r="W30">
        <v>89</v>
      </c>
      <c s="30" r="X30">
        <v>0</v>
      </c>
      <c t="s" s="30" r="Y30">
        <v>87</v>
      </c>
      <c t="s" s="30" r="Z30">
        <v>65</v>
      </c>
      <c s="30" r="AA30">
        <v>0</v>
      </c>
      <c s="30" r="AB30">
        <v>0</v>
      </c>
      <c s="30" r="AC30">
        <v>0</v>
      </c>
      <c s="30" r="AD30">
        <v>0</v>
      </c>
      <c s="30" r="AE30"/>
      <c t="str" s="8" r="AF30">
        <f>(I30+J30)/R30</f>
        <v>#VALUE!:notNumber:NA</v>
      </c>
      <c t="str" s="28" r="AG30">
        <f>G30/$X30</f>
        <v>#DIV/0!:divZero</v>
      </c>
      <c t="str" s="28" r="AH30">
        <f>H30/$X30</f>
        <v>#DIV/0!:divZero</v>
      </c>
      <c t="str" s="28" r="AI30">
        <f>I30/$X30</f>
        <v>#DIV/0!:divZero</v>
      </c>
      <c t="str" s="28" r="AJ30">
        <f>J30/$X30</f>
        <v>#DIV/0!:divZero</v>
      </c>
      <c t="str" s="28" r="AK30">
        <f>K30/$X30</f>
        <v>#DIV/0!:divZero</v>
      </c>
      <c s="30" r="AL30">
        <v>1</v>
      </c>
    </row>
    <row r="31">
      <c s="30" r="A31">
        <v>30</v>
      </c>
      <c t="s" s="30" r="B31">
        <v>38</v>
      </c>
      <c s="62" r="C31">
        <v>41561</v>
      </c>
      <c s="52" r="D31">
        <v>41561.9375</v>
      </c>
      <c s="55" r="E31">
        <v>200</v>
      </c>
      <c s="55" r="F31"/>
      <c t="s" s="55" r="G31">
        <v>39</v>
      </c>
      <c t="s" s="55" r="H31">
        <v>39</v>
      </c>
      <c t="s" s="55" r="I31">
        <v>39</v>
      </c>
      <c t="s" s="55" r="J31">
        <v>39</v>
      </c>
      <c t="s" s="55" r="K31">
        <v>39</v>
      </c>
      <c s="80" r="L31">
        <v>37.04</v>
      </c>
      <c s="79" r="M31">
        <v>0</v>
      </c>
      <c s="79" r="N31">
        <f>SUMIF(Sellables!$A$2:$A$11482, A31, Sellables!$E$2:$E$11482)</f>
        <v>186.38</v>
      </c>
      <c s="79" r="O31">
        <v>0</v>
      </c>
      <c s="32" r="P31">
        <f>SUMIF(Skills!$A$2:$A$9999, A31, Skills!$F$2:$F$9999)</f>
        <v>0</v>
      </c>
      <c s="20" r="Q31">
        <f>SUMIF(Sellables!A27:A11511, A31,Sellables!G27:G11511)+P31</f>
        <v>186.38</v>
      </c>
      <c s="17" r="R31">
        <f>E31+L31</f>
        <v>237.04</v>
      </c>
      <c s="63" r="S31">
        <f>Q31-R31</f>
        <v>-50.66</v>
      </c>
      <c s="39" r="T31">
        <f> (Q31/R31) - 1</f>
        <v>-0.213719203509956</v>
      </c>
      <c s="70" r="U31"/>
      <c s="70" r="V31"/>
      <c t="s" s="30" r="W31">
        <v>90</v>
      </c>
      <c s="30" r="X31">
        <v>0</v>
      </c>
      <c t="s" s="30" r="Y31">
        <v>80</v>
      </c>
      <c t="s" s="30" r="Z31">
        <v>65</v>
      </c>
      <c s="30" r="AA31">
        <v>0</v>
      </c>
      <c s="30" r="AB31">
        <v>0</v>
      </c>
      <c s="30" r="AC31">
        <v>0</v>
      </c>
      <c s="30" r="AD31">
        <v>0</v>
      </c>
      <c s="30" r="AE31"/>
      <c t="str" s="8" r="AF31">
        <f>(I31+J31)/R31</f>
        <v>#VALUE!:notNumber:NA</v>
      </c>
      <c t="str" s="28" r="AG31">
        <f>G31/$X31</f>
        <v>#DIV/0!:divZero</v>
      </c>
      <c t="str" s="28" r="AH31">
        <f>H31/$X31</f>
        <v>#DIV/0!:divZero</v>
      </c>
      <c t="str" s="28" r="AI31">
        <f>I31/$X31</f>
        <v>#DIV/0!:divZero</v>
      </c>
      <c t="str" s="28" r="AJ31">
        <f>J31/$X31</f>
        <v>#DIV/0!:divZero</v>
      </c>
      <c t="str" s="28" r="AK31">
        <f>K31/$X31</f>
        <v>#DIV/0!:divZero</v>
      </c>
      <c s="30" r="AL31">
        <v>1</v>
      </c>
    </row>
    <row r="32">
      <c s="30" r="A32">
        <v>31</v>
      </c>
      <c t="s" s="30" r="B32">
        <v>55</v>
      </c>
      <c s="62" r="C32">
        <v>41561</v>
      </c>
      <c s="52" r="D32">
        <v>41561.9652777778</v>
      </c>
      <c s="55" r="E32">
        <f>0.12*134</f>
        <v>16.08</v>
      </c>
      <c s="55" r="F32"/>
      <c t="s" s="55" r="G32">
        <v>39</v>
      </c>
      <c t="s" s="55" r="H32">
        <v>39</v>
      </c>
      <c t="s" s="55" r="I32">
        <v>39</v>
      </c>
      <c t="s" s="55" r="J32">
        <v>39</v>
      </c>
      <c t="s" s="55" r="K32">
        <v>39</v>
      </c>
      <c s="80" r="L32">
        <v>0</v>
      </c>
      <c s="79" r="M32">
        <v>0</v>
      </c>
      <c s="79" r="N32">
        <v>9.39</v>
      </c>
      <c s="79" r="O32">
        <v>0</v>
      </c>
      <c s="32" r="P32">
        <f>SUMIF(Skills!$A$2:$A$9999, A32, Skills!$F$2:$F$9999)</f>
        <v>0</v>
      </c>
      <c s="20" r="Q32">
        <f>N32</f>
        <v>9.39</v>
      </c>
      <c s="17" r="R32">
        <f>E32+L32</f>
        <v>16.08</v>
      </c>
      <c s="63" r="S32">
        <f>Q32-R32</f>
        <v>-6.69</v>
      </c>
      <c s="39" r="T32">
        <f> (Q32/R32) - 1</f>
        <v>-0.416044776119403</v>
      </c>
      <c s="70" r="U32"/>
      <c s="70" r="V32"/>
      <c t="s" s="30" r="W32">
        <v>91</v>
      </c>
      <c s="30" r="X32">
        <v>0</v>
      </c>
      <c t="s" s="30" r="Y32">
        <v>87</v>
      </c>
      <c t="s" s="30" r="Z32">
        <v>65</v>
      </c>
      <c s="30" r="AA32">
        <v>0</v>
      </c>
      <c s="30" r="AB32">
        <v>0</v>
      </c>
      <c s="30" r="AC32">
        <v>0</v>
      </c>
      <c s="30" r="AD32">
        <v>0</v>
      </c>
      <c s="30" r="AE32"/>
      <c t="str" s="8" r="AF32">
        <f>(I32+J32)/R32</f>
        <v>#VALUE!:notNumber:NA</v>
      </c>
      <c t="str" s="28" r="AG32">
        <f>G32/$X32</f>
        <v>#DIV/0!:divZero</v>
      </c>
      <c t="str" s="28" r="AH32">
        <f>H32/$X32</f>
        <v>#DIV/0!:divZero</v>
      </c>
      <c t="str" s="28" r="AI32">
        <f>I32/$X32</f>
        <v>#DIV/0!:divZero</v>
      </c>
      <c t="str" s="28" r="AJ32">
        <f>J32/$X32</f>
        <v>#DIV/0!:divZero</v>
      </c>
      <c t="str" s="28" r="AK32">
        <f>K32/$X32</f>
        <v>#DIV/0!:divZero</v>
      </c>
      <c s="30" r="AL32">
        <v>1</v>
      </c>
    </row>
    <row r="33">
      <c s="30" r="A33">
        <v>32</v>
      </c>
      <c t="s" s="30" r="B33">
        <v>55</v>
      </c>
      <c s="62" r="C33">
        <v>41561</v>
      </c>
      <c s="52" r="D33">
        <v>41561.99375</v>
      </c>
      <c s="55" r="E33">
        <f>1.9*99</f>
        <v>188.1</v>
      </c>
      <c s="55" r="F33"/>
      <c t="s" s="55" r="G33">
        <v>39</v>
      </c>
      <c t="s" s="55" r="H33">
        <v>39</v>
      </c>
      <c t="s" s="55" r="I33">
        <v>39</v>
      </c>
      <c t="s" s="55" r="J33">
        <v>39</v>
      </c>
      <c t="s" s="55" r="K33">
        <v>39</v>
      </c>
      <c s="80" r="L33">
        <v>0</v>
      </c>
      <c s="79" r="M33">
        <v>0</v>
      </c>
      <c s="79" r="N33">
        <f>SUMIF(Sellables!$A$2:$A$11482, A33, Sellables!$E$2:$E$11482)</f>
        <v>113.6</v>
      </c>
      <c s="79" r="O33">
        <v>0</v>
      </c>
      <c s="32" r="P33">
        <f>SUMIF(Skills!$A$2:$A$9999, A33, Skills!$F$2:$F$9999)</f>
        <v>0</v>
      </c>
      <c s="20" r="Q33">
        <f>SUMIF(Sellables!A29:A11513, A33,Sellables!G29:G11513)+P33</f>
        <v>136.246776</v>
      </c>
      <c s="17" r="R33">
        <f>E33+L33</f>
        <v>188.1</v>
      </c>
      <c s="63" r="S33">
        <f>Q33-R33</f>
        <v>-51.853224</v>
      </c>
      <c s="39" r="T33">
        <f> (Q33/R33) - 1</f>
        <v>-0.275668389154705</v>
      </c>
      <c s="70" r="U33"/>
      <c s="70" r="V33"/>
      <c t="s" s="30" r="W33">
        <v>92</v>
      </c>
      <c s="30" r="X33">
        <v>0</v>
      </c>
      <c t="s" s="30" r="Y33">
        <v>87</v>
      </c>
      <c t="s" s="30" r="Z33">
        <v>65</v>
      </c>
      <c s="30" r="AA33">
        <v>0</v>
      </c>
      <c s="30" r="AB33">
        <v>0</v>
      </c>
      <c s="30" r="AC33">
        <v>0</v>
      </c>
      <c s="30" r="AD33">
        <v>0</v>
      </c>
      <c s="30" r="AE33"/>
      <c t="str" s="8" r="AF33">
        <f>(I33+J33)/R33</f>
        <v>#VALUE!:notNumber:NA</v>
      </c>
      <c t="str" s="28" r="AG33">
        <f>G33/$X33</f>
        <v>#DIV/0!:divZero</v>
      </c>
      <c t="str" s="28" r="AH33">
        <f>H33/$X33</f>
        <v>#DIV/0!:divZero</v>
      </c>
      <c t="str" s="28" r="AI33">
        <f>I33/$X33</f>
        <v>#DIV/0!:divZero</v>
      </c>
      <c t="str" s="28" r="AJ33">
        <f>J33/$X33</f>
        <v>#DIV/0!:divZero</v>
      </c>
      <c t="str" s="28" r="AK33">
        <f>K33/$X33</f>
        <v>#DIV/0!:divZero</v>
      </c>
      <c s="30" r="AL33">
        <v>1</v>
      </c>
    </row>
    <row r="34">
      <c s="30" r="A34">
        <v>33</v>
      </c>
      <c t="s" s="30" r="B34">
        <v>38</v>
      </c>
      <c s="62" r="C34">
        <v>41562</v>
      </c>
      <c s="52" r="D34">
        <v>41562.7576388889</v>
      </c>
      <c s="55" r="E34">
        <v>200</v>
      </c>
      <c s="55" r="F34"/>
      <c t="s" s="55" r="G34">
        <v>39</v>
      </c>
      <c t="s" s="55" r="H34">
        <v>39</v>
      </c>
      <c t="s" s="55" r="I34">
        <v>39</v>
      </c>
      <c t="s" s="55" r="J34">
        <v>39</v>
      </c>
      <c t="s" s="55" r="K34">
        <v>39</v>
      </c>
      <c s="80" r="L34">
        <v>41.7</v>
      </c>
      <c s="79" r="M34">
        <v>0</v>
      </c>
      <c s="79" r="N34">
        <f>SUMIF(Sellables!$A$2:$A$11482, A34, Sellables!$E$2:$E$11482)</f>
        <v>159.13</v>
      </c>
      <c s="79" r="O34">
        <v>0</v>
      </c>
      <c s="32" r="P34">
        <f>SUMIF(Skills!$A$2:$A$9999, A34, Skills!$F$2:$F$9999)</f>
        <v>0</v>
      </c>
      <c s="20" r="Q34">
        <f>SUMIF(Sellables!A30:A11514, A34,Sellables!G30:G11514)+P34</f>
        <v>159.13</v>
      </c>
      <c s="17" r="R34">
        <f>E34+L34</f>
        <v>241.7</v>
      </c>
      <c s="63" r="S34">
        <f>Q34-R34</f>
        <v>-82.57</v>
      </c>
      <c s="39" r="T34">
        <f> (Q34/R34) - 1</f>
        <v>-0.341621845262722</v>
      </c>
      <c s="70" r="U34"/>
      <c s="70" r="V34"/>
      <c t="s" s="30" r="W34">
        <v>79</v>
      </c>
      <c s="30" r="X34">
        <v>0</v>
      </c>
      <c t="s" s="30" r="Y34">
        <v>80</v>
      </c>
      <c t="s" s="30" r="Z34">
        <v>65</v>
      </c>
      <c s="30" r="AA34">
        <v>0</v>
      </c>
      <c s="30" r="AB34">
        <v>0</v>
      </c>
      <c s="30" r="AC34">
        <v>0</v>
      </c>
      <c s="30" r="AD34">
        <v>0</v>
      </c>
      <c s="30" r="AE34"/>
      <c t="str" s="8" r="AF34">
        <f>(I34+J34)/R34</f>
        <v>#VALUE!:notNumber:NA</v>
      </c>
      <c t="str" s="28" r="AG34">
        <f>G34/$X34</f>
        <v>#DIV/0!:divZero</v>
      </c>
      <c t="str" s="28" r="AH34">
        <f>H34/$X34</f>
        <v>#DIV/0!:divZero</v>
      </c>
      <c t="str" s="28" r="AI34">
        <f>I34/$X34</f>
        <v>#DIV/0!:divZero</v>
      </c>
      <c t="str" s="28" r="AJ34">
        <f>J34/$X34</f>
        <v>#DIV/0!:divZero</v>
      </c>
      <c t="str" s="28" r="AK34">
        <f>K34/$X34</f>
        <v>#DIV/0!:divZero</v>
      </c>
      <c s="30" r="AL34">
        <v>1</v>
      </c>
    </row>
    <row r="35">
      <c s="30" r="A35">
        <v>34</v>
      </c>
      <c t="s" s="30" r="B35">
        <v>38</v>
      </c>
      <c s="62" r="C35">
        <v>41562</v>
      </c>
      <c s="52" r="D35">
        <v>41562.8895833333</v>
      </c>
      <c s="55" r="E35">
        <v>200</v>
      </c>
      <c s="55" r="F35"/>
      <c t="s" s="55" r="G35">
        <v>39</v>
      </c>
      <c t="s" s="55" r="H35">
        <v>39</v>
      </c>
      <c t="s" s="55" r="I35">
        <v>39</v>
      </c>
      <c t="s" s="55" r="J35">
        <v>39</v>
      </c>
      <c t="s" s="55" r="K35">
        <v>39</v>
      </c>
      <c s="80" r="L35">
        <v>39.5</v>
      </c>
      <c s="79" r="M35">
        <v>0</v>
      </c>
      <c s="79" r="N35">
        <f>SUMIF(Sellables!$A$2:$A$11482, A35, Sellables!$E$2:$E$11482)</f>
        <v>151.97</v>
      </c>
      <c s="79" r="O35">
        <v>0</v>
      </c>
      <c s="32" r="P35">
        <f>SUMIF(Skills!$A$2:$A$9999, A35, Skills!$F$2:$F$9999)</f>
        <v>30.7407</v>
      </c>
      <c s="20" r="Q35">
        <f>SUMIF(Sellables!A31:A11515, A35,Sellables!G31:G11515)+P35</f>
        <v>182.7107</v>
      </c>
      <c s="17" r="R35">
        <f>E35+L35</f>
        <v>239.5</v>
      </c>
      <c s="63" r="S35">
        <f>Q35-R35</f>
        <v>-56.7893</v>
      </c>
      <c s="39" r="T35">
        <f> (Q35/R35) - 1</f>
        <v>-0.237116075156576</v>
      </c>
      <c s="70" r="U35"/>
      <c s="70" r="V35"/>
      <c t="s" s="30" r="W35">
        <v>79</v>
      </c>
      <c s="30" r="X35">
        <v>0</v>
      </c>
      <c t="s" s="30" r="Y35">
        <v>80</v>
      </c>
      <c t="s" s="30" r="Z35">
        <v>65</v>
      </c>
      <c s="30" r="AA35">
        <v>0</v>
      </c>
      <c s="30" r="AB35">
        <v>0</v>
      </c>
      <c s="30" r="AC35">
        <v>0</v>
      </c>
      <c s="30" r="AD35">
        <v>0</v>
      </c>
      <c s="30" r="AE35"/>
      <c t="str" s="8" r="AF35">
        <f>(I35+J35)/R35</f>
        <v>#VALUE!:notNumber:NA</v>
      </c>
      <c t="str" s="28" r="AG35">
        <f>G35/$X35</f>
        <v>#DIV/0!:divZero</v>
      </c>
      <c t="str" s="28" r="AH35">
        <f>H35/$X35</f>
        <v>#DIV/0!:divZero</v>
      </c>
      <c t="str" s="28" r="AI35">
        <f>I35/$X35</f>
        <v>#DIV/0!:divZero</v>
      </c>
      <c t="str" s="28" r="AJ35">
        <f>J35/$X35</f>
        <v>#DIV/0!:divZero</v>
      </c>
      <c t="str" s="28" r="AK35">
        <f>K35/$X35</f>
        <v>#DIV/0!:divZero</v>
      </c>
      <c s="30" r="AL35">
        <v>1</v>
      </c>
    </row>
    <row r="36">
      <c s="30" r="A36">
        <v>35</v>
      </c>
      <c t="s" s="30" r="B36">
        <v>93</v>
      </c>
      <c s="62" r="C36">
        <v>41562</v>
      </c>
      <c s="52" r="D36">
        <v>41562.9270833333</v>
      </c>
      <c s="55" r="E36">
        <v>130</v>
      </c>
      <c s="55" r="F36"/>
      <c t="s" s="55" r="G36">
        <v>39</v>
      </c>
      <c t="s" s="55" r="H36">
        <v>39</v>
      </c>
      <c t="s" s="55" r="I36">
        <v>39</v>
      </c>
      <c t="s" s="55" r="J36">
        <v>39</v>
      </c>
      <c t="s" s="55" r="K36">
        <v>39</v>
      </c>
      <c s="80" r="L36">
        <v>4.32</v>
      </c>
      <c s="79" r="M36">
        <v>0</v>
      </c>
      <c s="79" r="N36">
        <f>SUMIF(Sellables!$A$2:$A$11482, A36, Sellables!$E$2:$E$11482)</f>
        <v>129.21</v>
      </c>
      <c s="79" r="O36">
        <v>0</v>
      </c>
      <c s="32" r="P36">
        <f>SUMIF(Skills!$A$2:$A$9999, A36, Skills!$F$2:$F$9999)</f>
        <v>0</v>
      </c>
      <c s="20" r="Q36">
        <f>SUMIF(Sellables!A32:A11516, A36,Sellables!G32:G11516)+P36</f>
        <v>129.21</v>
      </c>
      <c s="17" r="R36">
        <f>E36+L36</f>
        <v>134.32</v>
      </c>
      <c s="63" r="S36">
        <f>Q36-R36</f>
        <v>-5.10999999999998</v>
      </c>
      <c s="39" r="T36">
        <f> (Q36/R36) - 1</f>
        <v>-0.03804347826087</v>
      </c>
      <c s="70" r="U36"/>
      <c s="70" r="V36"/>
      <c t="s" s="30" r="W36">
        <v>94</v>
      </c>
      <c s="30" r="X36">
        <v>0</v>
      </c>
      <c t="s" s="30" r="Y36">
        <v>95</v>
      </c>
      <c t="s" s="30" r="Z36">
        <v>65</v>
      </c>
      <c s="30" r="AA36">
        <v>0</v>
      </c>
      <c s="30" r="AB36">
        <v>0</v>
      </c>
      <c s="30" r="AC36">
        <v>0</v>
      </c>
      <c s="30" r="AD36">
        <v>0</v>
      </c>
      <c s="30" r="AE36"/>
      <c t="str" s="8" r="AF36">
        <f>(I36+J36)/R36</f>
        <v>#VALUE!:notNumber:NA</v>
      </c>
      <c t="str" s="28" r="AG36">
        <f>G36/$X36</f>
        <v>#DIV/0!:divZero</v>
      </c>
      <c t="str" s="28" r="AH36">
        <f>H36/$X36</f>
        <v>#DIV/0!:divZero</v>
      </c>
      <c t="str" s="28" r="AI36">
        <f>I36/$X36</f>
        <v>#DIV/0!:divZero</v>
      </c>
      <c t="str" s="28" r="AJ36">
        <f>J36/$X36</f>
        <v>#DIV/0!:divZero</v>
      </c>
      <c t="str" s="28" r="AK36">
        <f>K36/$X36</f>
        <v>#DIV/0!:divZero</v>
      </c>
      <c s="30" r="AL36">
        <v>1</v>
      </c>
    </row>
    <row r="37">
      <c s="30" r="A37">
        <v>36</v>
      </c>
      <c t="s" s="30" r="B37">
        <v>38</v>
      </c>
      <c s="62" r="C37">
        <v>41562</v>
      </c>
      <c s="52" r="D37">
        <v>41562.9270833333</v>
      </c>
      <c s="55" r="E37">
        <v>200</v>
      </c>
      <c s="55" r="F37"/>
      <c t="s" s="55" r="G37">
        <v>39</v>
      </c>
      <c t="s" s="55" r="H37">
        <v>39</v>
      </c>
      <c t="s" s="55" r="I37">
        <v>39</v>
      </c>
      <c t="s" s="55" r="J37">
        <v>39</v>
      </c>
      <c t="s" s="55" r="K37">
        <v>39</v>
      </c>
      <c s="80" r="L37">
        <v>34.24</v>
      </c>
      <c s="79" r="M37">
        <v>0</v>
      </c>
      <c s="79" r="N37">
        <f>SUMIF(Sellables!$A$2:$A$11482, A37, Sellables!$E$2:$E$11482)</f>
        <v>195.64</v>
      </c>
      <c s="79" r="O37">
        <v>0</v>
      </c>
      <c s="32" r="P37">
        <f>SUMIF(Skills!$A$2:$A$9999, A37, Skills!$F$2:$F$9999)</f>
        <v>0</v>
      </c>
      <c s="20" r="Q37">
        <f>SUMIF(Sellables!A33:A11517, A37,Sellables!G33:G11517)+P37</f>
        <v>195.64</v>
      </c>
      <c s="17" r="R37">
        <f>E37+L37</f>
        <v>234.24</v>
      </c>
      <c s="63" r="S37">
        <f>Q37-R37</f>
        <v>-38.6</v>
      </c>
      <c s="39" r="T37">
        <f> (Q37/R37) - 1</f>
        <v>-0.16478825136612</v>
      </c>
      <c s="70" r="U37"/>
      <c s="70" r="V37"/>
      <c t="s" s="30" r="W37">
        <v>96</v>
      </c>
      <c s="30" r="X37">
        <v>0</v>
      </c>
      <c t="s" s="30" r="Y37">
        <v>97</v>
      </c>
      <c t="s" s="30" r="Z37">
        <v>65</v>
      </c>
      <c s="30" r="AA37">
        <v>0</v>
      </c>
      <c s="30" r="AB37">
        <v>0</v>
      </c>
      <c s="30" r="AC37">
        <v>0</v>
      </c>
      <c s="30" r="AD37">
        <v>0</v>
      </c>
      <c s="30" r="AE37"/>
      <c t="str" s="8" r="AF37">
        <f>(I37+J37)/R37</f>
        <v>#VALUE!:notNumber:NA</v>
      </c>
      <c t="str" s="28" r="AG37">
        <f>G37/$X37</f>
        <v>#DIV/0!:divZero</v>
      </c>
      <c t="str" s="28" r="AH37">
        <f>H37/$X37</f>
        <v>#DIV/0!:divZero</v>
      </c>
      <c t="str" s="28" r="AI37">
        <f>I37/$X37</f>
        <v>#DIV/0!:divZero</v>
      </c>
      <c t="str" s="28" r="AJ37">
        <f>J37/$X37</f>
        <v>#DIV/0!:divZero</v>
      </c>
      <c t="str" s="28" r="AK37">
        <f>K37/$X37</f>
        <v>#DIV/0!:divZero</v>
      </c>
      <c s="30" r="AL37">
        <v>1</v>
      </c>
    </row>
    <row r="38">
      <c s="30" r="A38">
        <v>37</v>
      </c>
      <c t="s" s="30" r="B38">
        <v>55</v>
      </c>
      <c s="62" r="C38">
        <v>41562</v>
      </c>
      <c s="52" r="D38">
        <v>41562.9479166667</v>
      </c>
      <c s="55" r="E38">
        <f>163*0.61</f>
        <v>99.43</v>
      </c>
      <c s="55" r="F38"/>
      <c t="s" s="55" r="G38">
        <v>39</v>
      </c>
      <c t="s" s="55" r="H38">
        <v>39</v>
      </c>
      <c t="s" s="55" r="I38">
        <v>39</v>
      </c>
      <c t="s" s="55" r="J38">
        <v>39</v>
      </c>
      <c t="s" s="55" r="K38">
        <v>39</v>
      </c>
      <c s="80" r="L38">
        <v>0</v>
      </c>
      <c s="79" r="M38">
        <v>0</v>
      </c>
      <c s="79" r="N38">
        <v>107.67</v>
      </c>
      <c s="79" r="O38">
        <v>0</v>
      </c>
      <c s="32" r="P38">
        <f>SUMIF(Skills!$A$2:$A$9999, A38, Skills!$F$2:$F$9999)</f>
        <v>0</v>
      </c>
      <c s="20" r="Q38">
        <f>SUMIF(Sellables!A34:A11518, A38,Sellables!G34:G11518)+P38</f>
        <v>0</v>
      </c>
      <c s="17" r="R38">
        <f>E38+L38</f>
        <v>99.43</v>
      </c>
      <c s="63" r="S38">
        <f>Q38-R38</f>
        <v>-99.43</v>
      </c>
      <c s="39" r="T38">
        <f> (Q38/R38) - 1</f>
        <v>-1</v>
      </c>
      <c s="70" r="U38"/>
      <c s="70" r="V38"/>
      <c t="s" s="30" r="W38">
        <v>98</v>
      </c>
      <c s="30" r="X38">
        <v>0</v>
      </c>
      <c t="s" s="30" r="Y38">
        <v>87</v>
      </c>
      <c t="s" s="30" r="Z38">
        <v>65</v>
      </c>
      <c s="30" r="AA38">
        <v>0</v>
      </c>
      <c s="30" r="AB38">
        <v>0</v>
      </c>
      <c s="30" r="AC38">
        <v>0</v>
      </c>
      <c s="30" r="AD38">
        <v>0</v>
      </c>
      <c s="30" r="AE38"/>
      <c t="str" s="8" r="AF38">
        <f>(I38+J38)/R38</f>
        <v>#VALUE!:notNumber:NA</v>
      </c>
      <c t="str" s="28" r="AG38">
        <f>G38/$X38</f>
        <v>#DIV/0!:divZero</v>
      </c>
      <c t="str" s="28" r="AH38">
        <f>H38/$X38</f>
        <v>#DIV/0!:divZero</v>
      </c>
      <c t="str" s="28" r="AI38">
        <f>I38/$X38</f>
        <v>#DIV/0!:divZero</v>
      </c>
      <c t="str" s="28" r="AJ38">
        <f>J38/$X38</f>
        <v>#DIV/0!:divZero</v>
      </c>
      <c t="str" s="28" r="AK38">
        <f>K38/$X38</f>
        <v>#DIV/0!:divZero</v>
      </c>
      <c s="30" r="AL38">
        <v>1</v>
      </c>
    </row>
    <row r="39">
      <c s="30" r="A39">
        <v>38</v>
      </c>
      <c t="s" s="30" r="B39">
        <v>38</v>
      </c>
      <c s="62" r="C39">
        <v>41563</v>
      </c>
      <c s="52" r="D39">
        <v>41563</v>
      </c>
      <c s="55" r="E39">
        <v>200</v>
      </c>
      <c s="55" r="F39"/>
      <c t="s" s="55" r="G39">
        <v>39</v>
      </c>
      <c t="s" s="55" r="H39">
        <v>39</v>
      </c>
      <c t="s" s="55" r="I39">
        <v>39</v>
      </c>
      <c t="s" s="55" r="J39">
        <v>39</v>
      </c>
      <c t="s" s="55" r="K39">
        <v>39</v>
      </c>
      <c s="80" r="L39">
        <v>24.23</v>
      </c>
      <c s="79" r="M39">
        <v>0</v>
      </c>
      <c s="79" r="N39">
        <f>SUMIF(Sellables!$A$2:$A$11482, A39, Sellables!$E$2:$E$11482)</f>
        <v>169.98</v>
      </c>
      <c s="79" r="O39">
        <v>0</v>
      </c>
      <c s="32" r="P39">
        <f>SUMIF(Skills!$A$2:$A$9999, A39, Skills!$F$2:$F$9999)</f>
        <v>0</v>
      </c>
      <c s="20" r="Q39">
        <f>SUMIF(Sellables!A35:A11519, A39,Sellables!G35:G11519)+P39</f>
        <v>184.00584</v>
      </c>
      <c s="17" r="R39">
        <f>E39+L39</f>
        <v>224.23</v>
      </c>
      <c s="63" r="S39">
        <f>Q39-R39</f>
        <v>-40.22416</v>
      </c>
      <c s="39" r="T39">
        <f> (Q39/R39) - 1</f>
        <v>-0.179387949872898</v>
      </c>
      <c s="70" r="U39"/>
      <c s="70" r="V39"/>
      <c t="s" s="30" r="W39">
        <v>99</v>
      </c>
      <c s="30" r="X39">
        <v>0</v>
      </c>
      <c t="s" s="30" r="Y39">
        <v>41</v>
      </c>
      <c t="s" s="30" r="Z39">
        <v>42</v>
      </c>
      <c s="30" r="AA39">
        <v>0</v>
      </c>
      <c s="30" r="AB39">
        <v>0</v>
      </c>
      <c s="30" r="AC39">
        <v>0</v>
      </c>
      <c s="30" r="AD39">
        <v>0</v>
      </c>
      <c s="30" r="AE39"/>
      <c t="str" s="8" r="AF39">
        <f>(I39+J39)/R39</f>
        <v>#VALUE!:notNumber:NA</v>
      </c>
      <c t="str" s="28" r="AG39">
        <f>G39/$X39</f>
        <v>#DIV/0!:divZero</v>
      </c>
      <c t="str" s="28" r="AH39">
        <f>H39/$X39</f>
        <v>#DIV/0!:divZero</v>
      </c>
      <c t="str" s="28" r="AI39">
        <f>I39/$X39</f>
        <v>#DIV/0!:divZero</v>
      </c>
      <c t="str" s="28" r="AJ39">
        <f>J39/$X39</f>
        <v>#DIV/0!:divZero</v>
      </c>
      <c t="str" s="28" r="AK39">
        <f>K39/$X39</f>
        <v>#DIV/0!:divZero</v>
      </c>
      <c s="30" r="AL39">
        <v>1</v>
      </c>
    </row>
    <row r="40">
      <c s="30" r="A40">
        <v>39</v>
      </c>
      <c t="s" s="30" r="B40">
        <v>38</v>
      </c>
      <c s="62" r="C40">
        <v>41563</v>
      </c>
      <c s="52" r="D40">
        <v>41563.6666666667</v>
      </c>
      <c s="55" r="E40">
        <v>200</v>
      </c>
      <c s="55" r="F40"/>
      <c t="s" s="55" r="G40">
        <v>39</v>
      </c>
      <c t="s" s="55" r="H40">
        <v>39</v>
      </c>
      <c t="s" s="55" r="I40">
        <v>39</v>
      </c>
      <c t="s" s="55" r="J40">
        <v>39</v>
      </c>
      <c t="s" s="55" r="K40">
        <v>39</v>
      </c>
      <c s="80" r="L40">
        <v>16.38</v>
      </c>
      <c s="79" r="M40">
        <v>0</v>
      </c>
      <c s="79" r="N40">
        <f>SUMIF(Sellables!$A$2:$A$11482, A40, Sellables!$E$2:$E$11482)</f>
        <v>166.89</v>
      </c>
      <c s="79" r="O40">
        <v>0</v>
      </c>
      <c s="32" r="P40">
        <f>SUMIF(Skills!$A$2:$A$9999, A40, Skills!$F$2:$F$9999)</f>
        <v>0</v>
      </c>
      <c s="20" r="Q40">
        <f>SUMIF(Sellables!A36:A11520, A40,Sellables!G36:G11520)+P40</f>
        <v>166.89</v>
      </c>
      <c s="17" r="R40">
        <f>E40+L40</f>
        <v>216.38</v>
      </c>
      <c s="63" r="S40">
        <f>Q40-R40</f>
        <v>-49.49</v>
      </c>
      <c s="39" r="T40">
        <f> (Q40/R40) - 1</f>
        <v>-0.228717996117941</v>
      </c>
      <c s="70" r="U40"/>
      <c s="70" r="V40"/>
      <c t="s" s="30" r="W40">
        <v>100</v>
      </c>
      <c s="30" r="X40">
        <v>0</v>
      </c>
      <c t="s" s="30" r="Y40">
        <v>101</v>
      </c>
      <c t="s" s="30" r="Z40">
        <v>42</v>
      </c>
      <c s="30" r="AA40">
        <v>0</v>
      </c>
      <c s="30" r="AB40">
        <v>0</v>
      </c>
      <c s="30" r="AC40">
        <v>0</v>
      </c>
      <c s="30" r="AD40">
        <v>0</v>
      </c>
      <c s="30" r="AE40"/>
      <c t="str" s="8" r="AF40">
        <f>(I40+J40)/R40</f>
        <v>#VALUE!:notNumber:NA</v>
      </c>
      <c t="str" s="28" r="AG40">
        <f>G40/$X40</f>
        <v>#DIV/0!:divZero</v>
      </c>
      <c t="str" s="28" r="AH40">
        <f>H40/$X40</f>
        <v>#DIV/0!:divZero</v>
      </c>
      <c t="str" s="28" r="AI40">
        <f>I40/$X40</f>
        <v>#DIV/0!:divZero</v>
      </c>
      <c t="str" s="28" r="AJ40">
        <f>J40/$X40</f>
        <v>#DIV/0!:divZero</v>
      </c>
      <c t="str" s="28" r="AK40">
        <f>K40/$X40</f>
        <v>#DIV/0!:divZero</v>
      </c>
      <c s="30" r="AL40">
        <v>1</v>
      </c>
    </row>
    <row r="41">
      <c s="30" r="A41">
        <v>40</v>
      </c>
      <c t="s" s="30" r="B41">
        <v>38</v>
      </c>
      <c s="62" r="C41">
        <v>41563</v>
      </c>
      <c s="52" r="D41">
        <v>41563.6666666667</v>
      </c>
      <c s="55" r="E41">
        <v>200</v>
      </c>
      <c s="55" r="F41"/>
      <c t="s" s="55" r="G41">
        <v>39</v>
      </c>
      <c t="s" s="55" r="H41">
        <v>39</v>
      </c>
      <c t="s" s="55" r="I41">
        <v>39</v>
      </c>
      <c t="s" s="55" r="J41">
        <v>39</v>
      </c>
      <c t="s" s="55" r="K41">
        <v>39</v>
      </c>
      <c s="80" r="L41">
        <v>26.31</v>
      </c>
      <c s="79" r="M41">
        <v>0</v>
      </c>
      <c s="79" r="N41">
        <f>SUMIF(Sellables!$A$2:$A$11482, A41, Sellables!$E$2:$E$11482)</f>
        <v>177.97</v>
      </c>
      <c s="79" r="O41">
        <v>0</v>
      </c>
      <c s="32" r="P41">
        <f>SUMIF(Skills!$A$2:$A$9999, A41, Skills!$F$2:$F$9999)</f>
        <v>0</v>
      </c>
      <c s="20" r="Q41">
        <f>SUMIF(Sellables!A37:A11521, A41,Sellables!G37:G11521)+P41</f>
        <v>189.97936</v>
      </c>
      <c s="17" r="R41">
        <f>E41+L41</f>
        <v>226.31</v>
      </c>
      <c s="63" r="S41">
        <f>Q41-R41</f>
        <v>-36.33064</v>
      </c>
      <c s="39" r="T41">
        <f> (Q41/R41) - 1</f>
        <v>-0.160534841588971</v>
      </c>
      <c s="70" r="U41"/>
      <c s="70" r="V41"/>
      <c t="s" s="30" r="W41">
        <v>99</v>
      </c>
      <c s="30" r="X41">
        <v>0</v>
      </c>
      <c t="s" s="30" r="Y41">
        <v>41</v>
      </c>
      <c t="s" s="30" r="Z41">
        <v>42</v>
      </c>
      <c s="30" r="AA41">
        <v>0</v>
      </c>
      <c s="30" r="AB41">
        <v>0</v>
      </c>
      <c s="30" r="AC41">
        <v>0</v>
      </c>
      <c s="30" r="AD41">
        <v>0</v>
      </c>
      <c s="30" r="AE41"/>
      <c t="str" s="8" r="AF41">
        <f>(I41+J41)/R41</f>
        <v>#VALUE!:notNumber:NA</v>
      </c>
      <c t="str" s="28" r="AG41">
        <f>G41/$X41</f>
        <v>#DIV/0!:divZero</v>
      </c>
      <c t="str" s="28" r="AH41">
        <f>H41/$X41</f>
        <v>#DIV/0!:divZero</v>
      </c>
      <c t="str" s="28" r="AI41">
        <f>I41/$X41</f>
        <v>#DIV/0!:divZero</v>
      </c>
      <c t="str" s="28" r="AJ41">
        <f>J41/$X41</f>
        <v>#DIV/0!:divZero</v>
      </c>
      <c t="str" s="28" r="AK41">
        <f>K41/$X41</f>
        <v>#DIV/0!:divZero</v>
      </c>
      <c s="30" r="AL41">
        <v>1</v>
      </c>
    </row>
    <row r="42">
      <c s="30" r="A42">
        <v>41</v>
      </c>
      <c t="s" s="30" r="B42">
        <v>38</v>
      </c>
      <c s="62" r="C42">
        <v>41563</v>
      </c>
      <c s="52" r="D42">
        <v>41563.6666666667</v>
      </c>
      <c s="55" r="E42">
        <v>250</v>
      </c>
      <c s="55" r="F42"/>
      <c t="s" s="55" r="G42">
        <v>39</v>
      </c>
      <c t="s" s="55" r="H42">
        <v>39</v>
      </c>
      <c t="s" s="55" r="I42">
        <v>39</v>
      </c>
      <c t="s" s="55" r="J42">
        <v>39</v>
      </c>
      <c t="s" s="55" r="K42">
        <v>39</v>
      </c>
      <c s="80" r="L42">
        <v>37.84</v>
      </c>
      <c s="79" r="M42">
        <v>0</v>
      </c>
      <c s="79" r="N42">
        <f>SUMIF(Sellables!$A$2:$A$11482, A42, Sellables!$E$2:$E$11482)</f>
        <v>247.53</v>
      </c>
      <c s="79" r="O42">
        <v>0</v>
      </c>
      <c s="32" r="P42">
        <f>SUMIF(Skills!$A$2:$A$9999, A42, Skills!$F$2:$F$9999)</f>
        <v>19.931094</v>
      </c>
      <c s="20" r="Q42">
        <f>SUMIF(Sellables!A38:A11522, A42,Sellables!G38:G11522)+P42</f>
        <v>270.873654</v>
      </c>
      <c s="17" r="R42">
        <f>E42+L42</f>
        <v>287.84</v>
      </c>
      <c s="63" r="S42">
        <f>Q42-R42</f>
        <v>-16.966346</v>
      </c>
      <c s="39" r="T42">
        <f> (Q42/R42) - 1</f>
        <v>-0.058943670094497</v>
      </c>
      <c s="70" r="U42"/>
      <c s="70" r="V42"/>
      <c t="s" s="30" r="W42">
        <v>102</v>
      </c>
      <c s="30" r="X42">
        <v>0</v>
      </c>
      <c t="s" s="30" r="Y42">
        <v>101</v>
      </c>
      <c t="s" s="30" r="Z42">
        <v>42</v>
      </c>
      <c s="30" r="AA42">
        <v>0</v>
      </c>
      <c s="30" r="AB42">
        <v>0</v>
      </c>
      <c s="30" r="AC42">
        <v>1</v>
      </c>
      <c s="30" r="AD42">
        <v>0</v>
      </c>
      <c s="30" r="AE42"/>
      <c t="str" s="8" r="AF42">
        <f>(I42+J42)/R42</f>
        <v>#VALUE!:notNumber:NA</v>
      </c>
      <c t="str" s="28" r="AG42">
        <f>G42/$X42</f>
        <v>#DIV/0!:divZero</v>
      </c>
      <c t="str" s="28" r="AH42">
        <f>H42/$X42</f>
        <v>#DIV/0!:divZero</v>
      </c>
      <c t="str" s="28" r="AI42">
        <f>I42/$X42</f>
        <v>#DIV/0!:divZero</v>
      </c>
      <c t="str" s="28" r="AJ42">
        <f>J42/$X42</f>
        <v>#DIV/0!:divZero</v>
      </c>
      <c t="str" s="28" r="AK42">
        <f>K42/$X42</f>
        <v>#DIV/0!:divZero</v>
      </c>
      <c s="30" r="AL42">
        <v>1</v>
      </c>
    </row>
    <row r="43">
      <c s="30" r="A43">
        <v>42</v>
      </c>
      <c t="s" s="30" r="B43">
        <v>55</v>
      </c>
      <c s="62" r="C43">
        <v>41563</v>
      </c>
      <c s="52" r="D43">
        <v>41563.6666666667</v>
      </c>
      <c s="55" r="E43">
        <f>548*0.21</f>
        <v>115.08</v>
      </c>
      <c s="55" r="F43"/>
      <c t="s" s="55" r="G43">
        <v>39</v>
      </c>
      <c t="s" s="55" r="H43">
        <v>39</v>
      </c>
      <c t="s" s="55" r="I43">
        <v>39</v>
      </c>
      <c t="s" s="55" r="J43">
        <v>39</v>
      </c>
      <c t="s" s="55" r="K43">
        <v>39</v>
      </c>
      <c s="80" r="L43">
        <v>0</v>
      </c>
      <c s="79" r="M43">
        <v>0</v>
      </c>
      <c s="79" r="N43">
        <f>103.33-40.80</f>
        <v>62.53</v>
      </c>
      <c s="79" r="O43">
        <v>0</v>
      </c>
      <c s="32" r="P43">
        <f>SUMIF(Skills!$A$2:$A$9999, A43, Skills!$F$2:$F$9999)</f>
        <v>0</v>
      </c>
      <c s="20" r="Q43">
        <f>(SUMIF(Sellables!A39:A11523, A43,Sellables!G39:G11523)+P43)+N43</f>
        <v>107.94</v>
      </c>
      <c s="17" r="R43">
        <f>E43+L43</f>
        <v>115.08</v>
      </c>
      <c s="63" r="S43">
        <f>Q43-R43</f>
        <v>-7.14</v>
      </c>
      <c s="39" r="T43">
        <f> (Q43/R43) - 1</f>
        <v>-0.062043795620438</v>
      </c>
      <c s="70" r="U43"/>
      <c s="70" r="V43"/>
      <c t="s" s="30" r="W43">
        <v>103</v>
      </c>
      <c s="30" r="X43">
        <v>0</v>
      </c>
      <c t="s" s="30" r="Y43">
        <v>104</v>
      </c>
      <c t="s" s="30" r="Z43">
        <v>42</v>
      </c>
      <c s="30" r="AA43">
        <v>0</v>
      </c>
      <c s="30" r="AB43">
        <v>0</v>
      </c>
      <c s="30" r="AC43">
        <v>0</v>
      </c>
      <c s="30" r="AD43">
        <v>0</v>
      </c>
      <c s="30" r="AE43"/>
      <c t="str" s="8" r="AF43">
        <f>(I43+J43)/R43</f>
        <v>#VALUE!:notNumber:NA</v>
      </c>
      <c t="str" s="28" r="AG43">
        <f>G43/$X43</f>
        <v>#DIV/0!:divZero</v>
      </c>
      <c t="str" s="28" r="AH43">
        <f>H43/$X43</f>
        <v>#DIV/0!:divZero</v>
      </c>
      <c t="str" s="28" r="AI43">
        <f>I43/$X43</f>
        <v>#DIV/0!:divZero</v>
      </c>
      <c t="str" s="28" r="AJ43">
        <f>J43/$X43</f>
        <v>#DIV/0!:divZero</v>
      </c>
      <c t="str" s="28" r="AK43">
        <f>K43/$X43</f>
        <v>#DIV/0!:divZero</v>
      </c>
      <c s="30" r="AL43">
        <v>1</v>
      </c>
    </row>
    <row r="44">
      <c s="30" r="A44">
        <v>43</v>
      </c>
      <c t="s" s="30" r="B44">
        <v>55</v>
      </c>
      <c s="62" r="C44">
        <v>41563</v>
      </c>
      <c s="52" r="D44">
        <v>41563.6666666667</v>
      </c>
      <c s="55" r="E44">
        <f>108*0.7</f>
        <v>75.6</v>
      </c>
      <c s="55" r="F44"/>
      <c t="s" s="55" r="G44">
        <v>39</v>
      </c>
      <c t="s" s="55" r="H44">
        <v>39</v>
      </c>
      <c t="s" s="55" r="I44">
        <v>39</v>
      </c>
      <c t="s" s="55" r="J44">
        <v>39</v>
      </c>
      <c t="s" s="55" r="K44">
        <v>39</v>
      </c>
      <c s="80" r="L44">
        <v>0</v>
      </c>
      <c s="79" r="M44">
        <v>0</v>
      </c>
      <c s="79" r="N44">
        <v>68.26</v>
      </c>
      <c s="79" r="O44">
        <v>0</v>
      </c>
      <c s="32" r="P44">
        <f>SUMIF(Skills!$A$2:$A$9999, A44, Skills!$F$2:$F$9999)</f>
        <v>0</v>
      </c>
      <c s="20" r="Q44">
        <f>(SUMIF(Sellables!A40:A11524, A44,Sellables!G40:G11524)+P44)+N44</f>
        <v>68.26</v>
      </c>
      <c s="17" r="R44">
        <f>E44+L44</f>
        <v>75.6</v>
      </c>
      <c s="63" r="S44">
        <f>Q44-R44</f>
        <v>-7.33999999999999</v>
      </c>
      <c s="39" r="T44">
        <f> (Q44/R44) - 1</f>
        <v>-0.097089947089947</v>
      </c>
      <c s="70" r="U44"/>
      <c s="70" r="V44"/>
      <c t="s" s="30" r="W44">
        <v>56</v>
      </c>
      <c s="30" r="X44">
        <v>0</v>
      </c>
      <c t="s" s="30" r="Y44">
        <v>104</v>
      </c>
      <c t="s" s="30" r="Z44">
        <v>42</v>
      </c>
      <c s="30" r="AA44">
        <v>0</v>
      </c>
      <c s="30" r="AB44">
        <v>0</v>
      </c>
      <c s="30" r="AC44">
        <v>0</v>
      </c>
      <c s="30" r="AD44">
        <v>0</v>
      </c>
      <c s="30" r="AE44"/>
      <c t="str" s="8" r="AF44">
        <f>(I44+J44)/R44</f>
        <v>#VALUE!:notNumber:NA</v>
      </c>
      <c t="str" s="28" r="AG44">
        <f>G44/$X44</f>
        <v>#DIV/0!:divZero</v>
      </c>
      <c t="str" s="28" r="AH44">
        <f>H44/$X44</f>
        <v>#DIV/0!:divZero</v>
      </c>
      <c t="str" s="28" r="AI44">
        <f>I44/$X44</f>
        <v>#DIV/0!:divZero</v>
      </c>
      <c t="str" s="28" r="AJ44">
        <f>J44/$X44</f>
        <v>#DIV/0!:divZero</v>
      </c>
      <c t="str" s="28" r="AK44">
        <f>K44/$X44</f>
        <v>#DIV/0!:divZero</v>
      </c>
      <c s="30" r="AL44">
        <v>1</v>
      </c>
    </row>
    <row r="45">
      <c s="30" r="A45">
        <v>44</v>
      </c>
      <c t="s" s="30" r="B45">
        <v>55</v>
      </c>
      <c s="62" r="C45">
        <v>41563</v>
      </c>
      <c s="52" r="D45">
        <v>41563.6666666667</v>
      </c>
      <c s="55" r="E45">
        <f>28*2.4</f>
        <v>67.2</v>
      </c>
      <c s="55" r="F45"/>
      <c t="s" s="55" r="G45">
        <v>39</v>
      </c>
      <c t="s" s="55" r="H45">
        <v>39</v>
      </c>
      <c t="s" s="55" r="I45">
        <v>39</v>
      </c>
      <c t="s" s="55" r="J45">
        <v>39</v>
      </c>
      <c t="s" s="55" r="K45">
        <v>39</v>
      </c>
      <c s="80" r="L45">
        <v>0</v>
      </c>
      <c s="79" r="M45">
        <v>0</v>
      </c>
      <c s="79" r="N45">
        <f>60.20-27.95</f>
        <v>32.25</v>
      </c>
      <c s="79" r="O45">
        <v>0</v>
      </c>
      <c s="32" r="P45">
        <f>SUMIF(Skills!$A$2:$A$9999, A45, Skills!$F$2:$F$9999)</f>
        <v>0</v>
      </c>
      <c s="20" r="Q45">
        <f>(SUMIF(Sellables!A41:A11525, A45,Sellables!G41:G11525)+P45)+N45</f>
        <v>62.7</v>
      </c>
      <c s="17" r="R45">
        <f>E45+L45</f>
        <v>67.2</v>
      </c>
      <c s="63" r="S45">
        <f>Q45-R45</f>
        <v>-4.5</v>
      </c>
      <c s="39" r="T45">
        <f> (Q45/R45) - 1</f>
        <v>-0.066964285714286</v>
      </c>
      <c s="70" r="U45"/>
      <c s="70" r="V45"/>
      <c t="s" s="30" r="W45">
        <v>88</v>
      </c>
      <c s="30" r="X45">
        <v>0</v>
      </c>
      <c t="s" s="30" r="Y45">
        <v>104</v>
      </c>
      <c t="s" s="30" r="Z45">
        <v>42</v>
      </c>
      <c s="30" r="AA45">
        <v>0</v>
      </c>
      <c s="30" r="AB45">
        <v>0</v>
      </c>
      <c s="30" r="AC45">
        <v>0</v>
      </c>
      <c s="30" r="AD45">
        <v>0</v>
      </c>
      <c s="30" r="AE45"/>
      <c t="str" s="8" r="AF45">
        <f>(I45+J45)/R45</f>
        <v>#VALUE!:notNumber:NA</v>
      </c>
      <c t="str" s="28" r="AG45">
        <f>G45/$X45</f>
        <v>#DIV/0!:divZero</v>
      </c>
      <c t="str" s="28" r="AH45">
        <f>H45/$X45</f>
        <v>#DIV/0!:divZero</v>
      </c>
      <c t="str" s="28" r="AI45">
        <f>I45/$X45</f>
        <v>#DIV/0!:divZero</v>
      </c>
      <c t="str" s="28" r="AJ45">
        <f>J45/$X45</f>
        <v>#DIV/0!:divZero</v>
      </c>
      <c t="str" s="28" r="AK45">
        <f>K45/$X45</f>
        <v>#DIV/0!:divZero</v>
      </c>
      <c s="30" r="AL45">
        <v>1</v>
      </c>
    </row>
    <row r="46">
      <c s="30" r="A46">
        <v>45</v>
      </c>
      <c t="s" s="30" r="B46">
        <v>55</v>
      </c>
      <c s="62" r="C46">
        <v>41563</v>
      </c>
      <c s="52" r="D46">
        <v>41563.6666666667</v>
      </c>
      <c s="55" r="E46">
        <f>131*0.07</f>
        <v>9.17</v>
      </c>
      <c s="55" r="F46"/>
      <c t="s" s="55" r="G46">
        <v>39</v>
      </c>
      <c t="s" s="55" r="H46">
        <v>39</v>
      </c>
      <c t="s" s="55" r="I46">
        <v>39</v>
      </c>
      <c t="s" s="55" r="J46">
        <v>39</v>
      </c>
      <c t="s" s="55" r="K46">
        <v>39</v>
      </c>
      <c s="80" r="L46">
        <v>0</v>
      </c>
      <c s="79" r="M46">
        <v>0</v>
      </c>
      <c s="79" r="N46">
        <v>12.31</v>
      </c>
      <c s="79" r="O46">
        <v>0</v>
      </c>
      <c s="32" r="P46">
        <f>SUMIF(Skills!$A$2:$A$9999, A46, Skills!$F$2:$F$9999)</f>
        <v>0</v>
      </c>
      <c s="20" r="Q46">
        <f>(SUMIF(Sellables!A42:A11526, A46,Sellables!G42:G11526)+P46)+N46</f>
        <v>12.31</v>
      </c>
      <c s="17" r="R46">
        <f>E46+L46</f>
        <v>9.17</v>
      </c>
      <c s="63" r="S46">
        <f>Q46-R46</f>
        <v>3.14</v>
      </c>
      <c s="39" r="T46">
        <f> (Q46/R46) - 1</f>
        <v>0.342420937840785</v>
      </c>
      <c s="70" r="U46"/>
      <c s="70" r="V46"/>
      <c t="s" s="30" r="W46">
        <v>105</v>
      </c>
      <c s="30" r="X46">
        <v>0</v>
      </c>
      <c t="s" s="30" r="Y46">
        <v>104</v>
      </c>
      <c t="s" s="30" r="Z46">
        <v>42</v>
      </c>
      <c s="30" r="AA46">
        <v>0</v>
      </c>
      <c s="30" r="AB46">
        <v>0</v>
      </c>
      <c s="30" r="AC46">
        <v>0</v>
      </c>
      <c s="30" r="AD46">
        <v>0</v>
      </c>
      <c s="30" r="AE46"/>
      <c t="str" s="8" r="AF46">
        <f>(I46+J46)/R46</f>
        <v>#VALUE!:notNumber:NA</v>
      </c>
      <c t="str" s="28" r="AG46">
        <f>G46/$X46</f>
        <v>#DIV/0!:divZero</v>
      </c>
      <c t="str" s="28" r="AH46">
        <f>H46/$X46</f>
        <v>#DIV/0!:divZero</v>
      </c>
      <c t="str" s="28" r="AI46">
        <f>I46/$X46</f>
        <v>#DIV/0!:divZero</v>
      </c>
      <c t="str" s="28" r="AJ46">
        <f>J46/$X46</f>
        <v>#DIV/0!:divZero</v>
      </c>
      <c t="str" s="28" r="AK46">
        <f>K46/$X46</f>
        <v>#DIV/0!:divZero</v>
      </c>
      <c s="30" r="AL46">
        <v>1</v>
      </c>
    </row>
    <row r="47">
      <c s="30" r="A47">
        <v>46</v>
      </c>
      <c t="s" s="30" r="B47">
        <v>38</v>
      </c>
      <c s="62" r="C47">
        <v>41563</v>
      </c>
      <c s="52" r="D47">
        <v>41563.6666666667</v>
      </c>
      <c s="55" r="E47">
        <v>200</v>
      </c>
      <c s="55" r="F47"/>
      <c t="s" s="55" r="G47">
        <v>39</v>
      </c>
      <c t="s" s="55" r="H47">
        <v>39</v>
      </c>
      <c t="s" s="55" r="I47">
        <v>39</v>
      </c>
      <c t="s" s="55" r="J47">
        <v>39</v>
      </c>
      <c t="s" s="55" r="K47">
        <v>39</v>
      </c>
      <c s="80" r="L47">
        <v>11.24</v>
      </c>
      <c s="79" r="M47">
        <v>0</v>
      </c>
      <c s="79" r="N47">
        <f>SUMIF(Sellables!$A$2:$A$11482, A47, Sellables!$E$2:$E$11482)</f>
        <v>250.75</v>
      </c>
      <c s="79" r="O47">
        <v>0</v>
      </c>
      <c s="32" r="P47">
        <f>SUMIF(Skills!$A$2:$A$9999, A47, Skills!$F$2:$F$9999)</f>
        <v>5.17734</v>
      </c>
      <c s="20" r="Q47">
        <f>SUMIF(Sellables!A43:A11527, A47,Sellables!G43:G11527)+P47</f>
        <v>255.92734</v>
      </c>
      <c s="17" r="R47">
        <f>E47+L47</f>
        <v>211.24</v>
      </c>
      <c s="63" r="S47">
        <f>Q47-R47</f>
        <v>44.68734</v>
      </c>
      <c s="39" r="T47">
        <f> (Q47/R47) - 1</f>
        <v>0.211547718235183</v>
      </c>
      <c s="70" r="U47"/>
      <c s="70" r="V47"/>
      <c t="s" s="30" r="W47">
        <v>43</v>
      </c>
      <c s="30" r="X47">
        <v>0</v>
      </c>
      <c t="s" s="30" r="Y47">
        <v>44</v>
      </c>
      <c t="s" s="30" r="Z47">
        <v>42</v>
      </c>
      <c s="30" r="AA47">
        <v>0</v>
      </c>
      <c s="30" r="AB47">
        <v>0</v>
      </c>
      <c s="30" r="AC47">
        <v>0</v>
      </c>
      <c s="30" r="AD47">
        <v>0</v>
      </c>
      <c s="30" r="AE47"/>
      <c t="str" s="8" r="AF47">
        <f>(I47+J47)/R47</f>
        <v>#VALUE!:notNumber:NA</v>
      </c>
      <c t="str" s="28" r="AG47">
        <f>G47/$X47</f>
        <v>#DIV/0!:divZero</v>
      </c>
      <c t="str" s="28" r="AH47">
        <f>H47/$X47</f>
        <v>#DIV/0!:divZero</v>
      </c>
      <c t="str" s="28" r="AI47">
        <f>I47/$X47</f>
        <v>#DIV/0!:divZero</v>
      </c>
      <c t="str" s="28" r="AJ47">
        <f>J47/$X47</f>
        <v>#DIV/0!:divZero</v>
      </c>
      <c t="str" s="28" r="AK47">
        <f>K47/$X47</f>
        <v>#DIV/0!:divZero</v>
      </c>
      <c s="30" r="AL47">
        <v>1</v>
      </c>
    </row>
    <row r="48">
      <c s="30" r="A48">
        <v>47</v>
      </c>
      <c t="s" s="30" r="B48">
        <v>38</v>
      </c>
      <c s="62" r="C48">
        <v>41563</v>
      </c>
      <c s="52" r="D48">
        <v>41563.9166666667</v>
      </c>
      <c s="55" r="E48">
        <v>200</v>
      </c>
      <c s="55" r="F48"/>
      <c t="s" s="55" r="G48">
        <v>39</v>
      </c>
      <c t="s" s="55" r="H48">
        <v>39</v>
      </c>
      <c t="s" s="55" r="I48">
        <v>39</v>
      </c>
      <c t="s" s="55" r="J48">
        <v>39</v>
      </c>
      <c t="s" s="55" r="K48">
        <v>39</v>
      </c>
      <c s="80" r="L48">
        <v>24.8</v>
      </c>
      <c s="79" r="M48">
        <v>0</v>
      </c>
      <c s="79" r="N48">
        <f>SUMIF(Sellables!$A$2:$A$11482, A48, Sellables!$E$2:$E$11482)</f>
        <v>155.71</v>
      </c>
      <c s="79" r="O48">
        <v>0</v>
      </c>
      <c s="32" r="P48">
        <f>SUMIF(Skills!$A$2:$A$9999, A48, Skills!$F$2:$F$9999)</f>
        <v>0</v>
      </c>
      <c s="20" r="Q48">
        <f>SUMIF(Sellables!A44:A11528, A48,Sellables!G44:G11528)+P48</f>
        <v>155.71</v>
      </c>
      <c s="17" r="R48">
        <f>E48+L48</f>
        <v>224.8</v>
      </c>
      <c s="63" r="S48">
        <f>Q48-R48</f>
        <v>-69.09</v>
      </c>
      <c s="39" r="T48">
        <f> (Q48/R48) - 1</f>
        <v>-0.307339857651246</v>
      </c>
      <c s="70" r="U48"/>
      <c s="70" r="V48"/>
      <c t="s" s="30" r="W48">
        <v>106</v>
      </c>
      <c s="30" r="X48">
        <v>0</v>
      </c>
      <c t="s" s="30" r="Y48">
        <v>107</v>
      </c>
      <c t="s" s="30" r="Z48">
        <v>42</v>
      </c>
      <c s="30" r="AA48">
        <v>0</v>
      </c>
      <c s="30" r="AB48">
        <v>0</v>
      </c>
      <c s="30" r="AC48">
        <v>0</v>
      </c>
      <c s="30" r="AD48">
        <v>0</v>
      </c>
      <c s="30" r="AE48"/>
      <c t="str" s="8" r="AF48">
        <f>(I48+J48)/R48</f>
        <v>#VALUE!:notNumber:NA</v>
      </c>
      <c t="str" s="28" r="AG48">
        <f>G48/$X48</f>
        <v>#DIV/0!:divZero</v>
      </c>
      <c t="str" s="28" r="AH48">
        <f>H48/$X48</f>
        <v>#DIV/0!:divZero</v>
      </c>
      <c t="str" s="28" r="AI48">
        <f>I48/$X48</f>
        <v>#DIV/0!:divZero</v>
      </c>
      <c t="str" s="28" r="AJ48">
        <f>J48/$X48</f>
        <v>#DIV/0!:divZero</v>
      </c>
      <c t="str" s="28" r="AK48">
        <f>K48/$X48</f>
        <v>#DIV/0!:divZero</v>
      </c>
      <c s="30" r="AL48">
        <v>1</v>
      </c>
    </row>
    <row r="49">
      <c s="30" r="A49">
        <v>48</v>
      </c>
      <c t="s" s="30" r="B49">
        <v>93</v>
      </c>
      <c s="62" r="C49">
        <v>41563</v>
      </c>
      <c s="52" r="D49">
        <v>41563.9166666667</v>
      </c>
      <c s="55" r="E49">
        <v>50</v>
      </c>
      <c s="55" r="F49"/>
      <c t="s" s="55" r="G49">
        <v>39</v>
      </c>
      <c t="s" s="55" r="H49">
        <v>39</v>
      </c>
      <c t="s" s="55" r="I49">
        <v>39</v>
      </c>
      <c t="s" s="55" r="J49">
        <v>39</v>
      </c>
      <c t="s" s="55" r="K49">
        <v>39</v>
      </c>
      <c s="80" r="L49">
        <v>0</v>
      </c>
      <c s="79" r="M49">
        <v>0</v>
      </c>
      <c s="79" r="N49">
        <f>SUMIF(Sellables!$A$2:$A$11482, A49, Sellables!$E$2:$E$11482)</f>
        <v>46.3</v>
      </c>
      <c s="79" r="O49">
        <v>0</v>
      </c>
      <c s="32" r="P49">
        <f>SUMIF(Skills!$A$2:$A$9999, A49, Skills!$F$2:$F$9999)</f>
        <v>0</v>
      </c>
      <c s="20" r="Q49">
        <f>SUMIF(Sellables!A45:A11529, A49,Sellables!G45:G11529)+P49</f>
        <v>46.3</v>
      </c>
      <c s="17" r="R49">
        <f>E49+L49</f>
        <v>50</v>
      </c>
      <c s="63" r="S49">
        <f>Q49-R49</f>
        <v>-3.7</v>
      </c>
      <c s="39" r="T49">
        <f> (Q49/R49) - 1</f>
        <v>-0.074</v>
      </c>
      <c s="70" r="U49"/>
      <c s="70" r="V49"/>
      <c t="s" s="30" r="W49">
        <v>106</v>
      </c>
      <c s="30" r="X49">
        <v>0</v>
      </c>
      <c t="s" s="30" r="Y49">
        <v>107</v>
      </c>
      <c t="s" s="30" r="Z49">
        <v>42</v>
      </c>
      <c s="30" r="AA49">
        <v>0</v>
      </c>
      <c s="30" r="AB49">
        <v>0</v>
      </c>
      <c s="30" r="AC49">
        <v>0</v>
      </c>
      <c s="30" r="AD49">
        <v>0</v>
      </c>
      <c s="30" r="AE49"/>
      <c t="str" s="8" r="AF49">
        <f>(I49+J49)/R49</f>
        <v>#VALUE!:notNumber:NA</v>
      </c>
      <c t="str" s="28" r="AG49">
        <f>G49/$X49</f>
        <v>#DIV/0!:divZero</v>
      </c>
      <c t="str" s="28" r="AH49">
        <f>H49/$X49</f>
        <v>#DIV/0!:divZero</v>
      </c>
      <c t="str" s="28" r="AI49">
        <f>I49/$X49</f>
        <v>#DIV/0!:divZero</v>
      </c>
      <c t="str" s="28" r="AJ49">
        <f>J49/$X49</f>
        <v>#DIV/0!:divZero</v>
      </c>
      <c t="str" s="28" r="AK49">
        <f>K49/$X49</f>
        <v>#DIV/0!:divZero</v>
      </c>
      <c s="30" r="AL49">
        <v>1</v>
      </c>
    </row>
    <row r="50">
      <c s="30" r="A50">
        <v>49</v>
      </c>
      <c t="s" s="30" r="B50">
        <v>93</v>
      </c>
      <c s="62" r="C50">
        <v>41564</v>
      </c>
      <c s="52" r="D50">
        <v>41564.7916666667</v>
      </c>
      <c s="55" r="E50">
        <f>50+217</f>
        <v>267</v>
      </c>
      <c s="55" r="F50"/>
      <c t="s" s="55" r="G50">
        <v>39</v>
      </c>
      <c t="s" s="55" r="H50">
        <v>39</v>
      </c>
      <c t="s" s="55" r="I50">
        <v>39</v>
      </c>
      <c t="s" s="55" r="J50">
        <v>39</v>
      </c>
      <c t="s" s="55" r="K50">
        <v>39</v>
      </c>
      <c s="80" r="L50">
        <v>6.67</v>
      </c>
      <c s="79" r="M50">
        <v>0</v>
      </c>
      <c s="79" r="N50">
        <f>SUMIF(Sellables!$A$2:$A$11482, A50, Sellables!$E$2:$E$11482)</f>
        <v>223.12</v>
      </c>
      <c s="79" r="O50">
        <v>0</v>
      </c>
      <c s="32" r="P50">
        <f>SUMIF(Skills!$A$2:$A$9999, A50, Skills!$F$2:$F$9999)</f>
        <v>0</v>
      </c>
      <c s="20" r="Q50">
        <f>SUMIF(Sellables!A46:A11530, A50,Sellables!G46:G11530)+P50</f>
        <v>260.527247</v>
      </c>
      <c s="17" r="R50">
        <f>E50+L50</f>
        <v>273.67</v>
      </c>
      <c s="63" r="S50">
        <f>Q50-R50</f>
        <v>-13.142753</v>
      </c>
      <c s="39" r="T50">
        <f> (Q50/R50) - 1</f>
        <v>-0.048024091058574</v>
      </c>
      <c s="70" r="U50"/>
      <c s="70" r="V50"/>
      <c t="s" s="30" r="W50">
        <v>108</v>
      </c>
      <c s="30" r="X50">
        <v>0</v>
      </c>
      <c t="s" s="30" r="Y50">
        <v>108</v>
      </c>
      <c t="s" s="30" r="Z50">
        <v>42</v>
      </c>
      <c s="30" r="AA50">
        <v>0</v>
      </c>
      <c s="30" r="AB50">
        <v>0</v>
      </c>
      <c s="30" r="AC50">
        <v>0</v>
      </c>
      <c s="30" r="AD50">
        <v>0</v>
      </c>
      <c s="30" r="AE50"/>
      <c t="str" s="8" r="AF50">
        <f>(I50+J50)/R50</f>
        <v>#VALUE!:notNumber:NA</v>
      </c>
      <c t="str" s="28" r="AG50">
        <f>G50/$X50</f>
        <v>#DIV/0!:divZero</v>
      </c>
      <c t="str" s="28" r="AH50">
        <f>H50/$X50</f>
        <v>#DIV/0!:divZero</v>
      </c>
      <c t="str" s="28" r="AI50">
        <f>I50/$X50</f>
        <v>#DIV/0!:divZero</v>
      </c>
      <c t="str" s="28" r="AJ50">
        <f>J50/$X50</f>
        <v>#DIV/0!:divZero</v>
      </c>
      <c t="str" s="28" r="AK50">
        <f>K50/$X50</f>
        <v>#DIV/0!:divZero</v>
      </c>
      <c s="30" r="AL50">
        <v>1</v>
      </c>
    </row>
    <row r="51">
      <c s="30" r="A51">
        <v>50</v>
      </c>
      <c t="s" s="30" r="B51">
        <v>38</v>
      </c>
      <c s="62" r="C51">
        <v>41564</v>
      </c>
      <c s="52" r="D51">
        <v>41564.7916666667</v>
      </c>
      <c s="55" r="E51">
        <v>200</v>
      </c>
      <c s="55" r="F51"/>
      <c t="s" s="55" r="G51">
        <v>39</v>
      </c>
      <c t="s" s="55" r="H51">
        <v>39</v>
      </c>
      <c t="s" s="55" r="I51">
        <v>39</v>
      </c>
      <c t="s" s="55" r="J51">
        <v>39</v>
      </c>
      <c t="s" s="55" r="K51">
        <v>39</v>
      </c>
      <c s="80" r="L51">
        <v>15.75</v>
      </c>
      <c s="79" r="M51">
        <v>0</v>
      </c>
      <c s="79" r="N51">
        <f>SUMIF(Sellables!$A$2:$A$11482, A51, Sellables!$E$2:$E$11482)</f>
        <v>269.9</v>
      </c>
      <c s="79" r="O51">
        <v>0</v>
      </c>
      <c s="32" r="P51">
        <f>SUMIF(Skills!$A$2:$A$9999, A51, Skills!$F$2:$F$9999)</f>
        <v>0</v>
      </c>
      <c s="20" r="Q51">
        <f>SUMIF(Sellables!A47:A11531, A51,Sellables!G47:G11531)+P51</f>
        <v>271.9</v>
      </c>
      <c s="17" r="R51">
        <f>E51+L51</f>
        <v>215.75</v>
      </c>
      <c s="63" r="S51">
        <f>Q51-R51</f>
        <v>56.15</v>
      </c>
      <c s="39" r="T51">
        <f> (Q51/R51) - 1</f>
        <v>0.260254924681344</v>
      </c>
      <c s="70" r="U51"/>
      <c s="70" r="V51"/>
      <c t="s" s="30" r="W51">
        <v>109</v>
      </c>
      <c s="30" r="X51">
        <v>0</v>
      </c>
      <c t="s" s="30" r="Y51">
        <v>110</v>
      </c>
      <c t="s" s="30" r="Z51">
        <v>42</v>
      </c>
      <c s="30" r="AA51">
        <v>0</v>
      </c>
      <c s="30" r="AB51">
        <v>0</v>
      </c>
      <c s="30" r="AC51">
        <v>1</v>
      </c>
      <c s="30" r="AD51">
        <v>0</v>
      </c>
      <c s="30" r="AE51"/>
      <c t="str" s="8" r="AF51">
        <f>(I51+J51)/R51</f>
        <v>#VALUE!:notNumber:NA</v>
      </c>
      <c t="str" s="28" r="AG51">
        <f>G51/$X51</f>
        <v>#DIV/0!:divZero</v>
      </c>
      <c t="str" s="28" r="AH51">
        <f>H51/$X51</f>
        <v>#DIV/0!:divZero</v>
      </c>
      <c t="str" s="28" r="AI51">
        <f>I51/$X51</f>
        <v>#DIV/0!:divZero</v>
      </c>
      <c t="str" s="28" r="AJ51">
        <f>J51/$X51</f>
        <v>#DIV/0!:divZero</v>
      </c>
      <c t="str" s="28" r="AK51">
        <f>K51/$X51</f>
        <v>#DIV/0!:divZero</v>
      </c>
      <c s="30" r="AL51">
        <v>1</v>
      </c>
    </row>
    <row r="52">
      <c s="30" r="A52">
        <v>51</v>
      </c>
      <c t="s" s="30" r="B52">
        <v>38</v>
      </c>
      <c s="62" r="C52">
        <v>41564</v>
      </c>
      <c s="52" r="D52">
        <v>41564.7916666667</v>
      </c>
      <c s="55" r="E52">
        <v>200</v>
      </c>
      <c s="55" r="F52"/>
      <c t="s" s="55" r="G52">
        <v>39</v>
      </c>
      <c t="s" s="55" r="H52">
        <v>39</v>
      </c>
      <c t="s" s="55" r="I52">
        <v>39</v>
      </c>
      <c t="s" s="55" r="J52">
        <v>39</v>
      </c>
      <c t="s" s="55" r="K52">
        <v>39</v>
      </c>
      <c s="80" r="L52">
        <v>4.84</v>
      </c>
      <c s="79" r="M52">
        <v>0</v>
      </c>
      <c s="79" r="N52">
        <f>SUMIF(Sellables!$A$2:$A$11482, A52, Sellables!$E$2:$E$11482)</f>
        <v>200.62</v>
      </c>
      <c s="79" r="O52">
        <v>0</v>
      </c>
      <c s="32" r="P52">
        <f>SUMIF(Skills!$A$2:$A$9999, A52, Skills!$F$2:$F$9999)</f>
        <v>0</v>
      </c>
      <c s="20" r="Q52">
        <f>SUMIF(Sellables!A48:A11532, A52,Sellables!G48:G11532)+P52</f>
        <v>200.62</v>
      </c>
      <c s="17" r="R52">
        <f>E52+L52</f>
        <v>204.84</v>
      </c>
      <c s="63" r="S52">
        <f>Q52-R52</f>
        <v>-4.22</v>
      </c>
      <c s="39" r="T52">
        <f> (Q52/R52) - 1</f>
        <v>-0.020601445030268</v>
      </c>
      <c s="70" r="U52"/>
      <c s="70" r="V52"/>
      <c t="s" s="30" r="W52">
        <v>111</v>
      </c>
      <c s="30" r="X52">
        <v>0</v>
      </c>
      <c t="s" s="30" r="Y52">
        <v>112</v>
      </c>
      <c t="s" s="30" r="Z52">
        <v>42</v>
      </c>
      <c s="30" r="AA52">
        <v>0</v>
      </c>
      <c s="30" r="AB52">
        <v>0</v>
      </c>
      <c s="30" r="AC52">
        <v>1</v>
      </c>
      <c s="30" r="AD52">
        <v>0</v>
      </c>
      <c s="30" r="AE52"/>
      <c t="str" s="8" r="AF52">
        <f>(I52+J52)/R52</f>
        <v>#VALUE!:notNumber:NA</v>
      </c>
      <c t="str" s="28" r="AG52">
        <f>G52/$X52</f>
        <v>#DIV/0!:divZero</v>
      </c>
      <c t="str" s="28" r="AH52">
        <f>H52/$X52</f>
        <v>#DIV/0!:divZero</v>
      </c>
      <c t="str" s="28" r="AI52">
        <f>I52/$X52</f>
        <v>#DIV/0!:divZero</v>
      </c>
      <c t="str" s="28" r="AJ52">
        <f>J52/$X52</f>
        <v>#DIV/0!:divZero</v>
      </c>
      <c t="str" s="28" r="AK52">
        <f>K52/$X52</f>
        <v>#DIV/0!:divZero</v>
      </c>
      <c s="30" r="AL52">
        <v>1</v>
      </c>
    </row>
    <row r="53">
      <c s="30" r="A53">
        <v>52</v>
      </c>
      <c t="s" s="30" r="B53">
        <v>93</v>
      </c>
      <c s="62" r="C53">
        <v>41564</v>
      </c>
      <c s="52" r="D53">
        <v>41564.7916666667</v>
      </c>
      <c s="55" r="E53">
        <v>274</v>
      </c>
      <c s="55" r="F53"/>
      <c t="s" s="55" r="G53">
        <v>39</v>
      </c>
      <c t="s" s="55" r="H53">
        <v>39</v>
      </c>
      <c t="s" s="55" r="I53">
        <v>39</v>
      </c>
      <c t="s" s="55" r="J53">
        <v>39</v>
      </c>
      <c t="s" s="55" r="K53">
        <v>39</v>
      </c>
      <c s="80" r="L53">
        <v>6.79</v>
      </c>
      <c s="79" r="M53">
        <v>0</v>
      </c>
      <c s="79" r="N53">
        <f>SUMIF(Sellables!$A$2:$A$11482, A53, Sellables!$E$2:$E$11482)</f>
        <v>310.3</v>
      </c>
      <c s="79" r="O53">
        <v>0</v>
      </c>
      <c s="32" r="P53">
        <f>SUMIF(Skills!$A$2:$A$9999, A53, Skills!$F$2:$F$9999)</f>
        <v>0</v>
      </c>
      <c s="20" r="Q53">
        <f>SUMIF(Sellables!A49:A11533, A53,Sellables!G49:G11533)+P53</f>
        <v>337.939605</v>
      </c>
      <c s="17" r="R53">
        <f>E53+L53</f>
        <v>280.79</v>
      </c>
      <c s="63" r="S53">
        <f>Q53-R53</f>
        <v>57.149605</v>
      </c>
      <c s="39" r="T53">
        <f> (Q53/R53) - 1</f>
        <v>0.203531482602657</v>
      </c>
      <c s="70" r="U53"/>
      <c s="70" r="V53"/>
      <c t="s" s="30" r="W53">
        <v>113</v>
      </c>
      <c s="30" r="X53">
        <v>0</v>
      </c>
      <c t="s" s="30" r="Y53">
        <v>114</v>
      </c>
      <c t="s" s="30" r="Z53">
        <v>113</v>
      </c>
      <c s="30" r="AA53">
        <v>0</v>
      </c>
      <c s="30" r="AB53">
        <v>0</v>
      </c>
      <c s="30" r="AC53">
        <v>0</v>
      </c>
      <c s="30" r="AD53">
        <v>0</v>
      </c>
      <c s="30" r="AE53"/>
      <c t="str" s="8" r="AF53">
        <f>(I53+J53)/R53</f>
        <v>#VALUE!:notNumber:NA</v>
      </c>
      <c t="str" s="28" r="AG53">
        <f>G53/$X53</f>
        <v>#DIV/0!:divZero</v>
      </c>
      <c t="str" s="28" r="AH53">
        <f>H53/$X53</f>
        <v>#DIV/0!:divZero</v>
      </c>
      <c t="str" s="28" r="AI53">
        <f>I53/$X53</f>
        <v>#DIV/0!:divZero</v>
      </c>
      <c t="str" s="28" r="AJ53">
        <f>J53/$X53</f>
        <v>#DIV/0!:divZero</v>
      </c>
      <c t="str" s="28" r="AK53">
        <f>K53/$X53</f>
        <v>#DIV/0!:divZero</v>
      </c>
      <c s="30" r="AL53">
        <v>1</v>
      </c>
    </row>
    <row r="54">
      <c s="30" r="A54">
        <v>53</v>
      </c>
      <c t="s" s="30" r="B54">
        <v>38</v>
      </c>
      <c s="62" r="C54">
        <v>41564</v>
      </c>
      <c s="52" r="D54">
        <v>41564.7916666667</v>
      </c>
      <c s="55" r="E54">
        <v>150</v>
      </c>
      <c s="55" r="F54"/>
      <c t="s" s="55" r="G54">
        <v>39</v>
      </c>
      <c t="s" s="55" r="H54">
        <v>39</v>
      </c>
      <c t="s" s="55" r="I54">
        <v>39</v>
      </c>
      <c t="s" s="55" r="J54">
        <v>39</v>
      </c>
      <c t="s" s="55" r="K54">
        <v>39</v>
      </c>
      <c s="80" r="L54">
        <v>0.64</v>
      </c>
      <c s="79" r="M54">
        <v>0</v>
      </c>
      <c s="79" r="N54">
        <f>SUMIF(Sellables!$A$2:$A$11482, A54, Sellables!$E$2:$E$11482)</f>
        <v>155.55</v>
      </c>
      <c s="79" r="O54">
        <v>0</v>
      </c>
      <c s="32" r="P54">
        <f>SUMIF(Skills!$A$2:$A$9999, A54, Skills!$F$2:$F$9999)</f>
        <v>0</v>
      </c>
      <c s="20" r="Q54">
        <f>SUMIF(Sellables!A50:A11534, A54,Sellables!G50:G11534)+P54</f>
        <v>155.55</v>
      </c>
      <c s="17" r="R54">
        <f>E54+L54</f>
        <v>150.64</v>
      </c>
      <c s="63" r="S54">
        <f>Q54-R54</f>
        <v>4.91000000000002</v>
      </c>
      <c s="39" r="T54">
        <f> (Q54/R54) - 1</f>
        <v>0.032594264471588</v>
      </c>
      <c s="70" r="U54"/>
      <c s="70" r="V54"/>
      <c t="s" s="30" r="W54">
        <v>113</v>
      </c>
      <c s="30" r="X54">
        <v>0</v>
      </c>
      <c t="s" s="30" r="Y54">
        <v>114</v>
      </c>
      <c t="s" s="30" r="Z54">
        <v>113</v>
      </c>
      <c s="30" r="AA54">
        <v>0</v>
      </c>
      <c s="30" r="AB54">
        <v>0</v>
      </c>
      <c s="30" r="AC54">
        <v>0</v>
      </c>
      <c s="30" r="AD54">
        <v>0</v>
      </c>
      <c s="30" r="AE54"/>
      <c t="str" s="8" r="AF54">
        <f>(I54+J54)/R54</f>
        <v>#VALUE!:notNumber:NA</v>
      </c>
      <c t="str" s="28" r="AG54">
        <f>G54/$X54</f>
        <v>#DIV/0!:divZero</v>
      </c>
      <c t="str" s="28" r="AH54">
        <f>H54/$X54</f>
        <v>#DIV/0!:divZero</v>
      </c>
      <c t="str" s="28" r="AI54">
        <f>I54/$X54</f>
        <v>#DIV/0!:divZero</v>
      </c>
      <c t="str" s="28" r="AJ54">
        <f>J54/$X54</f>
        <v>#DIV/0!:divZero</v>
      </c>
      <c t="str" s="28" r="AK54">
        <f>K54/$X54</f>
        <v>#DIV/0!:divZero</v>
      </c>
      <c s="30" r="AL54">
        <v>1</v>
      </c>
    </row>
    <row r="55">
      <c s="30" r="A55">
        <v>54</v>
      </c>
      <c t="s" s="30" r="B55">
        <v>115</v>
      </c>
      <c s="62" r="C55">
        <v>41565</v>
      </c>
      <c s="52" r="D55">
        <v>41565.75</v>
      </c>
      <c s="55" r="E55">
        <v>450</v>
      </c>
      <c s="55" r="F55"/>
      <c t="s" s="55" r="G55">
        <v>39</v>
      </c>
      <c t="s" s="55" r="H55">
        <v>39</v>
      </c>
      <c t="s" s="55" r="I55">
        <v>39</v>
      </c>
      <c t="s" s="55" r="J55">
        <v>39</v>
      </c>
      <c t="s" s="55" r="K55">
        <v>39</v>
      </c>
      <c s="80" r="L55">
        <f>27.06+33.16</f>
        <v>60.22</v>
      </c>
      <c s="79" r="M55">
        <v>0</v>
      </c>
      <c s="79" r="N55">
        <f>SUMIF(Sellables!$A$2:$A$11482, A55, Sellables!$E$2:$E$11482)</f>
        <v>494.33</v>
      </c>
      <c s="79" r="O55">
        <v>0</v>
      </c>
      <c s="32" r="P55">
        <f>SUMIF(Skills!$A$2:$A$9999, A55, Skills!$F$2:$F$9999)</f>
        <v>0</v>
      </c>
      <c s="20" r="Q55">
        <f>SUMIF(Sellables!A51:A11535, A55,Sellables!G51:G11535)+P55</f>
        <v>522.729656</v>
      </c>
      <c s="17" r="R55">
        <f>E55+L55</f>
        <v>510.22</v>
      </c>
      <c s="63" r="S55">
        <f>Q55-R55</f>
        <v>12.509656</v>
      </c>
      <c s="39" r="T55">
        <f> (Q55/R55) - 1</f>
        <v>0.024518160793383</v>
      </c>
      <c s="70" r="U55"/>
      <c s="70" r="V55"/>
      <c t="s" s="30" r="W55">
        <v>40</v>
      </c>
      <c s="30" r="X55">
        <v>0</v>
      </c>
      <c t="s" s="30" r="Y55">
        <v>41</v>
      </c>
      <c t="s" s="30" r="Z55">
        <v>42</v>
      </c>
      <c s="30" r="AA55">
        <v>0</v>
      </c>
      <c s="30" r="AB55">
        <v>0</v>
      </c>
      <c s="30" r="AC55">
        <v>1</v>
      </c>
      <c s="30" r="AD55">
        <v>0</v>
      </c>
      <c s="30" r="AE55"/>
      <c t="str" s="8" r="AF55">
        <f>(I55+J55)/R55</f>
        <v>#VALUE!:notNumber:NA</v>
      </c>
      <c t="str" s="28" r="AG55">
        <f>G55/$X55</f>
        <v>#DIV/0!:divZero</v>
      </c>
      <c t="str" s="28" r="AH55">
        <f>H55/$X55</f>
        <v>#DIV/0!:divZero</v>
      </c>
      <c t="str" s="28" r="AI55">
        <f>I55/$X55</f>
        <v>#DIV/0!:divZero</v>
      </c>
      <c t="str" s="28" r="AJ55">
        <f>J55/$X55</f>
        <v>#DIV/0!:divZero</v>
      </c>
      <c t="str" s="28" r="AK55">
        <f>K55/$X55</f>
        <v>#DIV/0!:divZero</v>
      </c>
      <c s="30" r="AL55">
        <v>1</v>
      </c>
    </row>
    <row r="56">
      <c s="30" r="A56">
        <v>55</v>
      </c>
      <c t="s" s="30" r="B56">
        <v>55</v>
      </c>
      <c s="62" r="C56">
        <v>41565</v>
      </c>
      <c s="52" r="D56">
        <v>41565.75</v>
      </c>
      <c s="55" r="E56">
        <f>55*0.07</f>
        <v>3.85</v>
      </c>
      <c s="55" r="F56"/>
      <c t="s" s="55" r="G56">
        <v>39</v>
      </c>
      <c t="s" s="55" r="H56">
        <v>39</v>
      </c>
      <c t="s" s="55" r="I56">
        <v>39</v>
      </c>
      <c t="s" s="55" r="J56">
        <v>39</v>
      </c>
      <c t="s" s="55" r="K56">
        <v>39</v>
      </c>
      <c s="80" r="L56">
        <v>0</v>
      </c>
      <c s="79" r="M56">
        <v>0</v>
      </c>
      <c s="79" r="N56">
        <v>2.4</v>
      </c>
      <c s="79" r="O56">
        <v>0</v>
      </c>
      <c s="32" r="P56">
        <f>SUMIF(Skills!$A$2:$A$9999, A56, Skills!$F$2:$F$9999)</f>
        <v>0</v>
      </c>
      <c s="20" r="Q56">
        <v>2.4</v>
      </c>
      <c s="17" r="R56">
        <f>E56+L56</f>
        <v>3.85</v>
      </c>
      <c s="63" r="S56">
        <f>Q56-R56</f>
        <v>-1.45</v>
      </c>
      <c s="39" r="T56">
        <f> (Q56/R56) - 1</f>
        <v>-0.376623376623377</v>
      </c>
      <c s="70" r="U56"/>
      <c s="70" r="V56"/>
      <c t="s" s="30" r="W56">
        <v>105</v>
      </c>
      <c s="30" r="X56">
        <v>0</v>
      </c>
      <c t="s" s="30" r="Y56">
        <v>104</v>
      </c>
      <c t="s" s="30" r="Z56">
        <v>42</v>
      </c>
      <c s="30" r="AA56">
        <v>0</v>
      </c>
      <c s="30" r="AB56">
        <v>0</v>
      </c>
      <c s="30" r="AC56">
        <v>0</v>
      </c>
      <c s="30" r="AD56">
        <v>0</v>
      </c>
      <c s="30" r="AE56"/>
      <c t="str" s="8" r="AF56">
        <f>(I56+J56)/R56</f>
        <v>#VALUE!:notNumber:NA</v>
      </c>
      <c t="str" s="28" r="AG56">
        <f>G56/$X56</f>
        <v>#DIV/0!:divZero</v>
      </c>
      <c t="str" s="28" r="AH56">
        <f>H56/$X56</f>
        <v>#DIV/0!:divZero</v>
      </c>
      <c t="str" s="28" r="AI56">
        <f>I56/$X56</f>
        <v>#DIV/0!:divZero</v>
      </c>
      <c t="str" s="28" r="AJ56">
        <f>J56/$X56</f>
        <v>#DIV/0!:divZero</v>
      </c>
      <c t="str" s="28" r="AK56">
        <f>K56/$X56</f>
        <v>#DIV/0!:divZero</v>
      </c>
      <c s="30" r="AL56">
        <v>1</v>
      </c>
    </row>
    <row r="57">
      <c s="30" r="A57">
        <v>56</v>
      </c>
      <c t="s" s="30" r="B57">
        <v>55</v>
      </c>
      <c s="62" r="C57">
        <v>41565</v>
      </c>
      <c s="52" r="D57">
        <v>41565.75</v>
      </c>
      <c s="55" r="E57">
        <f>93*0.218</f>
        <v>20.274</v>
      </c>
      <c s="55" r="F57"/>
      <c t="s" s="55" r="G57">
        <v>39</v>
      </c>
      <c t="s" s="55" r="H57">
        <v>39</v>
      </c>
      <c t="s" s="55" r="I57">
        <v>39</v>
      </c>
      <c t="s" s="55" r="J57">
        <v>39</v>
      </c>
      <c t="s" s="55" r="K57">
        <v>39</v>
      </c>
      <c s="80" r="L57">
        <v>0</v>
      </c>
      <c s="79" r="M57">
        <v>0</v>
      </c>
      <c s="79" r="N57">
        <v>13.61</v>
      </c>
      <c s="79" r="O57">
        <v>0</v>
      </c>
      <c s="32" r="P57">
        <f>SUMIF(Skills!$A$2:$A$9999, A57, Skills!$F$2:$F$9999)</f>
        <v>0</v>
      </c>
      <c s="17" r="Q57">
        <v>13.61</v>
      </c>
      <c s="17" r="R57">
        <f>E57+L57</f>
        <v>20.274</v>
      </c>
      <c s="63" r="S57">
        <f>Q57-R57</f>
        <v>-6.664</v>
      </c>
      <c s="39" r="T57">
        <f> (Q57/R57) - 1</f>
        <v>-0.328696853112361</v>
      </c>
      <c s="70" r="U57"/>
      <c s="70" r="V57"/>
      <c t="s" s="30" r="W57">
        <v>103</v>
      </c>
      <c s="30" r="X57">
        <v>0</v>
      </c>
      <c t="s" s="30" r="Y57">
        <v>104</v>
      </c>
      <c t="s" s="30" r="Z57">
        <v>42</v>
      </c>
      <c s="30" r="AA57">
        <v>0</v>
      </c>
      <c s="30" r="AB57">
        <v>0</v>
      </c>
      <c s="30" r="AC57">
        <v>0</v>
      </c>
      <c s="30" r="AD57">
        <v>0</v>
      </c>
      <c s="30" r="AE57"/>
      <c t="str" s="8" r="AF57">
        <f>(I57+J57)/R57</f>
        <v>#VALUE!:notNumber:NA</v>
      </c>
      <c t="str" s="28" r="AG57">
        <f>G57/$X57</f>
        <v>#DIV/0!:divZero</v>
      </c>
      <c t="str" s="28" r="AH57">
        <f>H57/$X57</f>
        <v>#DIV/0!:divZero</v>
      </c>
      <c t="str" s="28" r="AI57">
        <f>I57/$X57</f>
        <v>#DIV/0!:divZero</v>
      </c>
      <c t="str" s="28" r="AJ57">
        <f>J57/$X57</f>
        <v>#DIV/0!:divZero</v>
      </c>
      <c t="str" s="28" r="AK57">
        <f>K57/$X57</f>
        <v>#DIV/0!:divZero</v>
      </c>
      <c s="30" r="AL57">
        <v>1</v>
      </c>
    </row>
    <row r="58">
      <c s="30" r="A58">
        <v>57</v>
      </c>
      <c t="s" s="30" r="B58">
        <v>55</v>
      </c>
      <c s="62" r="C58">
        <v>41565</v>
      </c>
      <c s="52" r="D58">
        <v>41565.75</v>
      </c>
      <c s="55" r="E58">
        <f>161*0.70</f>
        <v>112.7</v>
      </c>
      <c s="55" r="F58"/>
      <c t="s" s="55" r="G58">
        <v>39</v>
      </c>
      <c t="s" s="55" r="H58">
        <v>39</v>
      </c>
      <c t="s" s="55" r="I58">
        <v>39</v>
      </c>
      <c t="s" s="55" r="J58">
        <v>39</v>
      </c>
      <c t="s" s="55" r="K58">
        <v>39</v>
      </c>
      <c s="80" r="L58">
        <v>0</v>
      </c>
      <c s="79" r="M58">
        <v>0</v>
      </c>
      <c s="79" r="N58">
        <f>1.66+86.11</f>
        <v>87.77</v>
      </c>
      <c s="79" r="O58">
        <v>0</v>
      </c>
      <c s="32" r="P58">
        <f>SUMIF(Skills!$A$2:$A$9999, A58, Skills!$F$2:$F$9999)</f>
        <v>0</v>
      </c>
      <c s="17" r="Q58">
        <v>87.77</v>
      </c>
      <c s="17" r="R58">
        <f>E58+L58</f>
        <v>112.7</v>
      </c>
      <c s="63" r="S58">
        <f>Q58-R58</f>
        <v>-24.93</v>
      </c>
      <c s="39" r="T58">
        <f> (Q58/R58) - 1</f>
        <v>-0.221206743566992</v>
      </c>
      <c s="70" r="U58"/>
      <c s="70" r="V58"/>
      <c t="s" s="30" r="W58">
        <v>56</v>
      </c>
      <c s="30" r="X58">
        <v>0</v>
      </c>
      <c t="s" s="30" r="Y58">
        <v>116</v>
      </c>
      <c t="s" s="30" r="Z58">
        <v>42</v>
      </c>
      <c s="30" r="AA58">
        <v>0</v>
      </c>
      <c s="30" r="AB58">
        <v>0</v>
      </c>
      <c s="30" r="AC58">
        <v>0</v>
      </c>
      <c s="30" r="AD58">
        <v>0</v>
      </c>
      <c s="30" r="AE58"/>
      <c t="str" s="8" r="AF58">
        <f>(I58+J58)/R58</f>
        <v>#VALUE!:notNumber:NA</v>
      </c>
      <c t="str" s="28" r="AG58">
        <f>G58/$X58</f>
        <v>#DIV/0!:divZero</v>
      </c>
      <c t="str" s="28" r="AH58">
        <f>H58/$X58</f>
        <v>#DIV/0!:divZero</v>
      </c>
      <c t="str" s="28" r="AI58">
        <f>I58/$X58</f>
        <v>#DIV/0!:divZero</v>
      </c>
      <c t="str" s="28" r="AJ58">
        <f>J58/$X58</f>
        <v>#DIV/0!:divZero</v>
      </c>
      <c t="str" s="28" r="AK58">
        <f>K58/$X58</f>
        <v>#DIV/0!:divZero</v>
      </c>
      <c s="30" r="AL58">
        <v>1</v>
      </c>
    </row>
    <row r="59">
      <c s="30" r="A59">
        <v>58</v>
      </c>
      <c t="s" s="30" r="B59">
        <v>55</v>
      </c>
      <c s="62" r="C59">
        <v>41565</v>
      </c>
      <c s="52" r="D59">
        <v>41565.75</v>
      </c>
      <c s="55" r="E59">
        <f>19*2.4</f>
        <v>45.6</v>
      </c>
      <c s="55" r="F59"/>
      <c t="s" s="55" r="G59">
        <v>39</v>
      </c>
      <c t="s" s="55" r="H59">
        <v>39</v>
      </c>
      <c t="s" s="55" r="I59">
        <v>39</v>
      </c>
      <c t="s" s="55" r="J59">
        <v>39</v>
      </c>
      <c t="s" s="55" r="K59">
        <v>39</v>
      </c>
      <c s="80" r="L59">
        <v>0</v>
      </c>
      <c s="79" r="M59">
        <v>0</v>
      </c>
      <c s="79" r="N59">
        <f>1.66+86.11</f>
        <v>87.77</v>
      </c>
      <c s="79" r="O59">
        <v>0</v>
      </c>
      <c s="32" r="P59">
        <f>SUMIF(Skills!$A$2:$A$9999, A59, Skills!$F$2:$F$9999)</f>
        <v>0</v>
      </c>
      <c s="20" r="Q59">
        <f>SUMIF(Sellables!A55:A11539, A59,Sellables!G55:G11539)+P59</f>
        <v>45.94</v>
      </c>
      <c s="17" r="R59">
        <f>E59+L59</f>
        <v>45.6</v>
      </c>
      <c s="63" r="S59">
        <f>Q59-R59</f>
        <v>0.339999999999996</v>
      </c>
      <c s="39" r="T59">
        <f> (Q59/R59) - 1</f>
        <v>0.007456140350877</v>
      </c>
      <c s="70" r="U59"/>
      <c s="70" r="V59"/>
      <c t="s" s="30" r="W59">
        <v>88</v>
      </c>
      <c s="30" r="X59">
        <v>0</v>
      </c>
      <c t="s" s="30" r="Y59">
        <v>116</v>
      </c>
      <c t="s" s="30" r="Z59">
        <v>42</v>
      </c>
      <c s="30" r="AA59">
        <v>0</v>
      </c>
      <c s="30" r="AB59">
        <v>0</v>
      </c>
      <c s="30" r="AC59">
        <v>0</v>
      </c>
      <c s="30" r="AD59">
        <v>0</v>
      </c>
      <c s="30" r="AE59"/>
      <c t="str" s="8" r="AF59">
        <f>(I59+J59)/R59</f>
        <v>#VALUE!:notNumber:NA</v>
      </c>
      <c t="str" s="28" r="AG59">
        <f>G59/$X59</f>
        <v>#DIV/0!:divZero</v>
      </c>
      <c t="str" s="28" r="AH59">
        <f>H59/$X59</f>
        <v>#DIV/0!:divZero</v>
      </c>
      <c t="str" s="28" r="AI59">
        <f>I59/$X59</f>
        <v>#DIV/0!:divZero</v>
      </c>
      <c t="str" s="28" r="AJ59">
        <f>J59/$X59</f>
        <v>#DIV/0!:divZero</v>
      </c>
      <c t="str" s="28" r="AK59">
        <f>K59/$X59</f>
        <v>#DIV/0!:divZero</v>
      </c>
      <c s="30" r="AL59">
        <v>1</v>
      </c>
    </row>
    <row r="60">
      <c s="30" r="A60">
        <v>59</v>
      </c>
      <c t="s" s="30" r="B60">
        <v>38</v>
      </c>
      <c s="62" r="C60">
        <v>41565</v>
      </c>
      <c s="52" r="D60">
        <v>41565.9375</v>
      </c>
      <c s="55" r="E60">
        <v>200</v>
      </c>
      <c s="55" r="F60"/>
      <c t="s" s="55" r="G60">
        <v>39</v>
      </c>
      <c t="s" s="55" r="H60">
        <v>39</v>
      </c>
      <c t="s" s="55" r="I60">
        <v>39</v>
      </c>
      <c t="s" s="55" r="J60">
        <v>39</v>
      </c>
      <c t="s" s="55" r="K60">
        <v>39</v>
      </c>
      <c s="80" r="L60">
        <v>33.46</v>
      </c>
      <c s="79" r="M60">
        <v>0</v>
      </c>
      <c s="79" r="N60">
        <f>SUMIF(Sellables!$A$2:$A$11482, A60, Sellables!$E$2:$E$11482)</f>
        <v>148.32</v>
      </c>
      <c s="79" r="O60">
        <v>0</v>
      </c>
      <c s="32" r="P60">
        <f>SUMIF(Skills!$A$2:$A$9999, A60, Skills!$F$2:$F$9999)</f>
        <v>0</v>
      </c>
      <c s="20" r="Q60">
        <f>SUMIF(Sellables!A56:A11540, A60,Sellables!G56:G11540)+P60</f>
        <v>148.32</v>
      </c>
      <c s="17" r="R60">
        <f>E60+L60</f>
        <v>233.46</v>
      </c>
      <c s="63" r="S60">
        <f>Q60-R60</f>
        <v>-85.14</v>
      </c>
      <c s="39" r="T60">
        <f> (Q60/R60) - 1</f>
        <v>-0.364687740940632</v>
      </c>
      <c s="70" r="U60"/>
      <c s="70" r="V60"/>
      <c t="s" s="30" r="W60">
        <v>117</v>
      </c>
      <c s="30" r="X60">
        <v>0</v>
      </c>
      <c t="s" s="30" r="Y60">
        <v>65</v>
      </c>
      <c t="s" s="30" r="Z60">
        <v>65</v>
      </c>
      <c s="30" r="AA60">
        <v>0</v>
      </c>
      <c s="30" r="AB60">
        <v>0</v>
      </c>
      <c s="30" r="AC60">
        <v>0</v>
      </c>
      <c s="30" r="AD60">
        <v>0</v>
      </c>
      <c s="30" r="AE60"/>
      <c t="str" s="8" r="AF60">
        <f>(I60+J60)/R60</f>
        <v>#VALUE!:notNumber:NA</v>
      </c>
      <c t="str" s="28" r="AG60">
        <f>G60/$X60</f>
        <v>#DIV/0!:divZero</v>
      </c>
      <c t="str" s="28" r="AH60">
        <f>H60/$X60</f>
        <v>#DIV/0!:divZero</v>
      </c>
      <c t="str" s="28" r="AI60">
        <f>I60/$X60</f>
        <v>#DIV/0!:divZero</v>
      </c>
      <c t="str" s="28" r="AJ60">
        <f>J60/$X60</f>
        <v>#DIV/0!:divZero</v>
      </c>
      <c t="str" s="28" r="AK60">
        <f>K60/$X60</f>
        <v>#DIV/0!:divZero</v>
      </c>
      <c s="30" r="AL60">
        <v>1</v>
      </c>
    </row>
    <row r="61">
      <c s="30" r="A61">
        <v>60</v>
      </c>
      <c t="s" s="30" r="B61">
        <v>38</v>
      </c>
      <c s="62" r="C61">
        <v>41566</v>
      </c>
      <c s="52" r="D61">
        <v>41566.5</v>
      </c>
      <c s="55" r="E61">
        <v>200</v>
      </c>
      <c s="55" r="F61"/>
      <c t="s" s="55" r="G61">
        <v>39</v>
      </c>
      <c t="s" s="55" r="H61">
        <v>39</v>
      </c>
      <c t="s" s="55" r="I61">
        <v>39</v>
      </c>
      <c t="s" s="55" r="J61">
        <v>39</v>
      </c>
      <c t="s" s="55" r="K61">
        <v>39</v>
      </c>
      <c s="80" r="L61">
        <v>29.39</v>
      </c>
      <c s="79" r="M61">
        <v>0</v>
      </c>
      <c s="79" r="N61">
        <f>SUMIF(Sellables!$A$2:$A$11482, A61, Sellables!$E$2:$E$11482)</f>
        <v>246.66</v>
      </c>
      <c s="79" r="O61">
        <v>0</v>
      </c>
      <c s="32" r="P61">
        <f>SUMIF(Skills!$A$2:$A$9999, A61, Skills!$F$2:$F$9999)</f>
        <v>0</v>
      </c>
      <c s="20" r="Q61">
        <f>SUMIF(Sellables!A57:A11541, A61,Sellables!G57:G11541)+P61</f>
        <v>262.390528</v>
      </c>
      <c s="17" r="R61">
        <f>E61+L61</f>
        <v>229.39</v>
      </c>
      <c s="63" r="S61">
        <f>Q61-R61</f>
        <v>33.000528</v>
      </c>
      <c s="39" r="T61">
        <f> (Q61/R61) - 1</f>
        <v>0.143862103840621</v>
      </c>
      <c s="70" r="U61"/>
      <c s="70" r="V61"/>
      <c t="s" s="30" r="W61">
        <v>99</v>
      </c>
      <c s="30" r="X61">
        <v>0</v>
      </c>
      <c t="s" s="30" r="Y61">
        <v>41</v>
      </c>
      <c t="s" s="30" r="Z61">
        <v>42</v>
      </c>
      <c s="30" r="AA61">
        <v>0</v>
      </c>
      <c s="30" r="AB61">
        <v>0</v>
      </c>
      <c s="30" r="AC61">
        <v>1</v>
      </c>
      <c s="30" r="AD61">
        <v>0</v>
      </c>
      <c s="30" r="AE61"/>
      <c t="str" s="8" r="AF61">
        <f>(I61+J61)/R61</f>
        <v>#VALUE!:notNumber:NA</v>
      </c>
      <c t="str" s="28" r="AG61">
        <f>G61/$X61</f>
        <v>#DIV/0!:divZero</v>
      </c>
      <c t="str" s="28" r="AH61">
        <f>H61/$X61</f>
        <v>#DIV/0!:divZero</v>
      </c>
      <c t="str" s="28" r="AI61">
        <f>I61/$X61</f>
        <v>#DIV/0!:divZero</v>
      </c>
      <c t="str" s="28" r="AJ61">
        <f>J61/$X61</f>
        <v>#DIV/0!:divZero</v>
      </c>
      <c t="str" s="28" r="AK61">
        <f>K61/$X61</f>
        <v>#DIV/0!:divZero</v>
      </c>
      <c s="30" r="AL61">
        <v>1</v>
      </c>
    </row>
    <row r="62">
      <c s="30" r="A62">
        <v>61</v>
      </c>
      <c t="s" s="30" r="B62">
        <v>38</v>
      </c>
      <c s="62" r="C62">
        <v>41566</v>
      </c>
      <c s="52" r="D62">
        <v>41566.5</v>
      </c>
      <c s="55" r="E62">
        <v>300</v>
      </c>
      <c s="55" r="F62"/>
      <c t="s" s="55" r="G62">
        <v>39</v>
      </c>
      <c t="s" s="55" r="H62">
        <v>39</v>
      </c>
      <c t="s" s="55" r="I62">
        <v>39</v>
      </c>
      <c t="s" s="55" r="J62">
        <v>39</v>
      </c>
      <c t="s" s="55" r="K62">
        <v>39</v>
      </c>
      <c s="80" r="L62">
        <v>44.92</v>
      </c>
      <c s="79" r="M62">
        <v>0</v>
      </c>
      <c s="79" r="N62">
        <f>SUMIF(Sellables!$A$2:$A$11482, A62, Sellables!$E$2:$E$11482)</f>
        <v>279.36</v>
      </c>
      <c s="79" r="O62">
        <v>0</v>
      </c>
      <c s="32" r="P62">
        <f>SUMIF(Skills!$A$2:$A$9999, A62, Skills!$F$2:$F$9999)</f>
        <v>6.409901</v>
      </c>
      <c s="20" r="Q62">
        <f>SUMIF(Sellables!A58:A11542, A62,Sellables!G58:G11542)+P62</f>
        <v>285.769901</v>
      </c>
      <c s="17" r="R62">
        <f>E62+L62</f>
        <v>344.92</v>
      </c>
      <c s="63" r="S62">
        <f>Q62-R62</f>
        <v>-59.150099</v>
      </c>
      <c s="39" r="T62">
        <f> (Q62/R62) - 1</f>
        <v>-0.171489327960107</v>
      </c>
      <c s="70" r="U62"/>
      <c s="70" r="V62"/>
      <c t="s" s="30" r="W62">
        <v>118</v>
      </c>
      <c s="30" r="X62">
        <v>0</v>
      </c>
      <c t="s" s="30" r="Y62">
        <v>119</v>
      </c>
      <c t="s" s="30" r="Z62">
        <v>42</v>
      </c>
      <c s="30" r="AA62">
        <v>0</v>
      </c>
      <c s="30" r="AB62">
        <v>0</v>
      </c>
      <c s="30" r="AC62">
        <v>0</v>
      </c>
      <c s="30" r="AD62">
        <v>0</v>
      </c>
      <c s="30" r="AE62"/>
      <c t="str" s="8" r="AF62">
        <f>(I62+J62)/R62</f>
        <v>#VALUE!:notNumber:NA</v>
      </c>
      <c t="str" s="28" r="AG62">
        <f>G62/$X62</f>
        <v>#DIV/0!:divZero</v>
      </c>
      <c t="str" s="28" r="AH62">
        <f>H62/$X62</f>
        <v>#DIV/0!:divZero</v>
      </c>
      <c t="str" s="28" r="AI62">
        <f>I62/$X62</f>
        <v>#DIV/0!:divZero</v>
      </c>
      <c t="str" s="28" r="AJ62">
        <f>J62/$X62</f>
        <v>#DIV/0!:divZero</v>
      </c>
      <c t="str" s="28" r="AK62">
        <f>K62/$X62</f>
        <v>#DIV/0!:divZero</v>
      </c>
      <c s="30" r="AL62">
        <v>1</v>
      </c>
    </row>
    <row r="63">
      <c s="30" r="A63">
        <v>62</v>
      </c>
      <c t="s" s="30" r="B63">
        <v>55</v>
      </c>
      <c s="62" r="C63">
        <v>41566</v>
      </c>
      <c s="52" r="D63">
        <v>41566.625</v>
      </c>
      <c s="55" r="E63">
        <f>170*0.07</f>
        <v>11.9</v>
      </c>
      <c s="55" r="F63"/>
      <c t="s" s="55" r="G63">
        <v>39</v>
      </c>
      <c t="s" s="55" r="H63">
        <v>39</v>
      </c>
      <c t="s" s="55" r="I63">
        <v>39</v>
      </c>
      <c t="s" s="55" r="J63">
        <v>39</v>
      </c>
      <c t="s" s="55" r="K63">
        <v>39</v>
      </c>
      <c s="80" r="L63">
        <v>0</v>
      </c>
      <c s="79" r="M63">
        <v>0</v>
      </c>
      <c s="79" r="N63">
        <f>9.17+3</f>
        <v>12.17</v>
      </c>
      <c s="79" r="O63">
        <v>0</v>
      </c>
      <c s="32" r="P63">
        <f>SUMIF(Skills!$A$2:$A$9999, A63, Skills!$F$2:$F$9999)</f>
        <v>0</v>
      </c>
      <c s="20" r="Q63">
        <f>N63</f>
        <v>12.17</v>
      </c>
      <c s="17" r="R63">
        <f>E63+L63</f>
        <v>11.9</v>
      </c>
      <c s="63" r="S63">
        <f>Q63-R63</f>
        <v>0.27</v>
      </c>
      <c s="39" r="T63">
        <f> (Q63/R63) - 1</f>
        <v>0.022689075630252</v>
      </c>
      <c s="70" r="U63"/>
      <c s="70" r="V63"/>
      <c t="s" s="30" r="W63">
        <v>120</v>
      </c>
      <c s="30" r="X63">
        <v>0</v>
      </c>
      <c t="s" s="30" r="Y63">
        <v>119</v>
      </c>
      <c t="s" s="30" r="Z63">
        <v>42</v>
      </c>
      <c s="30" r="AA63">
        <v>0</v>
      </c>
      <c s="30" r="AB63">
        <v>1</v>
      </c>
      <c s="30" r="AC63">
        <v>0</v>
      </c>
      <c s="30" r="AD63">
        <v>0</v>
      </c>
      <c s="30" r="AE63"/>
      <c t="str" s="8" r="AF63">
        <f>(I63+J63)/R63</f>
        <v>#VALUE!:notNumber:NA</v>
      </c>
      <c t="str" s="28" r="AG63">
        <f>G63/$X63</f>
        <v>#DIV/0!:divZero</v>
      </c>
      <c t="str" s="28" r="AH63">
        <f>H63/$X63</f>
        <v>#DIV/0!:divZero</v>
      </c>
      <c t="str" s="28" r="AI63">
        <f>I63/$X63</f>
        <v>#DIV/0!:divZero</v>
      </c>
      <c t="str" s="28" r="AJ63">
        <f>J63/$X63</f>
        <v>#DIV/0!:divZero</v>
      </c>
      <c t="str" s="28" r="AK63">
        <f>K63/$X63</f>
        <v>#DIV/0!:divZero</v>
      </c>
      <c s="30" r="AL63">
        <v>1</v>
      </c>
    </row>
    <row r="64">
      <c s="30" r="A64">
        <v>63</v>
      </c>
      <c t="s" s="30" r="B64">
        <v>121</v>
      </c>
      <c s="62" r="C64">
        <v>41566</v>
      </c>
      <c s="52" r="D64">
        <v>41566.6458333333</v>
      </c>
      <c s="55" r="E64">
        <v>650</v>
      </c>
      <c s="55" r="F64"/>
      <c t="s" s="55" r="G64">
        <v>39</v>
      </c>
      <c t="s" s="55" r="H64">
        <v>39</v>
      </c>
      <c t="s" s="55" r="I64">
        <v>39</v>
      </c>
      <c t="s" s="55" r="J64">
        <v>39</v>
      </c>
      <c t="s" s="55" r="K64">
        <v>39</v>
      </c>
      <c s="80" r="L64">
        <f>(58.8+37.68)+0.25</f>
        <v>96.73</v>
      </c>
      <c s="79" r="M64">
        <v>0</v>
      </c>
      <c s="79" r="N64">
        <f>SUMIF(Sellables!$A$2:$A$11482, A64, Sellables!$E$2:$E$11482)</f>
        <v>897.87</v>
      </c>
      <c s="79" r="O64">
        <v>0</v>
      </c>
      <c s="32" r="P64">
        <f>SUMIF(Skills!$A$2:$A$9999, A64, Skills!$F$2:$F$9999)</f>
        <v>3.422755</v>
      </c>
      <c s="20" r="Q64">
        <f>SUMIF(Sellables!A60:A11544, A64,Sellables!G60:G11544)+P64</f>
        <v>1072.70281</v>
      </c>
      <c s="17" r="R64">
        <f>E64+L64</f>
        <v>746.73</v>
      </c>
      <c s="63" r="S64">
        <f>(Q64-R64)+AA64</f>
        <v>350.97281</v>
      </c>
      <c s="39" r="T64">
        <f> (Q64/R64) - 1</f>
        <v>0.436533700266495</v>
      </c>
      <c s="70" r="U64"/>
      <c s="70" r="V64"/>
      <c t="s" s="30" r="W64">
        <v>122</v>
      </c>
      <c s="30" r="X64">
        <v>0</v>
      </c>
      <c t="s" s="30" r="Y64">
        <v>123</v>
      </c>
      <c t="s" s="30" r="Z64">
        <v>42</v>
      </c>
      <c s="30" r="AA64">
        <v>25</v>
      </c>
      <c s="30" r="AB64">
        <v>0</v>
      </c>
      <c s="30" r="AC64">
        <v>2</v>
      </c>
      <c s="30" r="AD64">
        <v>1</v>
      </c>
      <c s="30" r="AE64"/>
      <c t="str" s="8" r="AF64">
        <f>(I64+J64)/R64</f>
        <v>#VALUE!:notNumber:NA</v>
      </c>
      <c t="str" s="28" r="AG64">
        <f>G64/$X64</f>
        <v>#DIV/0!:divZero</v>
      </c>
      <c t="str" s="28" r="AH64">
        <f>H64/$X64</f>
        <v>#DIV/0!:divZero</v>
      </c>
      <c t="str" s="28" r="AI64">
        <f>I64/$X64</f>
        <v>#DIV/0!:divZero</v>
      </c>
      <c t="str" s="28" r="AJ64">
        <f>J64/$X64</f>
        <v>#DIV/0!:divZero</v>
      </c>
      <c t="str" s="28" r="AK64">
        <f>K64/$X64</f>
        <v>#DIV/0!:divZero</v>
      </c>
      <c s="30" r="AL64">
        <v>1</v>
      </c>
    </row>
    <row r="65">
      <c s="30" r="A65">
        <v>64</v>
      </c>
      <c t="s" s="30" r="B65">
        <v>121</v>
      </c>
      <c s="62" r="C65">
        <v>41566</v>
      </c>
      <c s="52" r="D65">
        <v>41566.7395833333</v>
      </c>
      <c s="55" r="E65">
        <v>450</v>
      </c>
      <c s="55" r="F65"/>
      <c t="s" s="55" r="G65">
        <v>39</v>
      </c>
      <c t="s" s="55" r="H65">
        <v>39</v>
      </c>
      <c t="s" s="55" r="I65">
        <v>39</v>
      </c>
      <c t="s" s="55" r="J65">
        <v>39</v>
      </c>
      <c t="s" s="55" r="K65">
        <v>39</v>
      </c>
      <c s="80" r="L65">
        <f>(16.19+35.40)+0.14</f>
        <v>51.73</v>
      </c>
      <c s="79" r="M65">
        <v>0</v>
      </c>
      <c s="79" r="N65">
        <f>SUMIF(Sellables!$A$2:$A$11482, A65, Sellables!$E$2:$E$11482)</f>
        <v>478.69</v>
      </c>
      <c s="79" r="O65">
        <v>0</v>
      </c>
      <c s="32" r="P65">
        <f>SUMIF(Skills!$A$2:$A$9999, A65, Skills!$F$2:$F$9999)</f>
        <v>5.039064</v>
      </c>
      <c s="20" r="Q65">
        <f>SUMIF(Sellables!A61:A11545, A65,Sellables!G61:G11545)+P65</f>
        <v>494.677105</v>
      </c>
      <c s="17" r="R65">
        <f>E65+L65</f>
        <v>501.73</v>
      </c>
      <c s="63" r="S65">
        <f>(Q65-R65)+AA65</f>
        <v>-7.05289500000004</v>
      </c>
      <c s="39" r="T65">
        <f> (Q65/R65) - 1</f>
        <v>-0.014057152253204</v>
      </c>
      <c s="70" r="U65"/>
      <c s="70" r="V65"/>
      <c t="s" s="30" r="W65">
        <v>124</v>
      </c>
      <c s="30" r="X65">
        <v>0</v>
      </c>
      <c t="s" s="30" r="Y65">
        <v>125</v>
      </c>
      <c t="s" s="30" r="Z65">
        <v>42</v>
      </c>
      <c s="30" r="AA65">
        <v>0</v>
      </c>
      <c s="30" r="AB65">
        <v>0</v>
      </c>
      <c s="30" r="AC65">
        <v>1</v>
      </c>
      <c s="30" r="AD65">
        <v>0</v>
      </c>
      <c s="30" r="AE65"/>
      <c t="str" s="8" r="AF65">
        <f>(I65+J65)/R65</f>
        <v>#VALUE!:notNumber:NA</v>
      </c>
      <c t="str" s="28" r="AG65">
        <f>G65/$X65</f>
        <v>#DIV/0!:divZero</v>
      </c>
      <c t="str" s="28" r="AH65">
        <f>H65/$X65</f>
        <v>#DIV/0!:divZero</v>
      </c>
      <c t="str" s="28" r="AI65">
        <f>I65/$X65</f>
        <v>#DIV/0!:divZero</v>
      </c>
      <c t="str" s="28" r="AJ65">
        <f>J65/$X65</f>
        <v>#DIV/0!:divZero</v>
      </c>
      <c t="str" s="28" r="AK65">
        <f>K65/$X65</f>
        <v>#DIV/0!:divZero</v>
      </c>
      <c s="30" r="AL65">
        <v>1</v>
      </c>
    </row>
    <row r="66">
      <c s="30" r="A66">
        <v>65</v>
      </c>
      <c t="s" s="30" r="B66">
        <v>55</v>
      </c>
      <c s="62" r="C66">
        <v>41566</v>
      </c>
      <c s="52" r="D66">
        <v>41566.7395833333</v>
      </c>
      <c s="55" r="E66">
        <f>198*0.21</f>
        <v>41.58</v>
      </c>
      <c s="55" r="F66"/>
      <c t="s" s="55" r="G66">
        <v>39</v>
      </c>
      <c t="s" s="55" r="H66">
        <v>39</v>
      </c>
      <c t="s" s="55" r="I66">
        <v>39</v>
      </c>
      <c t="s" s="55" r="J66">
        <v>39</v>
      </c>
      <c t="s" s="55" r="K66">
        <v>39</v>
      </c>
      <c s="80" r="L66">
        <v>0</v>
      </c>
      <c s="79" r="M66">
        <v>0</v>
      </c>
      <c s="79" r="N66">
        <v>33.97</v>
      </c>
      <c s="79" r="O66">
        <v>0</v>
      </c>
      <c s="32" r="P66">
        <f>SUMIF(Skills!$A$2:$A$9999, A66, Skills!$F$2:$F$9999)</f>
        <v>0</v>
      </c>
      <c s="17" r="Q66">
        <v>33.97</v>
      </c>
      <c s="17" r="R66">
        <f>E66+L66</f>
        <v>41.58</v>
      </c>
      <c s="63" r="S66">
        <f>Q66-R66</f>
        <v>-7.61</v>
      </c>
      <c s="39" r="T66">
        <f> (Q66/R66) - 1</f>
        <v>-0.183020683020683</v>
      </c>
      <c s="70" r="U66"/>
      <c s="70" r="V66"/>
      <c t="s" s="30" r="W66">
        <v>103</v>
      </c>
      <c s="30" r="X66">
        <v>0</v>
      </c>
      <c t="s" s="30" r="Y66">
        <v>104</v>
      </c>
      <c t="s" s="30" r="Z66">
        <v>42</v>
      </c>
      <c s="30" r="AA66">
        <v>0</v>
      </c>
      <c s="30" r="AB66">
        <v>0</v>
      </c>
      <c s="30" r="AC66">
        <v>0</v>
      </c>
      <c s="30" r="AD66">
        <v>0</v>
      </c>
      <c s="30" r="AE66"/>
      <c t="str" s="8" r="AF66">
        <f>(I66+J66)/R66</f>
        <v>#VALUE!:notNumber:NA</v>
      </c>
      <c t="str" s="28" r="AG66">
        <f>G66/$X66</f>
        <v>#DIV/0!:divZero</v>
      </c>
      <c t="str" s="28" r="AH66">
        <f>H66/$X66</f>
        <v>#DIV/0!:divZero</v>
      </c>
      <c t="str" s="28" r="AI66">
        <f>I66/$X66</f>
        <v>#DIV/0!:divZero</v>
      </c>
      <c t="str" s="28" r="AJ66">
        <f>J66/$X66</f>
        <v>#DIV/0!:divZero</v>
      </c>
      <c t="str" s="28" r="AK66">
        <f>K66/$X66</f>
        <v>#DIV/0!:divZero</v>
      </c>
      <c s="30" r="AL66">
        <v>1</v>
      </c>
    </row>
    <row r="67">
      <c s="30" r="A67">
        <v>66</v>
      </c>
      <c t="s" s="30" r="B67">
        <v>55</v>
      </c>
      <c s="62" r="C67">
        <v>41566</v>
      </c>
      <c s="52" r="D67">
        <v>41566.7395833333</v>
      </c>
      <c s="55" r="E67">
        <f>68*0.61</f>
        <v>41.48</v>
      </c>
      <c s="55" r="F67"/>
      <c t="s" s="55" r="G67">
        <v>39</v>
      </c>
      <c t="s" s="55" r="H67">
        <v>39</v>
      </c>
      <c t="s" s="55" r="I67">
        <v>39</v>
      </c>
      <c t="s" s="55" r="J67">
        <v>39</v>
      </c>
      <c t="s" s="55" r="K67">
        <v>39</v>
      </c>
      <c s="80" r="L67">
        <v>0</v>
      </c>
      <c s="79" r="M67">
        <v>0</v>
      </c>
      <c s="79" r="N67">
        <v>43.8</v>
      </c>
      <c s="79" r="O67">
        <v>0</v>
      </c>
      <c s="32" r="P67">
        <f>SUMIF(Skills!$A$2:$A$9999, A67, Skills!$F$2:$F$9999)</f>
        <v>0</v>
      </c>
      <c s="17" r="Q67">
        <v>43.8</v>
      </c>
      <c s="17" r="R67">
        <f>E67+L67</f>
        <v>41.48</v>
      </c>
      <c s="63" r="S67">
        <f>Q67-R67</f>
        <v>2.32</v>
      </c>
      <c s="39" r="T67">
        <f> (Q67/R67) - 1</f>
        <v>0.055930568948891</v>
      </c>
      <c s="70" r="U67"/>
      <c s="70" r="V67"/>
      <c t="s" s="30" r="W67">
        <v>98</v>
      </c>
      <c s="30" r="X67">
        <v>0</v>
      </c>
      <c t="s" s="30" r="Y67">
        <v>104</v>
      </c>
      <c t="s" s="30" r="Z67">
        <v>42</v>
      </c>
      <c s="30" r="AA67">
        <v>0</v>
      </c>
      <c s="30" r="AB67">
        <v>0</v>
      </c>
      <c s="30" r="AC67">
        <v>0</v>
      </c>
      <c s="30" r="AD67">
        <v>0</v>
      </c>
      <c s="30" r="AE67"/>
      <c t="str" s="8" r="AF67">
        <f>(I67+J67)/R67</f>
        <v>#VALUE!:notNumber:NA</v>
      </c>
      <c t="str" s="28" r="AG67">
        <f>G67/$X67</f>
        <v>#DIV/0!:divZero</v>
      </c>
      <c t="str" s="28" r="AH67">
        <f>H67/$X67</f>
        <v>#DIV/0!:divZero</v>
      </c>
      <c t="str" s="28" r="AI67">
        <f>I67/$X67</f>
        <v>#DIV/0!:divZero</v>
      </c>
      <c t="str" s="28" r="AJ67">
        <f>J67/$X67</f>
        <v>#DIV/0!:divZero</v>
      </c>
      <c t="str" s="28" r="AK67">
        <f>K67/$X67</f>
        <v>#DIV/0!:divZero</v>
      </c>
      <c s="30" r="AL67">
        <v>1</v>
      </c>
    </row>
    <row r="68">
      <c s="30" r="A68">
        <v>67</v>
      </c>
      <c t="s" s="30" r="B68">
        <v>55</v>
      </c>
      <c s="62" r="C68">
        <v>41566</v>
      </c>
      <c s="52" r="D68">
        <v>41566.7395833333</v>
      </c>
      <c s="55" r="E68">
        <f>136*0.07</f>
        <v>9.52</v>
      </c>
      <c s="55" r="F68"/>
      <c t="s" s="55" r="G68">
        <v>39</v>
      </c>
      <c t="s" s="55" r="H68">
        <v>39</v>
      </c>
      <c t="s" s="55" r="I68">
        <v>39</v>
      </c>
      <c t="s" s="55" r="J68">
        <v>39</v>
      </c>
      <c t="s" s="55" r="K68">
        <v>39</v>
      </c>
      <c s="80" r="L68">
        <v>0</v>
      </c>
      <c s="79" r="M68">
        <v>0</v>
      </c>
      <c s="79" r="N68">
        <v>9.54</v>
      </c>
      <c s="79" r="O68">
        <v>0</v>
      </c>
      <c s="32" r="P68">
        <f>SUMIF(Skills!$A$2:$A$9999, A68, Skills!$F$2:$F$9999)</f>
        <v>0</v>
      </c>
      <c s="17" r="Q68">
        <f>N68</f>
        <v>9.54</v>
      </c>
      <c s="17" r="R68">
        <f>E68+L68</f>
        <v>9.52</v>
      </c>
      <c s="63" r="S68">
        <f>Q68-R68</f>
        <v>0.019999999999998</v>
      </c>
      <c s="39" r="T68">
        <f> (Q68/R68) - 1</f>
        <v>0.002100840336134</v>
      </c>
      <c s="70" r="U68"/>
      <c s="70" r="V68"/>
      <c t="s" s="30" r="W68">
        <v>126</v>
      </c>
      <c s="30" r="X68">
        <v>0</v>
      </c>
      <c t="s" s="30" r="Y68">
        <v>104</v>
      </c>
      <c t="s" s="30" r="Z68">
        <v>42</v>
      </c>
      <c s="30" r="AA68">
        <v>0</v>
      </c>
      <c s="30" r="AB68">
        <v>0</v>
      </c>
      <c s="30" r="AC68">
        <v>0</v>
      </c>
      <c s="30" r="AD68">
        <v>0</v>
      </c>
      <c s="30" r="AE68"/>
      <c t="str" s="8" r="AF68">
        <f>(I68+J68)/R68</f>
        <v>#VALUE!:notNumber:NA</v>
      </c>
      <c t="str" s="28" r="AG68">
        <f>G68/$X68</f>
        <v>#DIV/0!:divZero</v>
      </c>
      <c t="str" s="28" r="AH68">
        <f>H68/$X68</f>
        <v>#DIV/0!:divZero</v>
      </c>
      <c t="str" s="28" r="AI68">
        <f>I68/$X68</f>
        <v>#DIV/0!:divZero</v>
      </c>
      <c t="str" s="28" r="AJ68">
        <f>J68/$X68</f>
        <v>#DIV/0!:divZero</v>
      </c>
      <c t="str" s="28" r="AK68">
        <f>K68/$X68</f>
        <v>#DIV/0!:divZero</v>
      </c>
      <c s="30" r="AL68">
        <v>1</v>
      </c>
    </row>
    <row r="69">
      <c s="30" r="A69">
        <v>68</v>
      </c>
      <c t="s" s="30" r="B69">
        <v>55</v>
      </c>
      <c s="62" r="C69">
        <v>41566</v>
      </c>
      <c s="52" r="D69">
        <v>41566.7395833333</v>
      </c>
      <c s="55" r="E69">
        <f>58*0.34</f>
        <v>19.72</v>
      </c>
      <c s="55" r="F69"/>
      <c t="s" s="55" r="G69">
        <v>39</v>
      </c>
      <c t="s" s="55" r="H69">
        <v>39</v>
      </c>
      <c t="s" s="55" r="I69">
        <v>39</v>
      </c>
      <c t="s" s="55" r="J69">
        <v>39</v>
      </c>
      <c t="s" s="55" r="K69">
        <v>39</v>
      </c>
      <c s="80" r="L69">
        <v>0</v>
      </c>
      <c s="79" r="M69">
        <v>0</v>
      </c>
      <c s="79" r="N69">
        <f>(14.96-8.50)+(8.50*1.53)</f>
        <v>19.465</v>
      </c>
      <c s="79" r="O69">
        <v>0</v>
      </c>
      <c s="32" r="P69">
        <f>SUMIF(Skills!$A$2:$A$9999, A69, Skills!$F$2:$F$9999)</f>
        <v>0</v>
      </c>
      <c s="17" r="Q69">
        <f>N69</f>
        <v>19.465</v>
      </c>
      <c s="17" r="R69">
        <f>E69+L69</f>
        <v>19.72</v>
      </c>
      <c s="63" r="S69">
        <f>Q69-R69</f>
        <v>-0.254999999999999</v>
      </c>
      <c s="39" r="T69">
        <f> (Q69/R69) - 1</f>
        <v>-0.012931034482759</v>
      </c>
      <c s="70" r="U69"/>
      <c s="70" r="V69"/>
      <c t="s" s="30" r="W69">
        <v>127</v>
      </c>
      <c s="30" r="X69">
        <v>0</v>
      </c>
      <c t="s" s="30" r="Y69">
        <v>104</v>
      </c>
      <c t="s" s="30" r="Z69">
        <v>42</v>
      </c>
      <c s="30" r="AA69">
        <v>0</v>
      </c>
      <c s="30" r="AB69">
        <v>0</v>
      </c>
      <c s="30" r="AC69">
        <v>0</v>
      </c>
      <c s="30" r="AD69">
        <v>0</v>
      </c>
      <c s="30" r="AE69"/>
      <c t="str" s="8" r="AF69">
        <f>(I69+J69)/R69</f>
        <v>#VALUE!:notNumber:NA</v>
      </c>
      <c t="str" s="28" r="AG69">
        <f>G69/$X69</f>
        <v>#DIV/0!:divZero</v>
      </c>
      <c t="str" s="28" r="AH69">
        <f>H69/$X69</f>
        <v>#DIV/0!:divZero</v>
      </c>
      <c t="str" s="28" r="AI69">
        <f>I69/$X69</f>
        <v>#DIV/0!:divZero</v>
      </c>
      <c t="str" s="28" r="AJ69">
        <f>J69/$X69</f>
        <v>#DIV/0!:divZero</v>
      </c>
      <c t="str" s="28" r="AK69">
        <f>K69/$X69</f>
        <v>#DIV/0!:divZero</v>
      </c>
      <c s="30" r="AL69">
        <v>1</v>
      </c>
    </row>
    <row r="70">
      <c s="30" r="A70">
        <v>69</v>
      </c>
      <c t="s" s="30" r="B70">
        <v>55</v>
      </c>
      <c s="62" r="C70">
        <v>41566</v>
      </c>
      <c s="52" r="D70">
        <v>41566.7395833333</v>
      </c>
      <c s="55" r="E70">
        <f>67*0.23</f>
        <v>15.41</v>
      </c>
      <c s="55" r="F70"/>
      <c t="s" s="55" r="G70">
        <v>39</v>
      </c>
      <c t="s" s="55" r="H70">
        <v>39</v>
      </c>
      <c t="s" s="55" r="I70">
        <v>39</v>
      </c>
      <c t="s" s="55" r="J70">
        <v>39</v>
      </c>
      <c t="s" s="55" r="K70">
        <v>39</v>
      </c>
      <c s="80" r="L70">
        <v>0</v>
      </c>
      <c s="79" r="M70">
        <v>0</v>
      </c>
      <c s="79" r="N70">
        <v>10.6</v>
      </c>
      <c s="79" r="O70">
        <v>0</v>
      </c>
      <c s="32" r="P70">
        <f>SUMIF(Skills!$A$2:$A$9999, A70, Skills!$F$2:$F$9999)</f>
        <v>0</v>
      </c>
      <c s="17" r="Q70">
        <f>N70</f>
        <v>10.6</v>
      </c>
      <c s="17" r="R70">
        <f>E70+L70</f>
        <v>15.41</v>
      </c>
      <c s="63" r="S70">
        <f>Q70-R70</f>
        <v>-4.81</v>
      </c>
      <c s="39" r="T70">
        <f> (Q70/R70) - 1</f>
        <v>-0.312134977287476</v>
      </c>
      <c s="70" r="U70"/>
      <c s="70" r="V70"/>
      <c t="s" s="30" r="W70">
        <v>128</v>
      </c>
      <c s="30" r="X70">
        <v>0</v>
      </c>
      <c t="s" s="30" r="Y70">
        <v>104</v>
      </c>
      <c t="s" s="30" r="Z70">
        <v>42</v>
      </c>
      <c s="30" r="AA70">
        <v>0</v>
      </c>
      <c s="30" r="AB70">
        <v>0</v>
      </c>
      <c s="30" r="AC70">
        <v>0</v>
      </c>
      <c s="30" r="AD70">
        <v>0</v>
      </c>
      <c s="30" r="AE70"/>
      <c t="str" s="8" r="AF70">
        <f>(I70+J70)/R70</f>
        <v>#VALUE!:notNumber:NA</v>
      </c>
      <c t="str" s="28" r="AG70">
        <f>G70/$X70</f>
        <v>#DIV/0!:divZero</v>
      </c>
      <c t="str" s="28" r="AH70">
        <f>H70/$X70</f>
        <v>#DIV/0!:divZero</v>
      </c>
      <c t="str" s="28" r="AI70">
        <f>I70/$X70</f>
        <v>#DIV/0!:divZero</v>
      </c>
      <c t="str" s="28" r="AJ70">
        <f>J70/$X70</f>
        <v>#DIV/0!:divZero</v>
      </c>
      <c t="str" s="28" r="AK70">
        <f>K70/$X70</f>
        <v>#DIV/0!:divZero</v>
      </c>
      <c s="30" r="AL70">
        <v>1</v>
      </c>
    </row>
    <row r="71">
      <c s="30" r="A71">
        <v>70</v>
      </c>
      <c t="s" s="30" r="B71">
        <v>55</v>
      </c>
      <c s="62" r="C71">
        <v>41566</v>
      </c>
      <c s="52" r="D71">
        <v>41566.7395833333</v>
      </c>
      <c s="55" r="E71">
        <f>27*0.94</f>
        <v>25.38</v>
      </c>
      <c s="55" r="F71"/>
      <c t="s" s="55" r="G71">
        <v>39</v>
      </c>
      <c t="s" s="55" r="H71">
        <v>39</v>
      </c>
      <c t="s" s="55" r="I71">
        <v>39</v>
      </c>
      <c t="s" s="55" r="J71">
        <v>39</v>
      </c>
      <c t="s" s="55" r="K71">
        <v>39</v>
      </c>
      <c s="80" r="L71">
        <v>0</v>
      </c>
      <c s="79" r="M71">
        <v>0</v>
      </c>
      <c s="79" r="N71">
        <v>17.41</v>
      </c>
      <c s="79" r="O71">
        <v>0</v>
      </c>
      <c s="32" r="P71">
        <f>SUMIF(Skills!$A$2:$A$9999, A71, Skills!$F$2:$F$9999)</f>
        <v>0</v>
      </c>
      <c s="17" r="Q71">
        <f>N71</f>
        <v>17.41</v>
      </c>
      <c s="17" r="R71">
        <f>E71+L71</f>
        <v>25.38</v>
      </c>
      <c s="63" r="S71">
        <f>Q71-R71</f>
        <v>-7.97</v>
      </c>
      <c s="39" r="T71">
        <f> (Q71/R71) - 1</f>
        <v>-0.314026792750197</v>
      </c>
      <c s="70" r="U71"/>
      <c s="70" r="V71"/>
      <c t="s" s="30" r="W71">
        <v>129</v>
      </c>
      <c s="30" r="X71">
        <v>0</v>
      </c>
      <c t="s" s="30" r="Y71">
        <v>104</v>
      </c>
      <c t="s" s="30" r="Z71">
        <v>42</v>
      </c>
      <c s="30" r="AA71">
        <v>0</v>
      </c>
      <c s="30" r="AB71">
        <v>0</v>
      </c>
      <c s="30" r="AC71">
        <v>0</v>
      </c>
      <c s="30" r="AD71">
        <v>0</v>
      </c>
      <c s="30" r="AE71"/>
      <c t="str" s="8" r="AF71">
        <f>(I71+J71)/R71</f>
        <v>#VALUE!:notNumber:NA</v>
      </c>
      <c t="str" s="28" r="AG71">
        <f>G71/$X71</f>
        <v>#DIV/0!:divZero</v>
      </c>
      <c t="str" s="28" r="AH71">
        <f>H71/$X71</f>
        <v>#DIV/0!:divZero</v>
      </c>
      <c t="str" s="28" r="AI71">
        <f>I71/$X71</f>
        <v>#DIV/0!:divZero</v>
      </c>
      <c t="str" s="28" r="AJ71">
        <f>J71/$X71</f>
        <v>#DIV/0!:divZero</v>
      </c>
      <c t="str" s="28" r="AK71">
        <f>K71/$X71</f>
        <v>#DIV/0!:divZero</v>
      </c>
      <c s="30" r="AL71">
        <v>1</v>
      </c>
    </row>
    <row r="72">
      <c s="30" r="A72">
        <v>71</v>
      </c>
      <c t="s" s="30" r="B72">
        <v>55</v>
      </c>
      <c s="62" r="C72">
        <v>41566</v>
      </c>
      <c s="52" r="D72">
        <v>41566.7395833333</v>
      </c>
      <c s="55" r="E72">
        <f>0.8*94</f>
        <v>75.2</v>
      </c>
      <c s="55" r="F72"/>
      <c t="s" s="55" r="G72">
        <v>39</v>
      </c>
      <c t="s" s="55" r="H72">
        <v>39</v>
      </c>
      <c t="s" s="55" r="I72">
        <v>39</v>
      </c>
      <c t="s" s="55" r="J72">
        <v>39</v>
      </c>
      <c t="s" s="55" r="K72">
        <v>39</v>
      </c>
      <c s="80" r="L72">
        <v>0</v>
      </c>
      <c s="79" r="M72">
        <v>0</v>
      </c>
      <c s="79" r="N72">
        <v>56.87</v>
      </c>
      <c s="79" r="O72">
        <v>0</v>
      </c>
      <c s="32" r="P72">
        <f>SUMIF(Skills!$A$2:$A$9999, A72, Skills!$F$2:$F$9999)</f>
        <v>0</v>
      </c>
      <c s="17" r="Q72">
        <f>N72</f>
        <v>56.87</v>
      </c>
      <c s="17" r="R72">
        <f>E72+L72</f>
        <v>75.2</v>
      </c>
      <c s="63" r="S72">
        <f>Q72-R72</f>
        <v>-18.33</v>
      </c>
      <c s="39" r="T72">
        <f> (Q72/R72) - 1</f>
        <v>-0.24375</v>
      </c>
      <c s="70" r="U72"/>
      <c s="70" r="V72"/>
      <c t="s" s="30" r="W72">
        <v>130</v>
      </c>
      <c s="30" r="X72">
        <v>0</v>
      </c>
      <c t="s" s="30" r="Y72">
        <v>104</v>
      </c>
      <c t="s" s="30" r="Z72">
        <v>42</v>
      </c>
      <c s="30" r="AA72">
        <v>0</v>
      </c>
      <c s="30" r="AB72">
        <v>0</v>
      </c>
      <c s="30" r="AC72">
        <v>0</v>
      </c>
      <c s="30" r="AD72">
        <v>0</v>
      </c>
      <c s="30" r="AE72"/>
      <c t="str" s="8" r="AF72">
        <f>(I72+J72)/R72</f>
        <v>#VALUE!:notNumber:NA</v>
      </c>
      <c t="str" s="28" r="AG72">
        <f>G72/$X72</f>
        <v>#DIV/0!:divZero</v>
      </c>
      <c t="str" s="28" r="AH72">
        <f>H72/$X72</f>
        <v>#DIV/0!:divZero</v>
      </c>
      <c t="str" s="28" r="AI72">
        <f>I72/$X72</f>
        <v>#DIV/0!:divZero</v>
      </c>
      <c t="str" s="28" r="AJ72">
        <f>J72/$X72</f>
        <v>#DIV/0!:divZero</v>
      </c>
      <c t="str" s="28" r="AK72">
        <f>K72/$X72</f>
        <v>#DIV/0!:divZero</v>
      </c>
      <c s="30" r="AL72">
        <v>1</v>
      </c>
    </row>
    <row r="73">
      <c s="30" r="A73">
        <v>72</v>
      </c>
      <c t="s" s="30" r="B73">
        <v>55</v>
      </c>
      <c s="62" r="C73">
        <v>41566</v>
      </c>
      <c s="52" r="D73">
        <v>41566.90625</v>
      </c>
      <c s="55" r="E73">
        <f>129*1.15</f>
        <v>148.35</v>
      </c>
      <c s="55" r="F73"/>
      <c t="s" s="55" r="G73">
        <v>39</v>
      </c>
      <c t="s" s="55" r="H73">
        <v>39</v>
      </c>
      <c t="s" s="55" r="I73">
        <v>39</v>
      </c>
      <c t="s" s="55" r="J73">
        <v>39</v>
      </c>
      <c t="s" s="55" r="K73">
        <v>39</v>
      </c>
      <c s="80" r="L73">
        <v>0</v>
      </c>
      <c s="79" r="M73">
        <v>0</v>
      </c>
      <c s="79" r="N73">
        <f>SUMIF(Sellables!$A$2:$A$11482, A73, Sellables!$E$2:$E$11482)</f>
        <v>144.59</v>
      </c>
      <c s="79" r="O73">
        <v>0</v>
      </c>
      <c s="32" r="P73">
        <f>SUMIF(Skills!$A$2:$A$9999, A73, Skills!$F$2:$F$9999)</f>
        <v>0</v>
      </c>
      <c s="20" r="Q73">
        <f>SUMIF(Sellables!A69:A11553, A73,Sellables!G69:G11553)+P73</f>
        <v>149.47</v>
      </c>
      <c s="17" r="R73">
        <f>E73+L73</f>
        <v>148.35</v>
      </c>
      <c s="63" r="S73">
        <f>Q73-R73</f>
        <v>1.12</v>
      </c>
      <c s="39" r="T73">
        <f> (Q73/R73) - 1</f>
        <v>0.007549713515335</v>
      </c>
      <c s="70" r="U73"/>
      <c s="70" r="V73"/>
      <c t="s" s="30" r="W73">
        <v>68</v>
      </c>
      <c s="30" r="X73">
        <v>0</v>
      </c>
      <c t="s" s="30" r="Y73">
        <v>104</v>
      </c>
      <c t="s" s="30" r="Z73">
        <v>42</v>
      </c>
      <c s="30" r="AA73">
        <v>0</v>
      </c>
      <c s="30" r="AB73">
        <v>1</v>
      </c>
      <c s="30" r="AC73">
        <v>1</v>
      </c>
      <c s="30" r="AD73">
        <v>0</v>
      </c>
      <c s="30" r="AE73"/>
      <c t="str" s="8" r="AF73">
        <f>(I73+J73)/R73</f>
        <v>#VALUE!:notNumber:NA</v>
      </c>
      <c t="str" s="28" r="AG73">
        <f>G73/$X73</f>
        <v>#DIV/0!:divZero</v>
      </c>
      <c t="str" s="28" r="AH73">
        <f>H73/$X73</f>
        <v>#DIV/0!:divZero</v>
      </c>
      <c t="str" s="28" r="AI73">
        <f>I73/$X73</f>
        <v>#DIV/0!:divZero</v>
      </c>
      <c t="str" s="28" r="AJ73">
        <f>J73/$X73</f>
        <v>#DIV/0!:divZero</v>
      </c>
      <c t="str" s="28" r="AK73">
        <f>K73/$X73</f>
        <v>#DIV/0!:divZero</v>
      </c>
      <c s="30" r="AL73">
        <v>1</v>
      </c>
    </row>
    <row r="74">
      <c s="30" r="A74">
        <v>73</v>
      </c>
      <c t="s" s="30" r="B74">
        <v>38</v>
      </c>
      <c s="62" r="C74">
        <v>41567</v>
      </c>
      <c s="52" r="D74">
        <v>41567.0034722222</v>
      </c>
      <c s="55" r="E74">
        <v>200</v>
      </c>
      <c s="55" r="F74"/>
      <c t="s" s="55" r="G74">
        <v>39</v>
      </c>
      <c t="s" s="55" r="H74">
        <v>39</v>
      </c>
      <c t="s" s="55" r="I74">
        <v>39</v>
      </c>
      <c t="s" s="55" r="J74">
        <v>39</v>
      </c>
      <c t="s" s="55" r="K74">
        <v>39</v>
      </c>
      <c s="80" r="L74">
        <v>94.83</v>
      </c>
      <c s="79" r="M74">
        <v>0</v>
      </c>
      <c s="79" r="N74">
        <f>SUMIF(Sellables!$A$2:$A$11482, A74, Sellables!$E$2:$E$11482)</f>
        <v>355.44</v>
      </c>
      <c s="79" r="O74">
        <v>0</v>
      </c>
      <c s="32" r="P74">
        <f>SUMIF(Skills!$A$2:$A$9999, A74, Skills!$F$2:$F$9999)</f>
        <v>0</v>
      </c>
      <c s="20" r="Q74">
        <f>SUMIF(Sellables!A70:A11554, A74,Sellables!G70:G11554)+P74</f>
        <v>401.3</v>
      </c>
      <c s="17" r="R74">
        <f>E74+L74</f>
        <v>294.83</v>
      </c>
      <c s="63" r="S74">
        <f>Q74-R74</f>
        <v>106.47</v>
      </c>
      <c s="39" r="T74">
        <f> (Q74/R74) - 1</f>
        <v>0.36112335922396</v>
      </c>
      <c s="70" r="U74"/>
      <c s="70" r="V74"/>
      <c t="s" s="30" r="W74">
        <v>131</v>
      </c>
      <c s="30" r="X74">
        <v>0</v>
      </c>
      <c t="s" s="30" r="Y74">
        <v>132</v>
      </c>
      <c t="s" s="30" r="Z74">
        <v>42</v>
      </c>
      <c s="30" r="AA74">
        <v>0</v>
      </c>
      <c s="30" r="AB74">
        <v>0</v>
      </c>
      <c s="30" r="AC74">
        <v>2</v>
      </c>
      <c s="30" r="AD74">
        <v>0</v>
      </c>
      <c s="30" r="AE74"/>
      <c t="str" s="8" r="AF74">
        <f>(I74+J74)/R74</f>
        <v>#VALUE!:notNumber:NA</v>
      </c>
      <c t="str" s="28" r="AG74">
        <f>G74/$X74</f>
        <v>#DIV/0!:divZero</v>
      </c>
      <c t="str" s="28" r="AH74">
        <f>H74/$X74</f>
        <v>#DIV/0!:divZero</v>
      </c>
      <c t="str" s="28" r="AI74">
        <f>I74/$X74</f>
        <v>#DIV/0!:divZero</v>
      </c>
      <c t="str" s="28" r="AJ74">
        <f>J74/$X74</f>
        <v>#DIV/0!:divZero</v>
      </c>
      <c t="str" s="28" r="AK74">
        <f>K74/$X74</f>
        <v>#DIV/0!:divZero</v>
      </c>
      <c s="30" r="AL74">
        <v>1</v>
      </c>
    </row>
    <row r="75">
      <c s="30" r="A75">
        <v>74</v>
      </c>
      <c t="s" s="30" r="B75">
        <v>38</v>
      </c>
      <c s="62" r="C75">
        <v>41567</v>
      </c>
      <c s="52" r="D75">
        <v>41567.4965277778</v>
      </c>
      <c s="55" r="E75">
        <v>200</v>
      </c>
      <c s="55" r="F75"/>
      <c t="s" s="55" r="G75">
        <v>39</v>
      </c>
      <c t="s" s="55" r="H75">
        <v>39</v>
      </c>
      <c t="s" s="55" r="I75">
        <v>39</v>
      </c>
      <c t="s" s="55" r="J75">
        <v>39</v>
      </c>
      <c t="s" s="55" r="K75">
        <v>39</v>
      </c>
      <c s="80" r="L75">
        <v>86.23</v>
      </c>
      <c s="79" r="M75">
        <v>69.92</v>
      </c>
      <c s="79" r="N75">
        <v>162.84</v>
      </c>
      <c s="79" r="O75">
        <f>SUMIF(Sellables!$A$2:$A$11482, A75, Sellables!$E$2:$E$11482)</f>
        <v>25.48</v>
      </c>
      <c s="32" r="P75">
        <f>SUMIF(Skills!$A$2:$A$9999, A75, Skills!$F$2:$F$9999)</f>
        <v>0</v>
      </c>
      <c s="20" r="Q75">
        <f>((M75+N75)+O75)+P75</f>
        <v>258.24</v>
      </c>
      <c s="17" r="R75">
        <f>E75+L75</f>
        <v>286.23</v>
      </c>
      <c s="63" r="S75">
        <f>Q75-R75</f>
        <v>-27.99</v>
      </c>
      <c s="39" r="T75">
        <f> (Q75/R75) - 1</f>
        <v>-0.097788491772351</v>
      </c>
      <c s="70" r="U75"/>
      <c s="70" r="V75"/>
      <c t="s" s="30" r="W75">
        <v>131</v>
      </c>
      <c s="30" r="X75">
        <v>0</v>
      </c>
      <c t="s" s="30" r="Y75">
        <v>132</v>
      </c>
      <c t="s" s="30" r="Z75">
        <v>42</v>
      </c>
      <c s="30" r="AA75">
        <v>0</v>
      </c>
      <c s="30" r="AB75">
        <v>0</v>
      </c>
      <c s="30" r="AC75">
        <v>1</v>
      </c>
      <c s="30" r="AD75">
        <v>0</v>
      </c>
      <c s="30" r="AE75"/>
      <c t="str" s="8" r="AF75">
        <f>(I75+J75)/R75</f>
        <v>#VALUE!:notNumber:NA</v>
      </c>
      <c t="str" s="28" r="AG75">
        <f>G75/$X75</f>
        <v>#DIV/0!:divZero</v>
      </c>
      <c t="str" s="28" r="AH75">
        <f>H75/$X75</f>
        <v>#DIV/0!:divZero</v>
      </c>
      <c t="str" s="28" r="AI75">
        <f>I75/$X75</f>
        <v>#DIV/0!:divZero</v>
      </c>
      <c t="str" s="28" r="AJ75">
        <f>J75/$X75</f>
        <v>#DIV/0!:divZero</v>
      </c>
      <c t="str" s="28" r="AK75">
        <f>K75/$X75</f>
        <v>#DIV/0!:divZero</v>
      </c>
      <c s="30" r="AL75">
        <v>1</v>
      </c>
    </row>
    <row r="76">
      <c s="30" r="A76">
        <v>75</v>
      </c>
      <c t="s" s="30" r="B76">
        <v>38</v>
      </c>
      <c s="62" r="C76">
        <v>41567</v>
      </c>
      <c s="52" r="D76">
        <v>41567.6243055556</v>
      </c>
      <c s="55" r="E76">
        <v>200</v>
      </c>
      <c s="55" r="F76"/>
      <c t="s" s="55" r="G76">
        <v>39</v>
      </c>
      <c t="s" s="55" r="H76">
        <v>39</v>
      </c>
      <c t="s" s="55" r="I76">
        <v>39</v>
      </c>
      <c t="s" s="55" r="J76">
        <v>39</v>
      </c>
      <c t="s" s="55" r="K76">
        <v>39</v>
      </c>
      <c s="80" r="L76">
        <v>93.7</v>
      </c>
      <c s="79" r="M76">
        <v>0</v>
      </c>
      <c s="79" r="N76">
        <f>SUMIF(Sellables!$A$2:$A$11482, A76, Sellables!$E$2:$E$11482)</f>
        <v>317.1</v>
      </c>
      <c s="79" r="O76">
        <v>0</v>
      </c>
      <c s="32" r="P76">
        <f>SUMIF(Skills!$A$2:$A$9999, A76, Skills!$F$2:$F$9999)</f>
        <v>0</v>
      </c>
      <c s="20" r="Q76">
        <f>SUMIF(Sellables!A72:A11556, A76,Sellables!G72:G11556)+P76</f>
        <v>331.763384</v>
      </c>
      <c s="17" r="R76">
        <f>E76+L76</f>
        <v>293.7</v>
      </c>
      <c s="63" r="S76">
        <f>Q76-R76</f>
        <v>38.063384</v>
      </c>
      <c s="39" r="T76">
        <f> (Q76/R76) - 1</f>
        <v>0.129599536942459</v>
      </c>
      <c s="70" r="U76"/>
      <c s="70" r="V76"/>
      <c t="s" s="30" r="W76">
        <v>131</v>
      </c>
      <c s="30" r="X76">
        <v>0</v>
      </c>
      <c t="s" s="30" r="Y76">
        <v>132</v>
      </c>
      <c t="s" s="30" r="Z76">
        <v>42</v>
      </c>
      <c s="30" r="AA76">
        <v>0</v>
      </c>
      <c s="30" r="AB76">
        <v>0</v>
      </c>
      <c s="30" r="AC76">
        <v>2</v>
      </c>
      <c s="30" r="AD76">
        <v>1</v>
      </c>
      <c s="30" r="AE76"/>
      <c t="str" s="8" r="AF76">
        <f>(I76+J76)/R76</f>
        <v>#VALUE!:notNumber:NA</v>
      </c>
      <c t="str" s="28" r="AG76">
        <f>G76/$X76</f>
        <v>#DIV/0!:divZero</v>
      </c>
      <c t="str" s="28" r="AH76">
        <f>H76/$X76</f>
        <v>#DIV/0!:divZero</v>
      </c>
      <c t="str" s="28" r="AI76">
        <f>I76/$X76</f>
        <v>#DIV/0!:divZero</v>
      </c>
      <c t="str" s="28" r="AJ76">
        <f>J76/$X76</f>
        <v>#DIV/0!:divZero</v>
      </c>
      <c t="str" s="28" r="AK76">
        <f>K76/$X76</f>
        <v>#DIV/0!:divZero</v>
      </c>
      <c s="30" r="AL76">
        <v>1</v>
      </c>
    </row>
    <row r="77">
      <c s="30" r="A77">
        <v>76</v>
      </c>
      <c t="s" s="30" r="B77">
        <v>55</v>
      </c>
      <c s="62" r="C77">
        <v>41567</v>
      </c>
      <c s="52" r="D77">
        <v>41567.71875</v>
      </c>
      <c s="55" r="E77">
        <f>35*0.61</f>
        <v>21.35</v>
      </c>
      <c s="55" r="F77"/>
      <c t="s" s="55" r="G77">
        <v>39</v>
      </c>
      <c t="s" s="55" r="H77">
        <v>39</v>
      </c>
      <c t="s" s="55" r="I77">
        <v>39</v>
      </c>
      <c t="s" s="55" r="J77">
        <v>39</v>
      </c>
      <c t="s" s="55" r="K77">
        <v>39</v>
      </c>
      <c s="80" r="L77">
        <v>0</v>
      </c>
      <c s="79" r="M77">
        <v>0</v>
      </c>
      <c s="79" r="N77">
        <v>42.48</v>
      </c>
      <c s="79" r="O77">
        <v>0</v>
      </c>
      <c s="32" r="P77">
        <f>SUMIF(Skills!$A$2:$A$9999, A77, Skills!$F$2:$F$9999)</f>
        <v>0</v>
      </c>
      <c s="17" r="Q77">
        <v>42.48</v>
      </c>
      <c s="17" r="R77">
        <f>E77+L77</f>
        <v>21.35</v>
      </c>
      <c s="63" r="S77">
        <f>Q77-R77</f>
        <v>21.13</v>
      </c>
      <c s="39" r="T77">
        <f> (Q77/R77) - 1</f>
        <v>0.989695550351288</v>
      </c>
      <c s="70" r="U77"/>
      <c s="70" r="V77"/>
      <c t="s" s="30" r="W77">
        <v>98</v>
      </c>
      <c s="30" r="X77">
        <v>0</v>
      </c>
      <c t="s" s="30" r="Y77">
        <v>132</v>
      </c>
      <c t="s" s="30" r="Z77">
        <v>42</v>
      </c>
      <c s="30" r="AA77">
        <v>0</v>
      </c>
      <c s="30" r="AB77">
        <v>0</v>
      </c>
      <c s="30" r="AC77">
        <v>0</v>
      </c>
      <c s="30" r="AD77">
        <v>0</v>
      </c>
      <c s="30" r="AE77"/>
      <c t="str" s="8" r="AF77">
        <f>(I77+J77)/R77</f>
        <v>#VALUE!:notNumber:NA</v>
      </c>
      <c t="str" s="28" r="AG77">
        <f>G77/$X77</f>
        <v>#DIV/0!:divZero</v>
      </c>
      <c t="str" s="28" r="AH77">
        <f>H77/$X77</f>
        <v>#DIV/0!:divZero</v>
      </c>
      <c t="str" s="28" r="AI77">
        <f>I77/$X77</f>
        <v>#DIV/0!:divZero</v>
      </c>
      <c t="str" s="28" r="AJ77">
        <f>J77/$X77</f>
        <v>#DIV/0!:divZero</v>
      </c>
      <c t="str" s="28" r="AK77">
        <f>K77/$X77</f>
        <v>#DIV/0!:divZero</v>
      </c>
      <c s="30" r="AL77">
        <v>1</v>
      </c>
    </row>
    <row r="78">
      <c s="30" r="A78">
        <v>77</v>
      </c>
      <c t="s" s="30" r="B78">
        <v>55</v>
      </c>
      <c s="62" r="C78">
        <v>41567</v>
      </c>
      <c s="52" r="D78">
        <v>41567.71875</v>
      </c>
      <c s="55" r="E78">
        <f>117*0.31</f>
        <v>36.27</v>
      </c>
      <c s="55" r="F78"/>
      <c t="s" s="55" r="G78">
        <v>39</v>
      </c>
      <c t="s" s="55" r="H78">
        <v>39</v>
      </c>
      <c t="s" s="55" r="I78">
        <v>39</v>
      </c>
      <c t="s" s="55" r="J78">
        <v>39</v>
      </c>
      <c t="s" s="55" r="K78">
        <v>39</v>
      </c>
      <c s="80" r="L78">
        <v>0</v>
      </c>
      <c s="79" r="M78">
        <v>0</v>
      </c>
      <c s="79" r="N78">
        <v>44.81</v>
      </c>
      <c s="79" r="O78">
        <v>0</v>
      </c>
      <c s="32" r="P78">
        <f>SUMIF(Skills!$A$2:$A$9999, A78, Skills!$F$2:$F$9999)</f>
        <v>0</v>
      </c>
      <c s="17" r="Q78">
        <v>44.81</v>
      </c>
      <c s="17" r="R78">
        <f>E78+L78</f>
        <v>36.27</v>
      </c>
      <c s="63" r="S78">
        <f>Q78-R78</f>
        <v>8.54</v>
      </c>
      <c s="39" r="T78">
        <f> (Q78/R78) - 1</f>
        <v>0.235456299972429</v>
      </c>
      <c s="70" r="U78"/>
      <c s="70" r="V78"/>
      <c t="s" s="30" r="W78">
        <v>133</v>
      </c>
      <c s="30" r="X78">
        <v>0</v>
      </c>
      <c t="s" s="30" r="Y78">
        <v>132</v>
      </c>
      <c t="s" s="30" r="Z78">
        <v>42</v>
      </c>
      <c s="30" r="AA78">
        <v>0</v>
      </c>
      <c s="30" r="AB78">
        <v>1</v>
      </c>
      <c s="30" r="AC78">
        <v>0</v>
      </c>
      <c s="30" r="AD78">
        <v>0</v>
      </c>
      <c s="30" r="AE78"/>
      <c t="str" s="8" r="AF78">
        <f>(I78+J78)/R78</f>
        <v>#VALUE!:notNumber:NA</v>
      </c>
      <c t="str" s="28" r="AG78">
        <f>G78/$X78</f>
        <v>#DIV/0!:divZero</v>
      </c>
      <c t="str" s="28" r="AH78">
        <f>H78/$X78</f>
        <v>#DIV/0!:divZero</v>
      </c>
      <c t="str" s="28" r="AI78">
        <f>I78/$X78</f>
        <v>#DIV/0!:divZero</v>
      </c>
      <c t="str" s="28" r="AJ78">
        <f>J78/$X78</f>
        <v>#DIV/0!:divZero</v>
      </c>
      <c t="str" s="28" r="AK78">
        <f>K78/$X78</f>
        <v>#DIV/0!:divZero</v>
      </c>
      <c s="30" r="AL78">
        <v>1</v>
      </c>
    </row>
    <row r="79">
      <c s="30" r="A79">
        <v>78</v>
      </c>
      <c t="s" s="30" r="B79">
        <v>55</v>
      </c>
      <c s="62" r="C79">
        <v>41567</v>
      </c>
      <c s="52" r="D79">
        <v>41567.71875</v>
      </c>
      <c s="55" r="E79">
        <f>9*6.99</f>
        <v>62.91</v>
      </c>
      <c s="55" r="F79"/>
      <c t="s" s="55" r="G79">
        <v>39</v>
      </c>
      <c t="s" s="55" r="H79">
        <v>39</v>
      </c>
      <c t="s" s="55" r="I79">
        <v>39</v>
      </c>
      <c t="s" s="55" r="J79">
        <v>39</v>
      </c>
      <c t="s" s="55" r="K79">
        <v>39</v>
      </c>
      <c s="80" r="L79">
        <v>0</v>
      </c>
      <c s="79" r="M79">
        <v>0</v>
      </c>
      <c s="79" r="N79">
        <v>47.62</v>
      </c>
      <c s="79" r="O79">
        <v>0</v>
      </c>
      <c s="32" r="P79">
        <f>SUMIF(Skills!$A$2:$A$9999, A79, Skills!$F$2:$F$9999)</f>
        <v>0</v>
      </c>
      <c s="17" r="Q79">
        <v>47.62</v>
      </c>
      <c s="17" r="R79">
        <f>E79+L79</f>
        <v>62.91</v>
      </c>
      <c s="63" r="S79">
        <f>Q79-R79</f>
        <v>-15.29</v>
      </c>
      <c s="39" r="T79">
        <f> (Q79/R79) - 1</f>
        <v>-0.243045620728024</v>
      </c>
      <c s="70" r="U79"/>
      <c s="70" r="V79"/>
      <c t="s" s="30" r="W79">
        <v>134</v>
      </c>
      <c s="30" r="X79">
        <v>0</v>
      </c>
      <c t="s" s="30" r="Y79">
        <v>132</v>
      </c>
      <c t="s" s="30" r="Z79">
        <v>42</v>
      </c>
      <c s="30" r="AA79">
        <v>0</v>
      </c>
      <c s="30" r="AB79">
        <v>1</v>
      </c>
      <c s="30" r="AC79">
        <v>0</v>
      </c>
      <c s="30" r="AD79">
        <v>0</v>
      </c>
      <c s="30" r="AE79"/>
      <c t="str" s="8" r="AF79">
        <f>(I79+J79)/R79</f>
        <v>#VALUE!:notNumber:NA</v>
      </c>
      <c t="str" s="28" r="AG79">
        <f>G79/$X79</f>
        <v>#DIV/0!:divZero</v>
      </c>
      <c t="str" s="28" r="AH79">
        <f>H79/$X79</f>
        <v>#DIV/0!:divZero</v>
      </c>
      <c t="str" s="28" r="AI79">
        <f>I79/$X79</f>
        <v>#DIV/0!:divZero</v>
      </c>
      <c t="str" s="28" r="AJ79">
        <f>J79/$X79</f>
        <v>#DIV/0!:divZero</v>
      </c>
      <c t="str" s="28" r="AK79">
        <f>K79/$X79</f>
        <v>#DIV/0!:divZero</v>
      </c>
      <c s="30" r="AL79">
        <v>1</v>
      </c>
    </row>
    <row r="80">
      <c s="30" r="A80">
        <v>79</v>
      </c>
      <c t="s" s="30" r="B80">
        <v>55</v>
      </c>
      <c s="62" r="C80">
        <v>41567</v>
      </c>
      <c s="52" r="D80">
        <v>41567.71875</v>
      </c>
      <c s="55" r="E80">
        <f>9*1.77</f>
        <v>15.93</v>
      </c>
      <c s="55" r="F80"/>
      <c t="s" s="55" r="G80">
        <v>39</v>
      </c>
      <c t="s" s="55" r="H80">
        <v>39</v>
      </c>
      <c t="s" s="55" r="I80">
        <v>39</v>
      </c>
      <c t="s" s="55" r="J80">
        <v>39</v>
      </c>
      <c t="s" s="55" r="K80">
        <v>39</v>
      </c>
      <c s="80" r="L80">
        <v>0</v>
      </c>
      <c s="79" r="M80">
        <v>0</v>
      </c>
      <c s="79" r="N80">
        <v>10.34</v>
      </c>
      <c s="79" r="O80">
        <v>0</v>
      </c>
      <c s="32" r="P80">
        <f>SUMIF(Skills!$A$2:$A$9999, A80, Skills!$F$2:$F$9999)</f>
        <v>0</v>
      </c>
      <c s="17" r="Q80">
        <v>10.34</v>
      </c>
      <c s="17" r="R80">
        <f>E80+L80</f>
        <v>15.93</v>
      </c>
      <c s="63" r="S80">
        <f>Q80-R80</f>
        <v>-5.59</v>
      </c>
      <c s="39" r="T80">
        <f> (Q80/R80) - 1</f>
        <v>-0.350910232266164</v>
      </c>
      <c s="70" r="U80"/>
      <c s="70" r="V80"/>
      <c t="s" s="30" r="W80">
        <v>135</v>
      </c>
      <c s="30" r="X80">
        <v>0</v>
      </c>
      <c t="s" s="30" r="Y80">
        <v>132</v>
      </c>
      <c t="s" s="30" r="Z80">
        <v>42</v>
      </c>
      <c s="30" r="AA80">
        <v>0</v>
      </c>
      <c s="30" r="AB80">
        <v>1</v>
      </c>
      <c s="30" r="AC80">
        <v>0</v>
      </c>
      <c s="30" r="AD80">
        <v>0</v>
      </c>
      <c s="30" r="AE80"/>
      <c t="str" s="8" r="AF80">
        <f>(I80+J80)/R80</f>
        <v>#VALUE!:notNumber:NA</v>
      </c>
      <c t="str" s="28" r="AG80">
        <f>G80/$X80</f>
        <v>#DIV/0!:divZero</v>
      </c>
      <c t="str" s="28" r="AH80">
        <f>H80/$X80</f>
        <v>#DIV/0!:divZero</v>
      </c>
      <c t="str" s="28" r="AI80">
        <f>I80/$X80</f>
        <v>#DIV/0!:divZero</v>
      </c>
      <c t="str" s="28" r="AJ80">
        <f>J80/$X80</f>
        <v>#DIV/0!:divZero</v>
      </c>
      <c t="str" s="28" r="AK80">
        <f>K80/$X80</f>
        <v>#DIV/0!:divZero</v>
      </c>
      <c s="30" r="AL80">
        <v>1</v>
      </c>
    </row>
    <row r="81">
      <c s="30" r="A81">
        <v>80</v>
      </c>
      <c t="s" s="30" r="B81">
        <v>55</v>
      </c>
      <c s="62" r="C81">
        <v>41567</v>
      </c>
      <c s="52" r="D81">
        <v>41567.71875</v>
      </c>
      <c s="55" r="E81">
        <f>562*0.7</f>
        <v>393.4</v>
      </c>
      <c s="55" r="F81"/>
      <c t="s" s="55" r="G81">
        <v>39</v>
      </c>
      <c t="s" s="55" r="H81">
        <v>39</v>
      </c>
      <c t="s" s="55" r="I81">
        <v>39</v>
      </c>
      <c t="s" s="55" r="J81">
        <v>39</v>
      </c>
      <c t="s" s="55" r="K81">
        <v>39</v>
      </c>
      <c s="80" r="L81">
        <v>0</v>
      </c>
      <c s="79" r="M81">
        <v>0</v>
      </c>
      <c s="79" r="N81">
        <v>365.56</v>
      </c>
      <c s="79" r="O81">
        <v>0</v>
      </c>
      <c s="32" r="P81">
        <f>SUMIF(Skills!$A$2:$A$9999, A81, Skills!$F$2:$F$9999)</f>
        <v>0</v>
      </c>
      <c s="17" r="Q81">
        <f>N81</f>
        <v>365.56</v>
      </c>
      <c s="17" r="R81">
        <f>E81+L81</f>
        <v>393.4</v>
      </c>
      <c s="63" r="S81">
        <f>Q81-R81</f>
        <v>-27.84</v>
      </c>
      <c s="39" r="T81">
        <f> (Q81/R81) - 1</f>
        <v>-0.070767666497204</v>
      </c>
      <c s="70" r="U81"/>
      <c s="70" r="V81"/>
      <c t="s" s="30" r="W81">
        <v>56</v>
      </c>
      <c s="30" r="X81">
        <v>0</v>
      </c>
      <c t="s" s="30" r="Y81">
        <v>132</v>
      </c>
      <c t="s" s="30" r="Z81">
        <v>42</v>
      </c>
      <c s="30" r="AA81">
        <v>0</v>
      </c>
      <c s="30" r="AB81">
        <v>1</v>
      </c>
      <c s="30" r="AC81">
        <v>0</v>
      </c>
      <c s="30" r="AD81">
        <v>0</v>
      </c>
      <c s="30" r="AE81"/>
      <c t="str" s="8" r="AF81">
        <f>(I81+J81)/R81</f>
        <v>#VALUE!:notNumber:NA</v>
      </c>
      <c t="str" s="28" r="AG81">
        <f>G81/$X81</f>
        <v>#DIV/0!:divZero</v>
      </c>
      <c t="str" s="28" r="AH81">
        <f>H81/$X81</f>
        <v>#DIV/0!:divZero</v>
      </c>
      <c t="str" s="28" r="AI81">
        <f>I81/$X81</f>
        <v>#DIV/0!:divZero</v>
      </c>
      <c t="str" s="28" r="AJ81">
        <f>J81/$X81</f>
        <v>#DIV/0!:divZero</v>
      </c>
      <c t="str" s="28" r="AK81">
        <f>K81/$X81</f>
        <v>#DIV/0!:divZero</v>
      </c>
      <c s="30" r="AL81">
        <v>1</v>
      </c>
    </row>
    <row r="82">
      <c s="30" r="A82">
        <v>81</v>
      </c>
      <c t="s" s="30" r="B82">
        <v>55</v>
      </c>
      <c s="62" r="C82">
        <v>41567</v>
      </c>
      <c s="52" r="D82">
        <v>41567.71875</v>
      </c>
      <c s="55" r="E82">
        <f>652*0.07</f>
        <v>45.64</v>
      </c>
      <c s="55" r="F82"/>
      <c t="s" s="55" r="G82">
        <v>39</v>
      </c>
      <c t="s" s="55" r="H82">
        <v>39</v>
      </c>
      <c t="s" s="55" r="I82">
        <v>39</v>
      </c>
      <c t="s" s="55" r="J82">
        <v>39</v>
      </c>
      <c t="s" s="55" r="K82">
        <v>39</v>
      </c>
      <c s="80" r="L82">
        <v>0</v>
      </c>
      <c s="79" r="M82">
        <v>0</v>
      </c>
      <c s="79" r="N82">
        <v>38.78</v>
      </c>
      <c s="79" r="O82">
        <v>0</v>
      </c>
      <c s="32" r="P82">
        <f>SUMIF(Skills!$A$2:$A$9999, A82, Skills!$F$2:$F$9999)</f>
        <v>0</v>
      </c>
      <c s="17" r="Q82">
        <f>N82</f>
        <v>38.78</v>
      </c>
      <c s="17" r="R82">
        <f>E82+L82</f>
        <v>45.64</v>
      </c>
      <c s="63" r="S82">
        <f>Q82-R82</f>
        <v>-6.86000000000001</v>
      </c>
      <c s="39" r="T82">
        <f> (Q82/R82) - 1</f>
        <v>-0.150306748466258</v>
      </c>
      <c s="70" r="U82"/>
      <c s="70" r="V82"/>
      <c t="s" s="30" r="W82">
        <v>120</v>
      </c>
      <c s="30" r="X82">
        <v>0</v>
      </c>
      <c t="s" s="30" r="Y82">
        <v>132</v>
      </c>
      <c t="s" s="30" r="Z82">
        <v>42</v>
      </c>
      <c s="30" r="AA82">
        <v>0</v>
      </c>
      <c s="30" r="AB82">
        <v>0</v>
      </c>
      <c s="30" r="AC82">
        <v>0</v>
      </c>
      <c s="30" r="AD82">
        <v>0</v>
      </c>
      <c s="30" r="AE82"/>
      <c t="str" s="8" r="AF82">
        <f>(I82+J82)/R82</f>
        <v>#VALUE!:notNumber:NA</v>
      </c>
      <c t="str" s="28" r="AG82">
        <f>G82/$X82</f>
        <v>#DIV/0!:divZero</v>
      </c>
      <c t="str" s="28" r="AH82">
        <f>H82/$X82</f>
        <v>#DIV/0!:divZero</v>
      </c>
      <c t="str" s="28" r="AI82">
        <f>I82/$X82</f>
        <v>#DIV/0!:divZero</v>
      </c>
      <c t="str" s="28" r="AJ82">
        <f>J82/$X82</f>
        <v>#DIV/0!:divZero</v>
      </c>
      <c t="str" s="28" r="AK82">
        <f>K82/$X82</f>
        <v>#DIV/0!:divZero</v>
      </c>
      <c s="30" r="AL82">
        <v>1</v>
      </c>
    </row>
    <row r="83">
      <c s="30" r="A83">
        <v>82</v>
      </c>
      <c t="s" s="30" r="B83">
        <v>55</v>
      </c>
      <c s="62" r="C83">
        <v>41567</v>
      </c>
      <c s="52" r="D83">
        <v>41567.71875</v>
      </c>
      <c s="55" r="E83">
        <f>31*0.61</f>
        <v>18.91</v>
      </c>
      <c s="55" r="F83"/>
      <c t="s" s="55" r="G83">
        <v>39</v>
      </c>
      <c t="s" s="55" r="H83">
        <v>39</v>
      </c>
      <c t="s" s="55" r="I83">
        <v>39</v>
      </c>
      <c t="s" s="55" r="J83">
        <v>39</v>
      </c>
      <c t="s" s="55" r="K83">
        <v>39</v>
      </c>
      <c s="80" r="L83">
        <v>0</v>
      </c>
      <c s="79" r="M83">
        <v>0</v>
      </c>
      <c s="79" r="N83">
        <v>31.2</v>
      </c>
      <c s="79" r="O83">
        <v>0</v>
      </c>
      <c s="32" r="P83">
        <f>SUMIF(Skills!$A$2:$A$9999, A83, Skills!$F$2:$F$9999)</f>
        <v>0</v>
      </c>
      <c s="17" r="Q83">
        <f>N83</f>
        <v>31.2</v>
      </c>
      <c s="17" r="R83">
        <f>E83+L83</f>
        <v>18.91</v>
      </c>
      <c s="63" r="S83">
        <f>Q83-R83</f>
        <v>12.29</v>
      </c>
      <c s="39" r="T83">
        <f> (Q83/R83) - 1</f>
        <v>0.649920676890534</v>
      </c>
      <c s="70" r="U83"/>
      <c s="70" r="V83"/>
      <c t="s" s="30" r="W83">
        <v>136</v>
      </c>
      <c s="30" r="X83">
        <v>0</v>
      </c>
      <c t="s" s="30" r="Y83">
        <v>132</v>
      </c>
      <c t="s" s="30" r="Z83">
        <v>42</v>
      </c>
      <c s="30" r="AA83">
        <v>0</v>
      </c>
      <c s="30" r="AB83">
        <v>0</v>
      </c>
      <c s="30" r="AC83">
        <v>0</v>
      </c>
      <c s="30" r="AD83">
        <v>0</v>
      </c>
      <c s="30" r="AE83"/>
      <c t="str" s="8" r="AF83">
        <f>(I83+J83)/R83</f>
        <v>#VALUE!:notNumber:NA</v>
      </c>
      <c t="str" s="28" r="AG83">
        <f>G83/$X83</f>
        <v>#DIV/0!:divZero</v>
      </c>
      <c t="str" s="28" r="AH83">
        <f>H83/$X83</f>
        <v>#DIV/0!:divZero</v>
      </c>
      <c t="str" s="28" r="AI83">
        <f>I83/$X83</f>
        <v>#DIV/0!:divZero</v>
      </c>
      <c t="str" s="28" r="AJ83">
        <f>J83/$X83</f>
        <v>#DIV/0!:divZero</v>
      </c>
      <c t="str" s="28" r="AK83">
        <f>K83/$X83</f>
        <v>#DIV/0!:divZero</v>
      </c>
      <c s="30" r="AL83">
        <v>1</v>
      </c>
    </row>
    <row r="84">
      <c s="30" r="A84">
        <v>83</v>
      </c>
      <c t="s" s="30" r="B84">
        <v>55</v>
      </c>
      <c s="62" r="C84">
        <v>41567</v>
      </c>
      <c s="52" r="D84">
        <v>41567.71875</v>
      </c>
      <c s="55" r="E84">
        <f>163*2.4</f>
        <v>391.2</v>
      </c>
      <c s="55" r="F84"/>
      <c t="s" s="55" r="G84">
        <v>39</v>
      </c>
      <c t="s" s="55" r="H84">
        <v>39</v>
      </c>
      <c t="s" s="55" r="I84">
        <v>39</v>
      </c>
      <c t="s" s="55" r="J84">
        <v>39</v>
      </c>
      <c t="s" s="55" r="K84">
        <v>39</v>
      </c>
      <c s="80" r="L84">
        <v>0</v>
      </c>
      <c s="79" r="M84">
        <v>0</v>
      </c>
      <c s="79" r="N84">
        <v>356.44</v>
      </c>
      <c s="79" r="O84">
        <v>0</v>
      </c>
      <c s="32" r="P84">
        <f>SUMIF(Skills!$A$2:$A$9999, A84, Skills!$F$2:$F$9999)</f>
        <v>0</v>
      </c>
      <c s="17" r="Q84">
        <f>N84+10</f>
        <v>366.44</v>
      </c>
      <c s="17" r="R84">
        <f>E84+L84</f>
        <v>391.2</v>
      </c>
      <c s="63" r="S84">
        <f>Q84-R84</f>
        <v>-24.76</v>
      </c>
      <c s="39" r="T84">
        <f> (Q84/R84) - 1</f>
        <v>-0.063292433537832</v>
      </c>
      <c s="70" r="U84"/>
      <c s="70" r="V84"/>
      <c t="s" s="30" r="W84">
        <v>88</v>
      </c>
      <c s="30" r="X84">
        <v>0</v>
      </c>
      <c t="s" s="30" r="Y84">
        <v>132</v>
      </c>
      <c t="s" s="30" r="Z84">
        <v>42</v>
      </c>
      <c s="30" r="AA84">
        <v>0</v>
      </c>
      <c s="30" r="AB84">
        <v>0</v>
      </c>
      <c s="30" r="AC84">
        <v>1</v>
      </c>
      <c s="30" r="AD84">
        <v>0</v>
      </c>
      <c s="30" r="AE84"/>
      <c t="str" s="8" r="AF84">
        <f>(I84+J84)/R84</f>
        <v>#VALUE!:notNumber:NA</v>
      </c>
      <c t="str" s="28" r="AG84">
        <f>G84/$X84</f>
        <v>#DIV/0!:divZero</v>
      </c>
      <c t="str" s="28" r="AH84">
        <f>H84/$X84</f>
        <v>#DIV/0!:divZero</v>
      </c>
      <c t="str" s="28" r="AI84">
        <f>I84/$X84</f>
        <v>#DIV/0!:divZero</v>
      </c>
      <c t="str" s="28" r="AJ84">
        <f>J84/$X84</f>
        <v>#DIV/0!:divZero</v>
      </c>
      <c t="str" s="28" r="AK84">
        <f>K84/$X84</f>
        <v>#DIV/0!:divZero</v>
      </c>
      <c s="30" r="AL84">
        <v>1</v>
      </c>
    </row>
    <row r="85">
      <c s="30" r="A85">
        <v>84</v>
      </c>
      <c t="s" s="30" r="B85">
        <v>38</v>
      </c>
      <c s="62" r="C85">
        <v>41567</v>
      </c>
      <c s="52" r="D85">
        <v>41567.9194444444</v>
      </c>
      <c s="55" r="E85">
        <v>250</v>
      </c>
      <c s="55" r="F85"/>
      <c t="s" s="55" r="G85">
        <v>39</v>
      </c>
      <c t="s" s="55" r="H85">
        <v>39</v>
      </c>
      <c t="s" s="55" r="I85">
        <v>39</v>
      </c>
      <c t="s" s="55" r="J85">
        <v>39</v>
      </c>
      <c t="s" s="55" r="K85">
        <v>39</v>
      </c>
      <c s="80" r="L85">
        <v>33.52</v>
      </c>
      <c s="79" r="M85">
        <v>0</v>
      </c>
      <c s="79" r="N85">
        <f>SUMIF(Sellables!$A$2:$A$11482, A85, Sellables!$E$2:$E$11482)</f>
        <v>301.8</v>
      </c>
      <c s="79" r="O85">
        <v>0</v>
      </c>
      <c s="32" r="P85">
        <f>SUMIF(Skills!$A$2:$A$9999, A85, Skills!$F$2:$F$9999)</f>
        <v>0</v>
      </c>
      <c s="20" r="Q85">
        <f>SUMIF(Sellables!A81:A11565, A85,Sellables!G81:G11565)+P85</f>
        <v>320.438762</v>
      </c>
      <c s="17" r="R85">
        <f>E85+L85</f>
        <v>283.52</v>
      </c>
      <c s="63" r="S85">
        <f>Q85-R85</f>
        <v>36.9187620000001</v>
      </c>
      <c s="39" r="T85">
        <f> (Q85/R85) - 1</f>
        <v>0.130215723758465</v>
      </c>
      <c s="70" r="U85"/>
      <c s="70" r="V85"/>
      <c t="s" s="30" r="W85">
        <v>99</v>
      </c>
      <c s="30" r="X85">
        <v>0</v>
      </c>
      <c t="s" s="30" r="Y85">
        <v>41</v>
      </c>
      <c t="s" s="30" r="Z85">
        <v>42</v>
      </c>
      <c s="30" r="AA85">
        <v>0</v>
      </c>
      <c s="30" r="AB85">
        <v>0</v>
      </c>
      <c s="30" r="AC85">
        <v>1</v>
      </c>
      <c s="30" r="AD85">
        <v>0</v>
      </c>
      <c s="30" r="AE85"/>
      <c t="str" s="8" r="AF85">
        <f>(I85+J85)/R85</f>
        <v>#VALUE!:notNumber:NA</v>
      </c>
      <c t="str" s="28" r="AG85">
        <f>G85/$X85</f>
        <v>#DIV/0!:divZero</v>
      </c>
      <c t="str" s="28" r="AH85">
        <f>H85/$X85</f>
        <v>#DIV/0!:divZero</v>
      </c>
      <c t="str" s="28" r="AI85">
        <f>I85/$X85</f>
        <v>#DIV/0!:divZero</v>
      </c>
      <c t="str" s="28" r="AJ85">
        <f>J85/$X85</f>
        <v>#DIV/0!:divZero</v>
      </c>
      <c t="str" s="28" r="AK85">
        <f>K85/$X85</f>
        <v>#DIV/0!:divZero</v>
      </c>
      <c s="30" r="AL85">
        <v>1</v>
      </c>
    </row>
    <row r="86">
      <c s="30" r="A86">
        <v>85</v>
      </c>
      <c t="s" s="30" r="B86">
        <v>115</v>
      </c>
      <c s="62" r="C86">
        <v>41567</v>
      </c>
      <c s="52" r="D86">
        <v>41567.9194444444</v>
      </c>
      <c s="55" r="E86">
        <v>350</v>
      </c>
      <c s="55" r="F86"/>
      <c t="s" s="55" r="G86">
        <v>39</v>
      </c>
      <c t="s" s="55" r="H86">
        <v>39</v>
      </c>
      <c t="s" s="55" r="I86">
        <v>39</v>
      </c>
      <c t="s" s="55" r="J86">
        <v>39</v>
      </c>
      <c t="s" s="55" r="K86">
        <v>39</v>
      </c>
      <c s="80" r="L86">
        <v>44.59</v>
      </c>
      <c s="79" r="M86">
        <v>0</v>
      </c>
      <c s="79" r="N86">
        <f>SUMIF(Sellables!$A$2:$A$11482, A86, Sellables!$E$2:$E$11482)</f>
        <v>426</v>
      </c>
      <c s="79" r="O86">
        <v>0</v>
      </c>
      <c s="32" r="P86">
        <f>SUMIF(Skills!$A$2:$A$9999, A86, Skills!$F$2:$F$9999)</f>
        <v>0</v>
      </c>
      <c s="20" r="Q86">
        <f>SUMIF(Sellables!A82:A11566, A86,Sellables!G82:G11566)+P86</f>
        <v>429.181212</v>
      </c>
      <c s="17" r="R86">
        <f>E86+L86</f>
        <v>394.59</v>
      </c>
      <c s="63" r="S86">
        <f>Q86-R86</f>
        <v>34.591212</v>
      </c>
      <c s="39" r="T86">
        <f> (Q86/R86) - 1</f>
        <v>0.08766368128944</v>
      </c>
      <c s="70" r="U86"/>
      <c s="70" r="V86"/>
      <c t="s" s="30" r="W86">
        <v>137</v>
      </c>
      <c s="30" r="X86">
        <v>0</v>
      </c>
      <c t="s" s="30" r="Y86">
        <v>101</v>
      </c>
      <c t="s" s="30" r="Z86">
        <v>42</v>
      </c>
      <c s="30" r="AA86">
        <v>0</v>
      </c>
      <c s="30" r="AB86">
        <v>0</v>
      </c>
      <c s="30" r="AC86">
        <v>1</v>
      </c>
      <c s="30" r="AD86">
        <v>0</v>
      </c>
      <c s="30" r="AE86"/>
      <c t="str" s="8" r="AF86">
        <f>(I86+J86)/R86</f>
        <v>#VALUE!:notNumber:NA</v>
      </c>
      <c t="str" s="28" r="AG86">
        <f>G86/$X86</f>
        <v>#DIV/0!:divZero</v>
      </c>
      <c t="str" s="28" r="AH86">
        <f>H86/$X86</f>
        <v>#DIV/0!:divZero</v>
      </c>
      <c t="str" s="28" r="AI86">
        <f>I86/$X86</f>
        <v>#DIV/0!:divZero</v>
      </c>
      <c t="str" s="28" r="AJ86">
        <f>J86/$X86</f>
        <v>#DIV/0!:divZero</v>
      </c>
      <c t="str" s="28" r="AK86">
        <f>K86/$X86</f>
        <v>#DIV/0!:divZero</v>
      </c>
      <c s="30" r="AL86">
        <v>1</v>
      </c>
    </row>
    <row r="87">
      <c s="30" r="A87">
        <v>86</v>
      </c>
      <c t="s" s="30" r="B87">
        <v>55</v>
      </c>
      <c s="62" r="C87">
        <v>41568</v>
      </c>
      <c s="52" r="D87">
        <v>41568.0069444444</v>
      </c>
      <c s="55" r="E87">
        <f>(145+159)*1.9</f>
        <v>577.6</v>
      </c>
      <c s="55" r="F87"/>
      <c t="s" s="55" r="G87">
        <v>39</v>
      </c>
      <c t="s" s="55" r="H87">
        <v>39</v>
      </c>
      <c t="s" s="55" r="I87">
        <v>39</v>
      </c>
      <c t="s" s="55" r="J87">
        <v>39</v>
      </c>
      <c t="s" s="55" r="K87">
        <v>39</v>
      </c>
      <c s="80" r="L87">
        <v>0</v>
      </c>
      <c s="79" r="M87">
        <v>0</v>
      </c>
      <c s="79" r="N87">
        <f>(398.24+21.5)+196.80</f>
        <v>616.54</v>
      </c>
      <c s="79" r="O87">
        <v>0</v>
      </c>
      <c s="32" r="P87">
        <f>SUMIF(Skills!$A$2:$A$9999, A87, Skills!$F$2:$F$9999)</f>
        <v>0</v>
      </c>
      <c s="17" r="Q87">
        <f>((N87+25)+5)+58</f>
        <v>704.54</v>
      </c>
      <c s="17" r="R87">
        <f>E87+L87</f>
        <v>577.6</v>
      </c>
      <c s="63" r="S87">
        <f>Q87-R87</f>
        <v>126.94</v>
      </c>
      <c s="39" r="T87">
        <f> (Q87/R87) - 1</f>
        <v>0.219771468144044</v>
      </c>
      <c s="70" r="U87"/>
      <c s="70" r="V87"/>
      <c t="s" s="30" r="W87">
        <v>92</v>
      </c>
      <c s="30" r="X87">
        <v>0</v>
      </c>
      <c t="s" s="30" r="Y87">
        <v>104</v>
      </c>
      <c t="s" s="30" r="Z87">
        <v>42</v>
      </c>
      <c s="30" r="AA87">
        <v>0</v>
      </c>
      <c s="30" r="AB87">
        <v>0</v>
      </c>
      <c s="30" r="AC87">
        <v>2</v>
      </c>
      <c s="30" r="AD87">
        <v>0</v>
      </c>
      <c s="30" r="AE87"/>
      <c t="str" s="8" r="AF87">
        <f>(I87+J87)/R87</f>
        <v>#VALUE!:notNumber:NA</v>
      </c>
      <c t="str" s="28" r="AG87">
        <f>G87/$X87</f>
        <v>#DIV/0!:divZero</v>
      </c>
      <c t="str" s="28" r="AH87">
        <f>H87/$X87</f>
        <v>#DIV/0!:divZero</v>
      </c>
      <c t="str" s="28" r="AI87">
        <f>I87/$X87</f>
        <v>#DIV/0!:divZero</v>
      </c>
      <c t="str" s="28" r="AJ87">
        <f>J87/$X87</f>
        <v>#DIV/0!:divZero</v>
      </c>
      <c t="str" s="28" r="AK87">
        <f>K87/$X87</f>
        <v>#DIV/0!:divZero</v>
      </c>
      <c s="30" r="AL87">
        <v>1</v>
      </c>
    </row>
    <row r="88">
      <c s="30" r="A88">
        <v>87</v>
      </c>
      <c t="s" s="30" r="B88">
        <v>55</v>
      </c>
      <c s="62" r="C88">
        <v>41568</v>
      </c>
      <c s="52" r="D88">
        <v>41568.3840277778</v>
      </c>
      <c s="55" r="E88">
        <f>14*0.61</f>
        <v>8.54</v>
      </c>
      <c s="55" r="F88"/>
      <c t="s" s="55" r="G88">
        <v>39</v>
      </c>
      <c t="s" s="55" r="H88">
        <v>39</v>
      </c>
      <c t="s" s="55" r="I88">
        <v>39</v>
      </c>
      <c t="s" s="55" r="J88">
        <v>39</v>
      </c>
      <c t="s" s="55" r="K88">
        <v>39</v>
      </c>
      <c s="80" r="L88">
        <v>0</v>
      </c>
      <c s="79" r="M88">
        <v>0</v>
      </c>
      <c s="79" r="N88">
        <v>8.39</v>
      </c>
      <c s="79" r="O88">
        <v>0</v>
      </c>
      <c s="32" r="P88">
        <f>SUMIF(Skills!$A$2:$A$9999, A88, Skills!$F$2:$F$9999)</f>
        <v>0</v>
      </c>
      <c s="17" r="Q88">
        <f>N88</f>
        <v>8.39</v>
      </c>
      <c s="17" r="R88">
        <f>E88+L88</f>
        <v>8.54</v>
      </c>
      <c s="63" r="S88">
        <f>Q88-R88</f>
        <v>-0.149999999999999</v>
      </c>
      <c s="39" r="T88">
        <f> (Q88/R88) - 1</f>
        <v>-0.017564402810304</v>
      </c>
      <c s="70" r="U88"/>
      <c s="70" r="V88"/>
      <c t="s" s="30" r="W88">
        <v>98</v>
      </c>
      <c s="30" r="X88">
        <v>0</v>
      </c>
      <c t="s" s="30" r="Y88">
        <v>104</v>
      </c>
      <c t="s" s="30" r="Z88">
        <v>42</v>
      </c>
      <c s="30" r="AA88">
        <v>0</v>
      </c>
      <c s="30" r="AB88">
        <v>0</v>
      </c>
      <c s="30" r="AC88">
        <v>0</v>
      </c>
      <c s="30" r="AD88">
        <v>0</v>
      </c>
      <c s="30" r="AE88"/>
      <c t="str" s="8" r="AF88">
        <f>(I88+J88)/R88</f>
        <v>#VALUE!:notNumber:NA</v>
      </c>
      <c t="str" s="28" r="AG88">
        <f>G88/$X88</f>
        <v>#DIV/0!:divZero</v>
      </c>
      <c t="str" s="28" r="AH88">
        <f>H88/$X88</f>
        <v>#DIV/0!:divZero</v>
      </c>
      <c t="str" s="28" r="AI88">
        <f>I88/$X88</f>
        <v>#DIV/0!:divZero</v>
      </c>
      <c t="str" s="28" r="AJ88">
        <f>J88/$X88</f>
        <v>#DIV/0!:divZero</v>
      </c>
      <c t="str" s="28" r="AK88">
        <f>K88/$X88</f>
        <v>#DIV/0!:divZero</v>
      </c>
      <c s="30" r="AL88">
        <v>1</v>
      </c>
    </row>
    <row r="89">
      <c s="30" r="A89">
        <v>88</v>
      </c>
      <c t="s" s="30" r="B89">
        <v>55</v>
      </c>
      <c s="62" r="C89">
        <v>41568</v>
      </c>
      <c s="52" r="D89">
        <v>41568.3840277778</v>
      </c>
      <c s="55" r="E89">
        <f>372*0.21</f>
        <v>78.12</v>
      </c>
      <c s="55" r="F89"/>
      <c t="s" s="55" r="G89">
        <v>39</v>
      </c>
      <c t="s" s="55" r="H89">
        <v>39</v>
      </c>
      <c t="s" s="55" r="I89">
        <v>39</v>
      </c>
      <c t="s" s="55" r="J89">
        <v>39</v>
      </c>
      <c t="s" s="55" r="K89">
        <v>39</v>
      </c>
      <c s="80" r="L89">
        <v>0</v>
      </c>
      <c s="79" r="M89">
        <v>0</v>
      </c>
      <c s="79" r="N89">
        <v>61.92</v>
      </c>
      <c s="79" r="O89">
        <v>0</v>
      </c>
      <c s="32" r="P89">
        <f>SUMIF(Skills!$A$2:$A$9999, A89, Skills!$F$2:$F$9999)</f>
        <v>0</v>
      </c>
      <c s="17" r="Q89">
        <f>N89+4</f>
        <v>65.92</v>
      </c>
      <c s="17" r="R89">
        <f>E89+L89</f>
        <v>78.12</v>
      </c>
      <c s="63" r="S89">
        <f>Q89-R89</f>
        <v>-12.2</v>
      </c>
      <c s="39" r="T89">
        <f> (Q89/R89) - 1</f>
        <v>-0.156169994879672</v>
      </c>
      <c s="70" r="U89"/>
      <c s="70" r="V89"/>
      <c t="s" s="30" r="W89">
        <v>103</v>
      </c>
      <c s="30" r="X89">
        <v>0</v>
      </c>
      <c t="s" s="30" r="Y89">
        <v>104</v>
      </c>
      <c t="s" s="30" r="Z89">
        <v>42</v>
      </c>
      <c s="30" r="AA89">
        <v>0</v>
      </c>
      <c s="30" r="AB89">
        <v>0</v>
      </c>
      <c s="30" r="AC89">
        <v>0</v>
      </c>
      <c s="30" r="AD89">
        <v>0</v>
      </c>
      <c s="30" r="AE89"/>
      <c t="str" s="8" r="AF89">
        <f>(I89+J89)/R89</f>
        <v>#VALUE!:notNumber:NA</v>
      </c>
      <c t="str" s="28" r="AG89">
        <f>G89/$X89</f>
        <v>#DIV/0!:divZero</v>
      </c>
      <c t="str" s="28" r="AH89">
        <f>H89/$X89</f>
        <v>#DIV/0!:divZero</v>
      </c>
      <c t="str" s="28" r="AI89">
        <f>I89/$X89</f>
        <v>#DIV/0!:divZero</v>
      </c>
      <c t="str" s="28" r="AJ89">
        <f>J89/$X89</f>
        <v>#DIV/0!:divZero</v>
      </c>
      <c t="str" s="28" r="AK89">
        <f>K89/$X89</f>
        <v>#DIV/0!:divZero</v>
      </c>
      <c s="30" r="AL89">
        <v>1</v>
      </c>
    </row>
    <row r="90">
      <c s="30" r="A90">
        <v>89</v>
      </c>
      <c t="s" s="30" r="B90">
        <v>55</v>
      </c>
      <c s="62" r="C90">
        <v>41568</v>
      </c>
      <c s="52" r="D90">
        <v>41568.3840277778</v>
      </c>
      <c s="55" r="E90">
        <f>4*6.89</f>
        <v>27.56</v>
      </c>
      <c s="55" r="F90"/>
      <c t="s" s="55" r="G90">
        <v>39</v>
      </c>
      <c t="s" s="55" r="H90">
        <v>39</v>
      </c>
      <c t="s" s="55" r="I90">
        <v>39</v>
      </c>
      <c t="s" s="55" r="J90">
        <v>39</v>
      </c>
      <c t="s" s="55" r="K90">
        <v>39</v>
      </c>
      <c s="80" r="L90">
        <v>0</v>
      </c>
      <c s="79" r="M90">
        <v>0</v>
      </c>
      <c s="79" r="N90">
        <v>34.71</v>
      </c>
      <c s="79" r="O90">
        <v>0</v>
      </c>
      <c s="32" r="P90">
        <f>SUMIF(Skills!$A$2:$A$9999, A90, Skills!$F$2:$F$9999)</f>
        <v>0</v>
      </c>
      <c s="17" r="Q90">
        <f>N90</f>
        <v>34.71</v>
      </c>
      <c s="17" r="R90">
        <f>E90+L90</f>
        <v>27.56</v>
      </c>
      <c s="63" r="S90">
        <f>Q90-R90</f>
        <v>7.15</v>
      </c>
      <c s="39" r="T90">
        <f> (Q90/R90) - 1</f>
        <v>0.259433962264151</v>
      </c>
      <c s="70" r="U90"/>
      <c s="70" r="V90"/>
      <c t="s" s="30" r="W90">
        <v>138</v>
      </c>
      <c s="30" r="X90">
        <v>0</v>
      </c>
      <c t="s" s="30" r="Y90">
        <v>104</v>
      </c>
      <c t="s" s="30" r="Z90">
        <v>42</v>
      </c>
      <c s="30" r="AA90">
        <v>0</v>
      </c>
      <c s="30" r="AB90">
        <v>0</v>
      </c>
      <c s="30" r="AC90">
        <v>0</v>
      </c>
      <c s="30" r="AD90">
        <v>0</v>
      </c>
      <c s="30" r="AE90"/>
      <c t="str" s="8" r="AF90">
        <f>(I90+J90)/R90</f>
        <v>#VALUE!:notNumber:NA</v>
      </c>
      <c t="str" s="28" r="AG90">
        <f>G90/$X90</f>
        <v>#DIV/0!:divZero</v>
      </c>
      <c t="str" s="28" r="AH90">
        <f>H90/$X90</f>
        <v>#DIV/0!:divZero</v>
      </c>
      <c t="str" s="28" r="AI90">
        <f>I90/$X90</f>
        <v>#DIV/0!:divZero</v>
      </c>
      <c t="str" s="28" r="AJ90">
        <f>J90/$X90</f>
        <v>#DIV/0!:divZero</v>
      </c>
      <c t="str" s="28" r="AK90">
        <f>K90/$X90</f>
        <v>#DIV/0!:divZero</v>
      </c>
      <c s="30" r="AL90">
        <v>1</v>
      </c>
    </row>
    <row r="91">
      <c s="30" r="A91">
        <v>90</v>
      </c>
      <c t="s" s="30" r="B91">
        <v>55</v>
      </c>
      <c s="62" r="C91">
        <v>41568</v>
      </c>
      <c s="52" r="D91">
        <v>41568.3840277778</v>
      </c>
      <c s="55" r="E91">
        <f>63*0.91</f>
        <v>57.33</v>
      </c>
      <c s="55" r="F91"/>
      <c t="s" s="55" r="G91">
        <v>39</v>
      </c>
      <c t="s" s="55" r="H91">
        <v>39</v>
      </c>
      <c t="s" s="55" r="I91">
        <v>39</v>
      </c>
      <c t="s" s="55" r="J91">
        <v>39</v>
      </c>
      <c t="s" s="55" r="K91">
        <v>39</v>
      </c>
      <c s="80" r="L91">
        <v>0</v>
      </c>
      <c s="79" r="M91">
        <v>0</v>
      </c>
      <c s="79" r="N91">
        <v>32.14</v>
      </c>
      <c s="79" r="O91">
        <v>0</v>
      </c>
      <c s="32" r="P91">
        <f>SUMIF(Skills!$A$2:$A$9999, A91, Skills!$F$2:$F$9999)</f>
        <v>0</v>
      </c>
      <c s="17" r="Q91">
        <f>N91</f>
        <v>32.14</v>
      </c>
      <c s="17" r="R91">
        <f>E91+L91</f>
        <v>57.33</v>
      </c>
      <c s="63" r="S91">
        <f>Q91-R91</f>
        <v>-25.19</v>
      </c>
      <c s="39" r="T91">
        <f> (Q91/R91) - 1</f>
        <v>-0.439386010814582</v>
      </c>
      <c s="70" r="U91"/>
      <c s="70" r="V91"/>
      <c t="s" s="30" r="W91">
        <v>139</v>
      </c>
      <c s="30" r="X91">
        <v>0</v>
      </c>
      <c t="s" s="30" r="Y91">
        <v>104</v>
      </c>
      <c t="s" s="30" r="Z91">
        <v>42</v>
      </c>
      <c s="30" r="AA91">
        <v>0</v>
      </c>
      <c s="30" r="AB91">
        <v>0</v>
      </c>
      <c s="30" r="AC91">
        <v>0</v>
      </c>
      <c s="30" r="AD91">
        <v>0</v>
      </c>
      <c s="30" r="AE91"/>
      <c t="str" s="8" r="AF91">
        <f>(I91+J91)/R91</f>
        <v>#VALUE!:notNumber:NA</v>
      </c>
      <c t="str" s="28" r="AG91">
        <f>G91/$X91</f>
        <v>#DIV/0!:divZero</v>
      </c>
      <c t="str" s="28" r="AH91">
        <f>H91/$X91</f>
        <v>#DIV/0!:divZero</v>
      </c>
      <c t="str" s="28" r="AI91">
        <f>I91/$X91</f>
        <v>#DIV/0!:divZero</v>
      </c>
      <c t="str" s="28" r="AJ91">
        <f>J91/$X91</f>
        <v>#DIV/0!:divZero</v>
      </c>
      <c t="str" s="28" r="AK91">
        <f>K91/$X91</f>
        <v>#DIV/0!:divZero</v>
      </c>
      <c s="30" r="AL91">
        <v>1</v>
      </c>
    </row>
    <row r="92">
      <c s="30" r="A92">
        <v>91</v>
      </c>
      <c t="s" s="30" r="B92">
        <v>38</v>
      </c>
      <c s="62" r="C92">
        <v>41568</v>
      </c>
      <c s="52" r="D92">
        <v>41568.6145833333</v>
      </c>
      <c s="55" r="E92">
        <v>200</v>
      </c>
      <c s="55" r="F92"/>
      <c t="s" s="55" r="G92">
        <v>39</v>
      </c>
      <c t="s" s="55" r="H92">
        <v>39</v>
      </c>
      <c t="s" s="55" r="I92">
        <v>39</v>
      </c>
      <c t="s" s="55" r="J92">
        <v>39</v>
      </c>
      <c t="s" s="55" r="K92">
        <v>39</v>
      </c>
      <c s="80" r="L92">
        <v>14.84</v>
      </c>
      <c s="79" r="M92">
        <v>0</v>
      </c>
      <c s="79" r="N92">
        <v>224.89</v>
      </c>
      <c s="79" r="O92">
        <v>0</v>
      </c>
      <c s="32" r="P92">
        <f>SUMIF(Skills!$A$2:$A$9999, A92, Skills!$F$2:$F$9999)</f>
        <v>0</v>
      </c>
      <c s="20" r="Q92">
        <f>N92</f>
        <v>224.89</v>
      </c>
      <c s="17" r="R92">
        <f>E92+L92</f>
        <v>214.84</v>
      </c>
      <c s="63" r="S92">
        <f>Q92-R92</f>
        <v>10.05</v>
      </c>
      <c s="39" r="T92">
        <f> (Q92/R92) - 1</f>
        <v>0.046778998324334</v>
      </c>
      <c s="70" r="U92"/>
      <c s="70" r="V92"/>
      <c t="s" s="30" r="W92">
        <v>131</v>
      </c>
      <c s="30" r="X92">
        <v>0</v>
      </c>
      <c t="s" s="30" r="Y92">
        <v>132</v>
      </c>
      <c t="s" s="30" r="Z92">
        <v>42</v>
      </c>
      <c s="30" r="AA92">
        <v>0</v>
      </c>
      <c s="30" r="AB92">
        <v>0</v>
      </c>
      <c s="30" r="AC92">
        <v>0</v>
      </c>
      <c s="30" r="AD92">
        <v>0</v>
      </c>
      <c s="30" r="AE92"/>
      <c t="str" s="8" r="AF92">
        <f>(I92+J92)/R92</f>
        <v>#VALUE!:notNumber:NA</v>
      </c>
      <c t="str" s="28" r="AG92">
        <f>G92/$X92</f>
        <v>#DIV/0!:divZero</v>
      </c>
      <c t="str" s="28" r="AH92">
        <f>H92/$X92</f>
        <v>#DIV/0!:divZero</v>
      </c>
      <c t="str" s="28" r="AI92">
        <f>I92/$X92</f>
        <v>#DIV/0!:divZero</v>
      </c>
      <c t="str" s="28" r="AJ92">
        <f>J92/$X92</f>
        <v>#DIV/0!:divZero</v>
      </c>
      <c t="str" s="28" r="AK92">
        <f>K92/$X92</f>
        <v>#DIV/0!:divZero</v>
      </c>
      <c s="30" r="AL92">
        <v>1</v>
      </c>
    </row>
    <row r="93">
      <c s="30" r="A93">
        <v>92</v>
      </c>
      <c t="s" s="30" r="B93">
        <v>38</v>
      </c>
      <c s="62" r="C93">
        <v>41568</v>
      </c>
      <c s="52" r="D93">
        <v>41568.7083333333</v>
      </c>
      <c s="55" r="E93">
        <v>300</v>
      </c>
      <c s="55" r="F93"/>
      <c t="s" s="55" r="G93">
        <v>39</v>
      </c>
      <c t="s" s="55" r="H93">
        <v>39</v>
      </c>
      <c t="s" s="55" r="I93">
        <v>39</v>
      </c>
      <c t="s" s="55" r="J93">
        <v>39</v>
      </c>
      <c t="s" s="55" r="K93">
        <v>39</v>
      </c>
      <c s="80" r="L93">
        <v>39.15</v>
      </c>
      <c s="79" r="M93">
        <v>0</v>
      </c>
      <c s="79" r="N93">
        <f>SUMIF(Sellables!$A$2:$A$11482, A93, Sellables!$E$2:$E$11482)</f>
        <v>290.32</v>
      </c>
      <c s="79" r="O93">
        <v>0</v>
      </c>
      <c s="32" r="P93">
        <f>SUMIF(Skills!$A$2:$A$9999, A93, Skills!$F$2:$F$9999)</f>
        <v>0</v>
      </c>
      <c s="20" r="Q93">
        <f>SUMIF(Sellables!A89:A11573, A93,Sellables!G89:G11573)+P93</f>
        <v>290.32</v>
      </c>
      <c s="17" r="R93">
        <f>E93+L93</f>
        <v>339.15</v>
      </c>
      <c s="63" r="S93">
        <f>Q93-R93</f>
        <v>-48.83</v>
      </c>
      <c s="39" r="T93">
        <f> (Q93/R93) - 1</f>
        <v>-0.143977591036414</v>
      </c>
      <c s="70" r="U93"/>
      <c s="70" r="V93"/>
      <c t="s" s="30" r="W93">
        <v>140</v>
      </c>
      <c s="30" r="X93">
        <v>0</v>
      </c>
      <c t="s" s="30" r="Y93">
        <v>141</v>
      </c>
      <c t="s" s="30" r="Z93">
        <v>42</v>
      </c>
      <c s="30" r="AA93">
        <v>0</v>
      </c>
      <c s="30" r="AB93">
        <v>0</v>
      </c>
      <c s="30" r="AC93">
        <v>0</v>
      </c>
      <c s="30" r="AD93">
        <v>0</v>
      </c>
      <c s="30" r="AE93"/>
      <c t="str" s="8" r="AF93">
        <f>(I93+J93)/R93</f>
        <v>#VALUE!:notNumber:NA</v>
      </c>
      <c t="str" s="28" r="AG93">
        <f>G93/$X93</f>
        <v>#DIV/0!:divZero</v>
      </c>
      <c t="str" s="28" r="AH93">
        <f>H93/$X93</f>
        <v>#DIV/0!:divZero</v>
      </c>
      <c t="str" s="28" r="AI93">
        <f>I93/$X93</f>
        <v>#DIV/0!:divZero</v>
      </c>
      <c t="str" s="28" r="AJ93">
        <f>J93/$X93</f>
        <v>#DIV/0!:divZero</v>
      </c>
      <c t="str" s="28" r="AK93">
        <f>K93/$X93</f>
        <v>#DIV/0!:divZero</v>
      </c>
      <c s="30" r="AL93">
        <v>1</v>
      </c>
    </row>
    <row r="94">
      <c s="30" r="A94">
        <v>93</v>
      </c>
      <c t="s" s="30" r="B94">
        <v>38</v>
      </c>
      <c s="62" r="C94">
        <v>41568</v>
      </c>
      <c s="52" r="D94">
        <v>41568.9166666667</v>
      </c>
      <c s="55" r="E94">
        <v>250</v>
      </c>
      <c s="55" r="F94"/>
      <c t="s" s="55" r="G94">
        <v>39</v>
      </c>
      <c t="s" s="55" r="H94">
        <v>39</v>
      </c>
      <c t="s" s="55" r="I94">
        <v>39</v>
      </c>
      <c t="s" s="55" r="J94">
        <v>39</v>
      </c>
      <c t="s" s="55" r="K94">
        <v>39</v>
      </c>
      <c s="80" r="L94">
        <v>40.2</v>
      </c>
      <c s="79" r="M94">
        <v>0</v>
      </c>
      <c s="79" r="N94">
        <f>SUMIF(Sellables!$A$2:$A$11482, A94, Sellables!$E$2:$E$11482)</f>
        <v>425.06</v>
      </c>
      <c s="79" r="O94">
        <v>0</v>
      </c>
      <c s="32" r="P94">
        <f>SUMIF(Skills!$A$2:$A$9999, A94, Skills!$F$2:$F$9999)</f>
        <v>0</v>
      </c>
      <c s="20" r="Q94">
        <f>SUMIF(Sellables!A90:A11574, A94,Sellables!G90:G11574)+P94</f>
        <v>451.820962</v>
      </c>
      <c s="17" r="R94">
        <f>E94+L94</f>
        <v>290.2</v>
      </c>
      <c s="63" r="S94">
        <f>Q94-R94</f>
        <v>161.620962</v>
      </c>
      <c s="39" r="T94">
        <f> (Q94/R94) - 1</f>
        <v>0.556929572708477</v>
      </c>
      <c s="70" r="U94"/>
      <c s="70" r="V94"/>
      <c t="s" s="30" r="W94">
        <v>142</v>
      </c>
      <c s="30" r="X94">
        <v>0</v>
      </c>
      <c t="s" s="30" r="Y94">
        <v>143</v>
      </c>
      <c t="s" s="30" r="Z94">
        <v>42</v>
      </c>
      <c s="30" r="AA94">
        <v>0</v>
      </c>
      <c s="30" r="AB94">
        <v>0</v>
      </c>
      <c s="30" r="AC94">
        <v>2</v>
      </c>
      <c s="30" r="AD94">
        <v>0</v>
      </c>
      <c s="30" r="AE94"/>
      <c t="str" s="8" r="AF94">
        <f>(I94+J94)/R94</f>
        <v>#VALUE!:notNumber:NA</v>
      </c>
      <c t="str" s="28" r="AG94">
        <f>G94/$X94</f>
        <v>#DIV/0!:divZero</v>
      </c>
      <c t="str" s="28" r="AH94">
        <f>H94/$X94</f>
        <v>#DIV/0!:divZero</v>
      </c>
      <c t="str" s="28" r="AI94">
        <f>I94/$X94</f>
        <v>#DIV/0!:divZero</v>
      </c>
      <c t="str" s="28" r="AJ94">
        <f>J94/$X94</f>
        <v>#DIV/0!:divZero</v>
      </c>
      <c t="str" s="28" r="AK94">
        <f>K94/$X94</f>
        <v>#DIV/0!:divZero</v>
      </c>
      <c s="30" r="AL94">
        <v>1</v>
      </c>
    </row>
    <row r="95">
      <c s="30" r="A95">
        <v>94</v>
      </c>
      <c t="s" s="30" r="B95">
        <v>55</v>
      </c>
      <c s="62" r="C95">
        <v>41568</v>
      </c>
      <c s="52" r="D95">
        <v>41568.9166666667</v>
      </c>
      <c s="55" r="E95">
        <f>64*0.61</f>
        <v>39.04</v>
      </c>
      <c s="55" r="F95"/>
      <c t="s" s="55" r="G95">
        <v>39</v>
      </c>
      <c t="s" s="55" r="H95">
        <v>39</v>
      </c>
      <c t="s" s="55" r="I95">
        <v>39</v>
      </c>
      <c t="s" s="55" r="J95">
        <v>39</v>
      </c>
      <c t="s" s="55" r="K95">
        <v>39</v>
      </c>
      <c s="80" r="L95">
        <v>0</v>
      </c>
      <c s="79" r="M95">
        <v>0</v>
      </c>
      <c s="79" r="N95">
        <v>32.21</v>
      </c>
      <c s="79" r="O95">
        <v>0</v>
      </c>
      <c s="32" r="P95">
        <f>SUMIF(Skills!$A$2:$A$9999, A95, Skills!$F$2:$F$9999)</f>
        <v>0</v>
      </c>
      <c s="17" r="Q95">
        <f>N95</f>
        <v>32.21</v>
      </c>
      <c s="17" r="R95">
        <f>E95+L95</f>
        <v>39.04</v>
      </c>
      <c s="63" r="S95">
        <f>Q95-R95</f>
        <v>-6.83</v>
      </c>
      <c s="39" r="T95">
        <f> (Q95/R95) - 1</f>
        <v>-0.174948770491803</v>
      </c>
      <c s="70" r="U95"/>
      <c s="70" r="V95"/>
      <c t="s" s="30" r="W95">
        <v>98</v>
      </c>
      <c s="30" r="X95">
        <v>0</v>
      </c>
      <c t="s" s="30" r="Y95">
        <v>104</v>
      </c>
      <c t="s" s="30" r="Z95">
        <v>42</v>
      </c>
      <c s="30" r="AA95">
        <v>0</v>
      </c>
      <c s="30" r="AB95">
        <v>0</v>
      </c>
      <c s="30" r="AC95">
        <v>0</v>
      </c>
      <c s="30" r="AD95">
        <v>0</v>
      </c>
      <c s="30" r="AE95"/>
      <c t="str" s="8" r="AF95">
        <f>(I95+J95)/R95</f>
        <v>#VALUE!:notNumber:NA</v>
      </c>
      <c t="str" s="28" r="AG95">
        <f>G95/$X95</f>
        <v>#DIV/0!:divZero</v>
      </c>
      <c t="str" s="28" r="AH95">
        <f>H95/$X95</f>
        <v>#DIV/0!:divZero</v>
      </c>
      <c t="str" s="28" r="AI95">
        <f>I95/$X95</f>
        <v>#DIV/0!:divZero</v>
      </c>
      <c t="str" s="28" r="AJ95">
        <f>J95/$X95</f>
        <v>#DIV/0!:divZero</v>
      </c>
      <c t="str" s="28" r="AK95">
        <f>K95/$X95</f>
        <v>#DIV/0!:divZero</v>
      </c>
      <c s="30" r="AL95">
        <v>1</v>
      </c>
    </row>
    <row r="96">
      <c s="30" r="A96">
        <v>95</v>
      </c>
      <c t="s" s="30" r="B96">
        <v>55</v>
      </c>
      <c s="62" r="C96">
        <v>41568</v>
      </c>
      <c s="52" r="D96">
        <v>41568.9166666667</v>
      </c>
      <c s="55" r="E96">
        <f>7*0.31</f>
        <v>2.17</v>
      </c>
      <c s="55" r="F96"/>
      <c t="s" s="55" r="G96">
        <v>39</v>
      </c>
      <c t="s" s="55" r="H96">
        <v>39</v>
      </c>
      <c t="s" s="55" r="I96">
        <v>39</v>
      </c>
      <c t="s" s="55" r="J96">
        <v>39</v>
      </c>
      <c t="s" s="55" r="K96">
        <v>39</v>
      </c>
      <c s="80" r="L96">
        <v>0</v>
      </c>
      <c s="79" r="M96">
        <v>0</v>
      </c>
      <c s="79" r="N96">
        <v>1.65</v>
      </c>
      <c s="79" r="O96">
        <v>0</v>
      </c>
      <c s="32" r="P96">
        <f>SUMIF(Skills!$A$2:$A$9999, A96, Skills!$F$2:$F$9999)</f>
        <v>0</v>
      </c>
      <c s="17" r="Q96">
        <f>N96</f>
        <v>1.65</v>
      </c>
      <c s="17" r="R96">
        <f>E96+L96</f>
        <v>2.17</v>
      </c>
      <c s="63" r="S96">
        <f>Q96-R96</f>
        <v>-0.52</v>
      </c>
      <c s="39" r="T96">
        <f> (Q96/R96) - 1</f>
        <v>-0.23963133640553</v>
      </c>
      <c s="70" r="U96"/>
      <c s="70" r="V96"/>
      <c t="s" s="30" r="W96">
        <v>133</v>
      </c>
      <c s="30" r="X96">
        <v>0</v>
      </c>
      <c t="s" s="30" r="Y96">
        <v>104</v>
      </c>
      <c t="s" s="30" r="Z96">
        <v>42</v>
      </c>
      <c s="30" r="AA96">
        <v>0</v>
      </c>
      <c s="30" r="AB96">
        <v>0</v>
      </c>
      <c s="30" r="AC96">
        <v>0</v>
      </c>
      <c s="30" r="AD96">
        <v>0</v>
      </c>
      <c s="30" r="AE96"/>
      <c t="str" s="8" r="AF96">
        <f>(I96+J96)/R96</f>
        <v>#VALUE!:notNumber:NA</v>
      </c>
      <c t="str" s="28" r="AG96">
        <f>G96/$X96</f>
        <v>#DIV/0!:divZero</v>
      </c>
      <c t="str" s="28" r="AH96">
        <f>H96/$X96</f>
        <v>#DIV/0!:divZero</v>
      </c>
      <c t="str" s="28" r="AI96">
        <f>I96/$X96</f>
        <v>#DIV/0!:divZero</v>
      </c>
      <c t="str" s="28" r="AJ96">
        <f>J96/$X96</f>
        <v>#DIV/0!:divZero</v>
      </c>
      <c t="str" s="28" r="AK96">
        <f>K96/$X96</f>
        <v>#DIV/0!:divZero</v>
      </c>
      <c s="30" r="AL96">
        <v>1</v>
      </c>
    </row>
    <row r="97">
      <c s="30" r="A97">
        <v>96</v>
      </c>
      <c t="s" s="30" r="B97">
        <v>55</v>
      </c>
      <c s="62" r="C97">
        <v>41568</v>
      </c>
      <c s="52" r="D97">
        <v>41568.9583333333</v>
      </c>
      <c s="55" r="E97">
        <f>109*1.15</f>
        <v>125.35</v>
      </c>
      <c s="55" r="F97"/>
      <c t="s" s="55" r="G97">
        <v>39</v>
      </c>
      <c t="s" s="55" r="H97">
        <v>39</v>
      </c>
      <c t="s" s="55" r="I97">
        <v>39</v>
      </c>
      <c t="s" s="55" r="J97">
        <v>39</v>
      </c>
      <c t="s" s="55" r="K97">
        <v>39</v>
      </c>
      <c s="80" r="L97">
        <v>0</v>
      </c>
      <c s="79" r="M97">
        <v>0</v>
      </c>
      <c s="79" r="N97">
        <v>118.99</v>
      </c>
      <c s="79" r="O97">
        <v>0</v>
      </c>
      <c s="32" r="P97">
        <f>SUMIF(Skills!$A$2:$A$9999, A97, Skills!$F$2:$F$9999)</f>
        <v>0</v>
      </c>
      <c s="17" r="Q97">
        <f>118.99+5.5</f>
        <v>124.49</v>
      </c>
      <c s="17" r="R97">
        <f>E97+L97</f>
        <v>125.35</v>
      </c>
      <c s="63" r="S97">
        <f>Q97-R97</f>
        <v>-0.859999999999999</v>
      </c>
      <c s="39" r="T97">
        <f> (Q97/R97) - 1</f>
        <v>-0.006860789788592</v>
      </c>
      <c s="70" r="U97"/>
      <c s="70" r="V97"/>
      <c t="s" s="30" r="W97">
        <v>68</v>
      </c>
      <c s="30" r="X97">
        <v>0</v>
      </c>
      <c t="s" s="30" r="Y97">
        <v>104</v>
      </c>
      <c t="s" s="30" r="Z97">
        <v>42</v>
      </c>
      <c s="30" r="AA97">
        <v>0</v>
      </c>
      <c s="30" r="AB97">
        <v>1</v>
      </c>
      <c s="30" r="AC97">
        <v>1</v>
      </c>
      <c s="30" r="AD97">
        <v>0</v>
      </c>
      <c s="30" r="AE97"/>
      <c t="str" s="8" r="AF97">
        <f>(I97+J97)/R97</f>
        <v>#VALUE!:notNumber:NA</v>
      </c>
      <c t="str" s="28" r="AG97">
        <f>G97/$X97</f>
        <v>#DIV/0!:divZero</v>
      </c>
      <c t="str" s="28" r="AH97">
        <f>H97/$X97</f>
        <v>#DIV/0!:divZero</v>
      </c>
      <c t="str" s="28" r="AI97">
        <f>I97/$X97</f>
        <v>#DIV/0!:divZero</v>
      </c>
      <c t="str" s="28" r="AJ97">
        <f>J97/$X97</f>
        <v>#DIV/0!:divZero</v>
      </c>
      <c t="str" s="28" r="AK97">
        <f>K97/$X97</f>
        <v>#DIV/0!:divZero</v>
      </c>
      <c s="30" r="AL97">
        <v>1</v>
      </c>
    </row>
    <row r="98">
      <c s="30" r="A98">
        <v>97</v>
      </c>
      <c t="s" s="30" r="B98">
        <v>55</v>
      </c>
      <c s="62" r="C98">
        <v>41568</v>
      </c>
      <c s="52" r="D98">
        <v>41568.9583333333</v>
      </c>
      <c s="55" r="E98">
        <f>1.14*3</f>
        <v>3.42</v>
      </c>
      <c s="55" r="F98"/>
      <c t="s" s="55" r="G98">
        <v>39</v>
      </c>
      <c t="s" s="55" r="H98">
        <v>39</v>
      </c>
      <c t="s" s="55" r="I98">
        <v>39</v>
      </c>
      <c t="s" s="55" r="J98">
        <v>39</v>
      </c>
      <c t="s" s="55" r="K98">
        <v>39</v>
      </c>
      <c s="80" r="L98">
        <v>0</v>
      </c>
      <c s="79" r="M98">
        <v>0</v>
      </c>
      <c s="79" r="N98">
        <v>15.47</v>
      </c>
      <c s="79" r="O98">
        <v>0</v>
      </c>
      <c s="32" r="P98">
        <f>SUMIF(Skills!$A$2:$A$9999, A98, Skills!$F$2:$F$9999)</f>
        <v>0</v>
      </c>
      <c s="17" r="Q98">
        <f>N98</f>
        <v>15.47</v>
      </c>
      <c s="17" r="R98">
        <f>E98+L98</f>
        <v>3.42</v>
      </c>
      <c s="63" r="S98">
        <f>Q98-R98</f>
        <v>12.05</v>
      </c>
      <c s="39" r="T98">
        <f> (Q98/R98) - 1</f>
        <v>3.5233918128655</v>
      </c>
      <c s="70" r="U98"/>
      <c s="70" r="V98"/>
      <c t="s" s="30" r="W98">
        <v>144</v>
      </c>
      <c s="30" r="X98">
        <v>0</v>
      </c>
      <c t="s" s="30" r="Y98">
        <v>104</v>
      </c>
      <c t="s" s="30" r="Z98">
        <v>42</v>
      </c>
      <c s="30" r="AA98">
        <v>0</v>
      </c>
      <c s="30" r="AB98">
        <v>0</v>
      </c>
      <c s="30" r="AC98">
        <v>0</v>
      </c>
      <c s="30" r="AD98">
        <v>0</v>
      </c>
      <c s="30" r="AE98"/>
      <c t="str" s="8" r="AF98">
        <f>(I98+J98)/R98</f>
        <v>#VALUE!:notNumber:NA</v>
      </c>
      <c t="str" s="28" r="AG98">
        <f>G98/$X98</f>
        <v>#DIV/0!:divZero</v>
      </c>
      <c t="str" s="28" r="AH98">
        <f>H98/$X98</f>
        <v>#DIV/0!:divZero</v>
      </c>
      <c t="str" s="28" r="AI98">
        <f>I98/$X98</f>
        <v>#DIV/0!:divZero</v>
      </c>
      <c t="str" s="28" r="AJ98">
        <f>J98/$X98</f>
        <v>#DIV/0!:divZero</v>
      </c>
      <c t="str" s="28" r="AK98">
        <f>K98/$X98</f>
        <v>#DIV/0!:divZero</v>
      </c>
      <c s="30" r="AL98">
        <v>1</v>
      </c>
    </row>
    <row r="99">
      <c s="30" r="A99">
        <v>98</v>
      </c>
      <c t="s" s="30" r="B99">
        <v>55</v>
      </c>
      <c s="62" r="C99">
        <v>41568</v>
      </c>
      <c s="52" r="D99">
        <v>41568.9583333333</v>
      </c>
      <c s="55" r="E99">
        <f>42*0.21</f>
        <v>8.82</v>
      </c>
      <c s="55" r="F99"/>
      <c t="s" s="55" r="G99">
        <v>39</v>
      </c>
      <c t="s" s="55" r="H99">
        <v>39</v>
      </c>
      <c t="s" s="55" r="I99">
        <v>39</v>
      </c>
      <c t="s" s="55" r="J99">
        <v>39</v>
      </c>
      <c t="s" s="55" r="K99">
        <v>39</v>
      </c>
      <c s="80" r="L99">
        <v>0</v>
      </c>
      <c s="79" r="M99">
        <v>0</v>
      </c>
      <c s="79" r="N99">
        <v>6.55</v>
      </c>
      <c s="79" r="O99">
        <v>0</v>
      </c>
      <c s="32" r="P99">
        <f>SUMIF(Skills!$A$2:$A$9999, A99, Skills!$F$2:$F$9999)</f>
        <v>0</v>
      </c>
      <c s="17" r="Q99">
        <f>N99</f>
        <v>6.55</v>
      </c>
      <c s="17" r="R99">
        <f>E99+L99</f>
        <v>8.82</v>
      </c>
      <c s="63" r="S99">
        <f>Q99-R99</f>
        <v>-2.27</v>
      </c>
      <c s="39" r="T99">
        <f> (Q99/R99) - 1</f>
        <v>-0.257369614512472</v>
      </c>
      <c s="70" r="U99"/>
      <c s="70" r="V99"/>
      <c t="s" s="30" r="W99">
        <v>145</v>
      </c>
      <c s="30" r="X99">
        <v>0</v>
      </c>
      <c t="s" s="30" r="Y99">
        <v>104</v>
      </c>
      <c t="s" s="30" r="Z99">
        <v>42</v>
      </c>
      <c s="30" r="AA99">
        <v>0</v>
      </c>
      <c s="30" r="AB99">
        <v>0</v>
      </c>
      <c s="30" r="AC99">
        <v>0</v>
      </c>
      <c s="30" r="AD99">
        <v>0</v>
      </c>
      <c s="30" r="AE99"/>
      <c t="str" s="8" r="AF99">
        <f>(I99+J99)/R99</f>
        <v>#VALUE!:notNumber:NA</v>
      </c>
      <c t="str" s="28" r="AG99">
        <f>G99/$X99</f>
        <v>#DIV/0!:divZero</v>
      </c>
      <c t="str" s="28" r="AH99">
        <f>H99/$X99</f>
        <v>#DIV/0!:divZero</v>
      </c>
      <c t="str" s="28" r="AI99">
        <f>I99/$X99</f>
        <v>#DIV/0!:divZero</v>
      </c>
      <c t="str" s="28" r="AJ99">
        <f>J99/$X99</f>
        <v>#DIV/0!:divZero</v>
      </c>
      <c t="str" s="28" r="AK99">
        <f>K99/$X99</f>
        <v>#DIV/0!:divZero</v>
      </c>
      <c s="30" r="AL99">
        <v>1</v>
      </c>
    </row>
    <row r="100">
      <c s="30" r="A100">
        <v>99</v>
      </c>
      <c t="s" s="30" r="B100">
        <v>55</v>
      </c>
      <c s="62" r="C100">
        <v>41568</v>
      </c>
      <c s="52" r="D100">
        <v>41568.9583333333</v>
      </c>
      <c s="55" r="E100">
        <f>53*0.70</f>
        <v>37.1</v>
      </c>
      <c s="55" r="F100"/>
      <c t="s" s="55" r="G100">
        <v>39</v>
      </c>
      <c t="s" s="55" r="H100">
        <v>39</v>
      </c>
      <c t="s" s="55" r="I100">
        <v>39</v>
      </c>
      <c t="s" s="55" r="J100">
        <v>39</v>
      </c>
      <c t="s" s="55" r="K100">
        <v>39</v>
      </c>
      <c s="80" r="L100">
        <v>0</v>
      </c>
      <c s="79" r="M100">
        <v>0</v>
      </c>
      <c s="79" r="N100">
        <v>57.44</v>
      </c>
      <c s="79" r="O100">
        <v>0</v>
      </c>
      <c s="32" r="P100">
        <f>SUMIF(Skills!$A$2:$A$9999, A100, Skills!$F$2:$F$9999)</f>
        <v>0</v>
      </c>
      <c s="17" r="Q100">
        <f>N100</f>
        <v>57.44</v>
      </c>
      <c s="17" r="R100">
        <f>E100+L100</f>
        <v>37.1</v>
      </c>
      <c s="63" r="S100">
        <f>Q100-R100</f>
        <v>20.34</v>
      </c>
      <c s="39" r="T100">
        <f> (Q100/R100) - 1</f>
        <v>0.548247978436658</v>
      </c>
      <c s="70" r="U100"/>
      <c s="70" r="V100"/>
      <c t="s" s="30" r="W100">
        <v>56</v>
      </c>
      <c s="30" r="X100">
        <v>0</v>
      </c>
      <c t="s" s="30" r="Y100">
        <v>104</v>
      </c>
      <c t="s" s="30" r="Z100">
        <v>42</v>
      </c>
      <c s="30" r="AA100">
        <v>0</v>
      </c>
      <c s="30" r="AB100">
        <v>0</v>
      </c>
      <c s="30" r="AC100">
        <v>0</v>
      </c>
      <c s="30" r="AD100">
        <v>0</v>
      </c>
      <c s="30" r="AE100"/>
      <c t="str" s="8" r="AF100">
        <f>(I100+J100)/R100</f>
        <v>#VALUE!:notNumber:NA</v>
      </c>
      <c t="str" s="28" r="AG100">
        <f>G100/$X100</f>
        <v>#DIV/0!:divZero</v>
      </c>
      <c t="str" s="28" r="AH100">
        <f>H100/$X100</f>
        <v>#DIV/0!:divZero</v>
      </c>
      <c t="str" s="28" r="AI100">
        <f>I100/$X100</f>
        <v>#DIV/0!:divZero</v>
      </c>
      <c t="str" s="28" r="AJ100">
        <f>J100/$X100</f>
        <v>#DIV/0!:divZero</v>
      </c>
      <c t="str" s="28" r="AK100">
        <f>K100/$X100</f>
        <v>#DIV/0!:divZero</v>
      </c>
      <c s="30" r="AL100">
        <v>1</v>
      </c>
    </row>
    <row r="101">
      <c s="30" r="A101">
        <v>100</v>
      </c>
      <c t="s" s="30" r="B101">
        <v>55</v>
      </c>
      <c s="62" r="C101">
        <v>41568</v>
      </c>
      <c s="52" r="D101">
        <v>41568.9583333333</v>
      </c>
      <c s="55" r="E101">
        <f>17*2.4</f>
        <v>40.8</v>
      </c>
      <c s="55" r="F101"/>
      <c t="s" s="55" r="G101">
        <v>39</v>
      </c>
      <c t="s" s="55" r="H101">
        <v>39</v>
      </c>
      <c t="s" s="55" r="I101">
        <v>39</v>
      </c>
      <c t="s" s="55" r="J101">
        <v>39</v>
      </c>
      <c t="s" s="55" r="K101">
        <v>39</v>
      </c>
      <c s="80" r="L101">
        <v>0</v>
      </c>
      <c s="79" r="M101">
        <v>0</v>
      </c>
      <c s="79" r="N101">
        <v>25.58</v>
      </c>
      <c s="79" r="O101">
        <v>0</v>
      </c>
      <c s="32" r="P101">
        <f>SUMIF(Skills!$A$2:$A$9999, A101, Skills!$F$2:$F$9999)</f>
        <v>0</v>
      </c>
      <c s="17" r="Q101">
        <f>N101</f>
        <v>25.58</v>
      </c>
      <c s="17" r="R101">
        <f>E101+L101</f>
        <v>40.8</v>
      </c>
      <c s="63" r="S101">
        <f>Q101-R101</f>
        <v>-15.22</v>
      </c>
      <c s="39" r="T101">
        <f> (Q101/R101) - 1</f>
        <v>-0.373039215686274</v>
      </c>
      <c s="70" r="U101"/>
      <c s="70" r="V101"/>
      <c t="s" s="30" r="W101">
        <v>88</v>
      </c>
      <c s="30" r="X101">
        <v>0</v>
      </c>
      <c t="s" s="30" r="Y101">
        <v>104</v>
      </c>
      <c t="s" s="30" r="Z101">
        <v>42</v>
      </c>
      <c s="30" r="AA101">
        <v>0</v>
      </c>
      <c s="30" r="AB101">
        <v>0</v>
      </c>
      <c s="30" r="AC101">
        <v>0</v>
      </c>
      <c s="30" r="AD101">
        <v>0</v>
      </c>
      <c s="30" r="AE101"/>
      <c t="str" s="8" r="AF101">
        <f>(I101+J101)/R101</f>
        <v>#VALUE!:notNumber:NA</v>
      </c>
      <c t="str" s="28" r="AG101">
        <f>G101/$X101</f>
        <v>#DIV/0!:divZero</v>
      </c>
      <c t="str" s="28" r="AH101">
        <f>H101/$X101</f>
        <v>#DIV/0!:divZero</v>
      </c>
      <c t="str" s="28" r="AI101">
        <f>I101/$X101</f>
        <v>#DIV/0!:divZero</v>
      </c>
      <c t="str" s="28" r="AJ101">
        <f>J101/$X101</f>
        <v>#DIV/0!:divZero</v>
      </c>
      <c t="str" s="28" r="AK101">
        <f>K101/$X101</f>
        <v>#DIV/0!:divZero</v>
      </c>
      <c s="30" r="AL101">
        <v>1</v>
      </c>
    </row>
    <row r="102">
      <c s="30" r="A102">
        <v>101</v>
      </c>
      <c t="s" s="30" r="B102">
        <v>38</v>
      </c>
      <c s="62" r="C102">
        <v>41569</v>
      </c>
      <c s="52" r="D102">
        <v>41569.7916666667</v>
      </c>
      <c s="55" r="E102">
        <v>300</v>
      </c>
      <c s="55" r="F102"/>
      <c t="s" s="55" r="G102">
        <v>39</v>
      </c>
      <c t="s" s="55" r="H102">
        <v>39</v>
      </c>
      <c t="s" s="55" r="I102">
        <v>39</v>
      </c>
      <c t="s" s="55" r="J102">
        <v>39</v>
      </c>
      <c t="s" s="55" r="K102">
        <v>39</v>
      </c>
      <c s="80" r="L102">
        <v>40.19</v>
      </c>
      <c s="79" r="M102">
        <v>0</v>
      </c>
      <c s="79" r="N102">
        <f>SUMIF(Sellables!$A$2:$A$11482, A102, Sellables!$E$2:$E$11482)</f>
        <v>161.7</v>
      </c>
      <c s="79" r="O102">
        <v>0</v>
      </c>
      <c s="32" r="P102">
        <f>SUMIF(Skills!$A$2:$A$9999, A102, Skills!$F$2:$F$9999)</f>
        <v>0</v>
      </c>
      <c s="20" r="Q102">
        <f>(SUMIF(Sellables!A98:A11582, A102,Sellables!G98:G11582)+P102)+5</f>
        <v>170.399308</v>
      </c>
      <c s="17" r="R102">
        <f>E102+L102</f>
        <v>340.19</v>
      </c>
      <c s="63" r="S102">
        <f>Q102-R102</f>
        <v>-169.790692</v>
      </c>
      <c s="39" r="T102">
        <f> (Q102/R102) - 1</f>
        <v>-0.499105476351451</v>
      </c>
      <c s="70" r="U102"/>
      <c s="70" r="V102"/>
      <c t="s" s="30" r="W102">
        <v>146</v>
      </c>
      <c s="30" r="X102">
        <v>0</v>
      </c>
      <c t="s" s="30" r="Y102">
        <v>143</v>
      </c>
      <c t="s" s="30" r="Z102">
        <v>42</v>
      </c>
      <c s="30" r="AA102">
        <v>0</v>
      </c>
      <c s="30" r="AB102">
        <v>0</v>
      </c>
      <c s="30" r="AC102">
        <v>0</v>
      </c>
      <c s="30" r="AD102">
        <v>0</v>
      </c>
      <c s="30" r="AE102"/>
      <c t="str" s="8" r="AF102">
        <f>(I102+J102)/R102</f>
        <v>#VALUE!:notNumber:NA</v>
      </c>
      <c t="str" s="28" r="AG102">
        <f>G102/$X102</f>
        <v>#DIV/0!:divZero</v>
      </c>
      <c t="str" s="28" r="AH102">
        <f>H102/$X102</f>
        <v>#DIV/0!:divZero</v>
      </c>
      <c t="str" s="28" r="AI102">
        <f>I102/$X102</f>
        <v>#DIV/0!:divZero</v>
      </c>
      <c t="str" s="28" r="AJ102">
        <f>J102/$X102</f>
        <v>#DIV/0!:divZero</v>
      </c>
      <c t="str" s="28" r="AK102">
        <f>K102/$X102</f>
        <v>#DIV/0!:divZero</v>
      </c>
      <c s="30" r="AL102">
        <v>1</v>
      </c>
    </row>
    <row r="103">
      <c s="30" r="A103">
        <v>102</v>
      </c>
      <c t="s" s="30" r="B103">
        <v>55</v>
      </c>
      <c s="62" r="C103">
        <v>41569</v>
      </c>
      <c s="52" r="D103">
        <v>41569.7916666667</v>
      </c>
      <c s="55" r="E103">
        <f>481*0.031</f>
        <v>14.911</v>
      </c>
      <c s="55" r="F103"/>
      <c t="s" s="55" r="G103">
        <v>39</v>
      </c>
      <c t="s" s="55" r="H103">
        <v>39</v>
      </c>
      <c t="s" s="55" r="I103">
        <v>39</v>
      </c>
      <c t="s" s="55" r="J103">
        <v>39</v>
      </c>
      <c t="s" s="55" r="K103">
        <v>39</v>
      </c>
      <c s="80" r="L103">
        <v>0</v>
      </c>
      <c s="79" r="M103">
        <v>0</v>
      </c>
      <c s="79" r="N103">
        <v>8.51</v>
      </c>
      <c s="79" r="O103">
        <v>0</v>
      </c>
      <c s="32" r="P103">
        <f>SUMIF(Skills!$A$2:$A$9999, A103, Skills!$F$2:$F$9999)</f>
        <v>0</v>
      </c>
      <c s="17" r="Q103">
        <f>N103</f>
        <v>8.51</v>
      </c>
      <c s="17" r="R103">
        <f>E103+L103</f>
        <v>14.911</v>
      </c>
      <c s="63" r="S103">
        <f>Q103-R103</f>
        <v>-6.401</v>
      </c>
      <c s="39" r="T103">
        <f> (Q103/R103) - 1</f>
        <v>-0.429280397022332</v>
      </c>
      <c s="70" r="U103"/>
      <c s="70" r="V103"/>
      <c t="s" s="30" r="W103">
        <v>147</v>
      </c>
      <c s="30" r="X103">
        <v>0</v>
      </c>
      <c t="s" s="30" r="Y103">
        <v>104</v>
      </c>
      <c t="s" s="30" r="Z103">
        <v>42</v>
      </c>
      <c s="30" r="AA103">
        <v>0</v>
      </c>
      <c s="30" r="AB103">
        <v>0</v>
      </c>
      <c s="30" r="AC103">
        <v>0</v>
      </c>
      <c s="30" r="AD103">
        <v>0</v>
      </c>
      <c s="30" r="AE103"/>
      <c t="str" s="8" r="AF103">
        <f>(I103+J103)/R103</f>
        <v>#VALUE!:notNumber:NA</v>
      </c>
      <c t="str" s="28" r="AG103">
        <f>G103/$X103</f>
        <v>#DIV/0!:divZero</v>
      </c>
      <c t="str" s="28" r="AH103">
        <f>H103/$X103</f>
        <v>#DIV/0!:divZero</v>
      </c>
      <c t="str" s="28" r="AI103">
        <f>I103/$X103</f>
        <v>#DIV/0!:divZero</v>
      </c>
      <c t="str" s="28" r="AJ103">
        <f>J103/$X103</f>
        <v>#DIV/0!:divZero</v>
      </c>
      <c t="str" s="28" r="AK103">
        <f>K103/$X103</f>
        <v>#DIV/0!:divZero</v>
      </c>
      <c s="30" r="AL103">
        <v>1</v>
      </c>
    </row>
    <row r="104">
      <c s="30" r="A104">
        <v>103</v>
      </c>
      <c t="s" s="30" r="B104">
        <v>55</v>
      </c>
      <c s="62" r="C104">
        <v>41569</v>
      </c>
      <c s="52" r="D104">
        <v>41569.7916666667</v>
      </c>
      <c s="55" r="E104">
        <f>214*0.07</f>
        <v>14.98</v>
      </c>
      <c s="55" r="F104"/>
      <c t="s" s="55" r="G104">
        <v>39</v>
      </c>
      <c t="s" s="55" r="H104">
        <v>39</v>
      </c>
      <c t="s" s="55" r="I104">
        <v>39</v>
      </c>
      <c t="s" s="55" r="J104">
        <v>39</v>
      </c>
      <c t="s" s="55" r="K104">
        <v>39</v>
      </c>
      <c s="80" r="L104">
        <v>0</v>
      </c>
      <c s="79" r="M104">
        <v>0</v>
      </c>
      <c s="79" r="N104">
        <v>12.5</v>
      </c>
      <c s="79" r="O104">
        <v>0</v>
      </c>
      <c s="32" r="P104">
        <f>SUMIF(Skills!$A$2:$A$9999, A104, Skills!$F$2:$F$9999)</f>
        <v>0</v>
      </c>
      <c s="17" r="Q104">
        <f>N104</f>
        <v>12.5</v>
      </c>
      <c s="17" r="R104">
        <f>E104+L104</f>
        <v>14.98</v>
      </c>
      <c s="63" r="S104">
        <f>Q104-R104</f>
        <v>-2.48</v>
      </c>
      <c s="39" r="T104">
        <f> (Q104/R104) - 1</f>
        <v>-0.165554072096128</v>
      </c>
      <c s="70" r="U104"/>
      <c s="70" r="V104"/>
      <c t="s" s="30" r="W104">
        <v>120</v>
      </c>
      <c s="30" r="X104">
        <v>0</v>
      </c>
      <c t="s" s="30" r="Y104">
        <v>104</v>
      </c>
      <c t="s" s="30" r="Z104">
        <v>42</v>
      </c>
      <c s="30" r="AA104">
        <v>0</v>
      </c>
      <c s="30" r="AB104">
        <v>0</v>
      </c>
      <c s="30" r="AC104">
        <v>0</v>
      </c>
      <c s="30" r="AD104">
        <v>0</v>
      </c>
      <c s="30" r="AE104"/>
      <c t="str" s="8" r="AF104">
        <f>(I104+J104)/R104</f>
        <v>#VALUE!:notNumber:NA</v>
      </c>
      <c t="str" s="28" r="AG104">
        <f>G104/$X104</f>
        <v>#DIV/0!:divZero</v>
      </c>
      <c t="str" s="28" r="AH104">
        <f>H104/$X104</f>
        <v>#DIV/0!:divZero</v>
      </c>
      <c t="str" s="28" r="AI104">
        <f>I104/$X104</f>
        <v>#DIV/0!:divZero</v>
      </c>
      <c t="str" s="28" r="AJ104">
        <f>J104/$X104</f>
        <v>#DIV/0!:divZero</v>
      </c>
      <c t="str" s="28" r="AK104">
        <f>K104/$X104</f>
        <v>#DIV/0!:divZero</v>
      </c>
      <c s="30" r="AL104">
        <v>1</v>
      </c>
    </row>
    <row r="105">
      <c s="30" r="A105">
        <v>104</v>
      </c>
      <c t="s" s="30" r="B105">
        <v>55</v>
      </c>
      <c s="62" r="C105">
        <v>41569</v>
      </c>
      <c s="52" r="D105">
        <v>41569.7916666667</v>
      </c>
      <c s="55" r="E105">
        <f>0.16*91</f>
        <v>14.56</v>
      </c>
      <c s="55" r="F105"/>
      <c t="s" s="55" r="G105">
        <v>39</v>
      </c>
      <c t="s" s="55" r="H105">
        <v>39</v>
      </c>
      <c t="s" s="55" r="I105">
        <v>39</v>
      </c>
      <c t="s" s="55" r="J105">
        <v>39</v>
      </c>
      <c t="s" s="55" r="K105">
        <v>39</v>
      </c>
      <c s="80" r="L105">
        <v>0</v>
      </c>
      <c s="79" r="M105">
        <v>0</v>
      </c>
      <c s="79" r="N105">
        <v>11.17</v>
      </c>
      <c s="79" r="O105">
        <v>0</v>
      </c>
      <c s="32" r="P105">
        <f>SUMIF(Skills!$A$2:$A$9999, A105, Skills!$F$2:$F$9999)</f>
        <v>0</v>
      </c>
      <c s="17" r="Q105">
        <f>N105+1.2</f>
        <v>12.37</v>
      </c>
      <c s="17" r="R105">
        <f>E105+L105</f>
        <v>14.56</v>
      </c>
      <c s="63" r="S105">
        <f>Q105-R105</f>
        <v>-2.19</v>
      </c>
      <c s="39" r="T105">
        <f> (Q105/R105) - 1</f>
        <v>-0.150412087912088</v>
      </c>
      <c s="70" r="U105"/>
      <c s="70" r="V105"/>
      <c t="s" s="30" r="W105">
        <v>120</v>
      </c>
      <c s="30" r="X105">
        <v>0</v>
      </c>
      <c t="s" s="30" r="Y105">
        <v>104</v>
      </c>
      <c t="s" s="30" r="Z105">
        <v>42</v>
      </c>
      <c s="30" r="AA105">
        <v>0</v>
      </c>
      <c s="30" r="AB105">
        <v>0</v>
      </c>
      <c s="30" r="AC105">
        <v>0</v>
      </c>
      <c s="30" r="AD105">
        <v>0</v>
      </c>
      <c s="30" r="AE105"/>
      <c t="str" s="8" r="AF105">
        <f>(I105+J105)/R105</f>
        <v>#VALUE!:notNumber:NA</v>
      </c>
      <c t="str" s="28" r="AG105">
        <f>G105/$X105</f>
        <v>#DIV/0!:divZero</v>
      </c>
      <c t="str" s="28" r="AH105">
        <f>H105/$X105</f>
        <v>#DIV/0!:divZero</v>
      </c>
      <c t="str" s="28" r="AI105">
        <f>I105/$X105</f>
        <v>#DIV/0!:divZero</v>
      </c>
      <c t="str" s="28" r="AJ105">
        <f>J105/$X105</f>
        <v>#DIV/0!:divZero</v>
      </c>
      <c t="str" s="28" r="AK105">
        <f>K105/$X105</f>
        <v>#DIV/0!:divZero</v>
      </c>
      <c s="30" r="AL105">
        <v>1</v>
      </c>
    </row>
    <row r="106">
      <c s="30" r="A106">
        <v>105</v>
      </c>
      <c t="s" s="30" r="B106">
        <v>38</v>
      </c>
      <c s="62" r="C106">
        <v>41569</v>
      </c>
      <c s="52" r="D106">
        <v>41569.7916666667</v>
      </c>
      <c s="55" r="E106">
        <v>300</v>
      </c>
      <c s="55" r="F106"/>
      <c t="s" s="55" r="G106">
        <v>39</v>
      </c>
      <c t="s" s="55" r="H106">
        <v>39</v>
      </c>
      <c t="s" s="55" r="I106">
        <v>39</v>
      </c>
      <c t="s" s="55" r="J106">
        <v>39</v>
      </c>
      <c t="s" s="55" r="K106">
        <v>39</v>
      </c>
      <c s="80" r="L106">
        <v>19.25</v>
      </c>
      <c s="79" r="M106">
        <v>218.36</v>
      </c>
      <c s="79" r="N106">
        <v>54.67</v>
      </c>
      <c s="79" r="O106">
        <f>SUMIF(Sellables!$A$2:$A$11482, $A106, Sellables!$G$2:$G$11482)</f>
        <v>0</v>
      </c>
      <c s="32" r="P106">
        <f>SUMIF(Skills!$A$2:$A$9999, A106, Skills!$F$2:$F$9999)</f>
        <v>0</v>
      </c>
      <c s="14" r="Q106">
        <f>((M106+N106)+O106)+P106</f>
        <v>273.03</v>
      </c>
      <c s="23" r="R106">
        <f>E106+L106</f>
        <v>319.25</v>
      </c>
      <c s="70" r="S106">
        <f>Q106-R106</f>
        <v>-46.22</v>
      </c>
      <c s="29" r="T106">
        <f> (Q106/R106) - 1</f>
        <v>-0.144776820673453</v>
      </c>
      <c s="70" r="U106"/>
      <c s="70" r="V106"/>
      <c t="s" s="30" r="W106">
        <v>146</v>
      </c>
      <c s="30" r="X106">
        <v>0</v>
      </c>
      <c t="s" s="30" r="Y106">
        <v>143</v>
      </c>
      <c t="s" s="30" r="Z106">
        <v>42</v>
      </c>
      <c s="30" r="AA106">
        <v>0</v>
      </c>
      <c s="30" r="AB106">
        <v>0</v>
      </c>
      <c s="30" r="AC106">
        <v>0</v>
      </c>
      <c s="30" r="AD106">
        <v>0</v>
      </c>
      <c s="30" r="AE106"/>
      <c t="str" s="8" r="AF106">
        <f>(I106+J106)/R106</f>
        <v>#VALUE!:notNumber:NA</v>
      </c>
      <c t="str" s="28" r="AG106">
        <f>G106/$X106</f>
        <v>#DIV/0!:divZero</v>
      </c>
      <c t="str" s="28" r="AH106">
        <f>H106/$X106</f>
        <v>#DIV/0!:divZero</v>
      </c>
      <c t="str" s="28" r="AI106">
        <f>I106/$X106</f>
        <v>#DIV/0!:divZero</v>
      </c>
      <c t="str" s="28" r="AJ106">
        <f>J106/$X106</f>
        <v>#DIV/0!:divZero</v>
      </c>
      <c t="str" s="28" r="AK106">
        <f>K106/$X106</f>
        <v>#DIV/0!:divZero</v>
      </c>
      <c s="30" r="AL106">
        <v>1</v>
      </c>
    </row>
    <row r="107">
      <c s="30" r="A107">
        <v>106</v>
      </c>
      <c t="s" s="30" r="B107">
        <v>55</v>
      </c>
      <c s="62" r="C107">
        <v>41570</v>
      </c>
      <c s="52" r="D107">
        <v>41570.4375</v>
      </c>
      <c s="55" r="E107">
        <f>66 * 0.61</f>
        <v>40.26</v>
      </c>
      <c s="55" r="F107"/>
      <c t="s" s="55" r="G107">
        <v>39</v>
      </c>
      <c t="s" s="55" r="H107">
        <v>39</v>
      </c>
      <c t="s" s="55" r="I107">
        <v>39</v>
      </c>
      <c t="s" s="55" r="J107">
        <v>39</v>
      </c>
      <c t="s" s="55" r="K107">
        <v>39</v>
      </c>
      <c s="80" r="L107">
        <v>0</v>
      </c>
      <c s="79" r="M107">
        <v>0</v>
      </c>
      <c s="79" r="N107">
        <v>68</v>
      </c>
      <c s="79" r="O107">
        <f>SUMIF(Sellables!$A$2:$A$11482, $A107, Sellables!$G$2:$G$11482)</f>
        <v>0</v>
      </c>
      <c s="32" r="P107">
        <f>SUMIF(Skills!$A$2:$A$9999, A107, Skills!$F$2:$F$9999)</f>
        <v>0</v>
      </c>
      <c s="17" r="Q107">
        <f>N107</f>
        <v>68</v>
      </c>
      <c s="17" r="R107">
        <f>E107+L107</f>
        <v>40.26</v>
      </c>
      <c s="63" r="S107">
        <f>Q107-R107</f>
        <v>27.74</v>
      </c>
      <c s="39" r="T107">
        <f> (Q107/R107) - 1</f>
        <v>0.689021361152509</v>
      </c>
      <c s="70" r="U107"/>
      <c s="70" r="V107"/>
      <c t="s" s="30" r="W107">
        <v>148</v>
      </c>
      <c s="30" r="X107">
        <v>0</v>
      </c>
      <c t="s" s="30" r="Y107">
        <v>149</v>
      </c>
      <c t="s" s="30" r="Z107">
        <v>42</v>
      </c>
      <c s="30" r="AA107">
        <v>0</v>
      </c>
      <c s="30" r="AB107">
        <v>0</v>
      </c>
      <c s="30" r="AC107">
        <v>0</v>
      </c>
      <c s="30" r="AD107">
        <v>0</v>
      </c>
      <c s="30" r="AE107"/>
      <c t="str" s="8" r="AF107">
        <f>(I107+J107)/R107</f>
        <v>#VALUE!:notNumber:NA</v>
      </c>
      <c t="str" s="28" r="AG107">
        <f>G107/$X107</f>
        <v>#DIV/0!:divZero</v>
      </c>
      <c t="str" s="28" r="AH107">
        <f>H107/$X107</f>
        <v>#DIV/0!:divZero</v>
      </c>
      <c t="str" s="28" r="AI107">
        <f>I107/$X107</f>
        <v>#DIV/0!:divZero</v>
      </c>
      <c t="str" s="28" r="AJ107">
        <f>J107/$X107</f>
        <v>#DIV/0!:divZero</v>
      </c>
      <c t="str" s="28" r="AK107">
        <f>K107/$X107</f>
        <v>#DIV/0!:divZero</v>
      </c>
      <c s="30" r="AL107">
        <v>1</v>
      </c>
    </row>
    <row r="108">
      <c s="30" r="A108">
        <v>107</v>
      </c>
      <c t="s" s="30" r="B108">
        <v>55</v>
      </c>
      <c s="62" r="C108">
        <v>41570</v>
      </c>
      <c s="52" r="D108">
        <v>41570.4375</v>
      </c>
      <c s="55" r="E108">
        <f>16*0.61</f>
        <v>9.76</v>
      </c>
      <c s="55" r="F108"/>
      <c t="s" s="55" r="G108">
        <v>39</v>
      </c>
      <c t="s" s="55" r="H108">
        <v>39</v>
      </c>
      <c t="s" s="55" r="I108">
        <v>39</v>
      </c>
      <c t="s" s="55" r="J108">
        <v>39</v>
      </c>
      <c t="s" s="55" r="K108">
        <v>39</v>
      </c>
      <c s="80" r="L108">
        <v>0</v>
      </c>
      <c s="79" r="M108">
        <v>0</v>
      </c>
      <c s="79" r="N108">
        <v>9.49</v>
      </c>
      <c s="79" r="O108">
        <f>SUMIF(Sellables!$A$2:$A$11482, $A108, Sellables!$G$2:$G$11482)</f>
        <v>0</v>
      </c>
      <c s="32" r="P108">
        <f>SUMIF(Skills!$A$2:$A$9999, A108, Skills!$F$2:$F$9999)</f>
        <v>0</v>
      </c>
      <c s="17" r="Q108">
        <f>N108</f>
        <v>9.49</v>
      </c>
      <c s="17" r="R108">
        <f>E108+L108</f>
        <v>9.76</v>
      </c>
      <c s="63" r="S108">
        <f>Q108-R108</f>
        <v>-0.27</v>
      </c>
      <c s="39" r="T108">
        <f> (Q108/R108) - 1</f>
        <v>-0.02766393442623</v>
      </c>
      <c s="70" r="U108"/>
      <c s="70" r="V108"/>
      <c t="s" s="30" r="W108">
        <v>98</v>
      </c>
      <c s="30" r="X108">
        <v>0</v>
      </c>
      <c t="s" s="30" r="Y108">
        <v>149</v>
      </c>
      <c t="s" s="30" r="Z108">
        <v>42</v>
      </c>
      <c s="30" r="AA108">
        <v>0</v>
      </c>
      <c s="30" r="AB108">
        <v>0</v>
      </c>
      <c s="30" r="AC108">
        <v>0</v>
      </c>
      <c s="30" r="AD108">
        <v>0</v>
      </c>
      <c s="30" r="AE108"/>
      <c t="str" s="8" r="AF108">
        <f>(I108+J108)/R108</f>
        <v>#VALUE!:notNumber:NA</v>
      </c>
      <c t="str" s="28" r="AG108">
        <f>G108/$X108</f>
        <v>#DIV/0!:divZero</v>
      </c>
      <c t="str" s="28" r="AH108">
        <f>H108/$X108</f>
        <v>#DIV/0!:divZero</v>
      </c>
      <c t="str" s="28" r="AI108">
        <f>I108/$X108</f>
        <v>#DIV/0!:divZero</v>
      </c>
      <c t="str" s="28" r="AJ108">
        <f>J108/$X108</f>
        <v>#DIV/0!:divZero</v>
      </c>
      <c t="str" s="28" r="AK108">
        <f>K108/$X108</f>
        <v>#DIV/0!:divZero</v>
      </c>
      <c s="30" r="AL108">
        <v>1</v>
      </c>
    </row>
    <row r="109">
      <c s="30" r="A109">
        <v>108</v>
      </c>
      <c t="s" s="30" r="B109">
        <v>55</v>
      </c>
      <c s="62" r="C109">
        <v>41570</v>
      </c>
      <c s="52" r="D109">
        <v>41570.4375</v>
      </c>
      <c s="55" r="E109">
        <f>(81)*1.9</f>
        <v>153.9</v>
      </c>
      <c s="55" r="F109"/>
      <c t="s" s="55" r="G109">
        <v>39</v>
      </c>
      <c t="s" s="55" r="H109">
        <v>39</v>
      </c>
      <c t="s" s="55" r="I109">
        <v>39</v>
      </c>
      <c t="s" s="55" r="J109">
        <v>39</v>
      </c>
      <c t="s" s="55" r="K109">
        <v>39</v>
      </c>
      <c s="80" r="L109">
        <v>0</v>
      </c>
      <c s="79" r="M109">
        <v>0</v>
      </c>
      <c s="79" r="N109">
        <v>100.77</v>
      </c>
      <c s="79" r="O109">
        <f>SUMIF(Sellables!$A$2:$A$11482, $A109, Sellables!$G$2:$G$11482)</f>
        <v>0</v>
      </c>
      <c s="32" r="P109">
        <f>SUMIF(Skills!$A$2:$A$9999, A109, Skills!$F$2:$F$9999)</f>
        <v>0</v>
      </c>
      <c s="17" r="Q109">
        <f>N109+15</f>
        <v>115.77</v>
      </c>
      <c s="17" r="R109">
        <f>E109+L109</f>
        <v>153.9</v>
      </c>
      <c s="63" r="S109">
        <f>Q109-R109</f>
        <v>-38.13</v>
      </c>
      <c s="39" r="T109">
        <f> (Q109/R109) - 1</f>
        <v>-0.24775828460039</v>
      </c>
      <c s="70" r="U109"/>
      <c s="70" r="V109"/>
      <c t="s" s="30" r="W109">
        <v>92</v>
      </c>
      <c s="30" r="X109">
        <v>0</v>
      </c>
      <c t="s" s="30" r="Y109">
        <v>149</v>
      </c>
      <c t="s" s="30" r="Z109">
        <v>42</v>
      </c>
      <c s="30" r="AA109">
        <v>0</v>
      </c>
      <c s="30" r="AB109">
        <v>0</v>
      </c>
      <c s="30" r="AC109">
        <v>0</v>
      </c>
      <c s="30" r="AD109">
        <v>0</v>
      </c>
      <c s="30" r="AE109"/>
      <c t="str" s="8" r="AF109">
        <f>(I109+J109)/R109</f>
        <v>#VALUE!:notNumber:NA</v>
      </c>
      <c t="str" s="28" r="AG109">
        <f>G109/$X109</f>
        <v>#DIV/0!:divZero</v>
      </c>
      <c t="str" s="28" r="AH109">
        <f>H109/$X109</f>
        <v>#DIV/0!:divZero</v>
      </c>
      <c t="str" s="28" r="AI109">
        <f>I109/$X109</f>
        <v>#DIV/0!:divZero</v>
      </c>
      <c t="str" s="28" r="AJ109">
        <f>J109/$X109</f>
        <v>#DIV/0!:divZero</v>
      </c>
      <c t="str" s="28" r="AK109">
        <f>K109/$X109</f>
        <v>#DIV/0!:divZero</v>
      </c>
      <c s="30" r="AL109">
        <v>1</v>
      </c>
    </row>
    <row r="110">
      <c s="30" r="A110">
        <v>109</v>
      </c>
      <c t="s" s="30" r="B110">
        <v>55</v>
      </c>
      <c s="62" r="C110">
        <v>41570</v>
      </c>
      <c s="52" r="D110">
        <v>41570.4375</v>
      </c>
      <c s="55" r="E110">
        <f>(29)*1.9</f>
        <v>55.1</v>
      </c>
      <c s="55" r="F110"/>
      <c t="s" s="55" r="G110">
        <v>39</v>
      </c>
      <c t="s" s="55" r="H110">
        <v>39</v>
      </c>
      <c t="s" s="55" r="I110">
        <v>39</v>
      </c>
      <c t="s" s="55" r="J110">
        <v>39</v>
      </c>
      <c t="s" s="55" r="K110">
        <v>39</v>
      </c>
      <c s="80" r="L110">
        <v>0</v>
      </c>
      <c s="79" r="M110">
        <v>0</v>
      </c>
      <c s="79" r="N110">
        <v>27.26</v>
      </c>
      <c s="79" r="O110">
        <f>SUMIF(Sellables!$A$2:$A$11482, $A110, Sellables!$G$2:$G$11482)</f>
        <v>0</v>
      </c>
      <c s="32" r="P110">
        <f>SUMIF(Skills!$A$2:$A$9999, A110, Skills!$F$2:$F$9999)</f>
        <v>0</v>
      </c>
      <c s="17" r="Q110">
        <f>N110+1.4</f>
        <v>28.66</v>
      </c>
      <c s="17" r="R110">
        <f>E110+L110</f>
        <v>55.1</v>
      </c>
      <c s="63" r="S110">
        <f>Q110-R110</f>
        <v>-26.44</v>
      </c>
      <c s="39" r="T110">
        <f> (Q110/R110) - 1</f>
        <v>-0.479854809437387</v>
      </c>
      <c s="70" r="U110"/>
      <c s="70" r="V110"/>
      <c t="s" s="30" r="W110">
        <v>150</v>
      </c>
      <c s="30" r="X110">
        <v>0</v>
      </c>
      <c t="s" s="30" r="Y110">
        <v>149</v>
      </c>
      <c t="s" s="30" r="Z110">
        <v>42</v>
      </c>
      <c s="30" r="AA110">
        <v>0</v>
      </c>
      <c s="30" r="AB110">
        <v>0</v>
      </c>
      <c s="30" r="AC110">
        <v>0</v>
      </c>
      <c s="30" r="AD110">
        <v>0</v>
      </c>
      <c s="30" r="AE110"/>
      <c t="str" s="8" r="AF110">
        <f>(I110+J110)/R110</f>
        <v>#VALUE!:notNumber:NA</v>
      </c>
      <c t="str" s="28" r="AG110">
        <f>G110/$X110</f>
        <v>#DIV/0!:divZero</v>
      </c>
      <c t="str" s="28" r="AH110">
        <f>H110/$X110</f>
        <v>#DIV/0!:divZero</v>
      </c>
      <c t="str" s="28" r="AI110">
        <f>I110/$X110</f>
        <v>#DIV/0!:divZero</v>
      </c>
      <c t="str" s="28" r="AJ110">
        <f>J110/$X110</f>
        <v>#DIV/0!:divZero</v>
      </c>
      <c t="str" s="28" r="AK110">
        <f>K110/$X110</f>
        <v>#DIV/0!:divZero</v>
      </c>
      <c s="30" r="AL110">
        <v>1</v>
      </c>
    </row>
    <row r="111">
      <c s="30" r="A111">
        <v>110</v>
      </c>
      <c t="s" s="30" r="B111">
        <v>38</v>
      </c>
      <c s="62" r="C111">
        <v>41570</v>
      </c>
      <c s="52" r="D111">
        <v>41570.4375</v>
      </c>
      <c s="55" r="E111">
        <v>200</v>
      </c>
      <c s="55" r="F111"/>
      <c t="s" s="55" r="G111">
        <v>39</v>
      </c>
      <c t="s" s="55" r="H111">
        <v>39</v>
      </c>
      <c t="s" s="55" r="I111">
        <v>39</v>
      </c>
      <c t="s" s="55" r="J111">
        <v>39</v>
      </c>
      <c t="s" s="55" r="K111">
        <v>39</v>
      </c>
      <c s="80" r="L111">
        <v>48.47</v>
      </c>
      <c s="79" r="M111">
        <v>80.68</v>
      </c>
      <c s="79" r="N111">
        <v>196.14</v>
      </c>
      <c s="32" r="O111">
        <f>SUMIF(Sellables!$A$2:$A$11482, $A111, Sellables!$G$2:$G$11482)</f>
        <v>99.04</v>
      </c>
      <c s="32" r="P111">
        <f>SUMIF(Skills!$A$2:$A$9999, A111, Skills!$F$2:$F$9999)</f>
        <v>0</v>
      </c>
      <c s="14" r="Q111">
        <f>(N111+O111)+P111</f>
        <v>295.18</v>
      </c>
      <c s="23" r="R111">
        <f>(E111+L111)-M111</f>
        <v>167.79</v>
      </c>
      <c s="70" r="S111">
        <f>Q111-R111</f>
        <v>127.39</v>
      </c>
      <c s="29" r="T111">
        <f> (Q111/R111) - 1</f>
        <v>0.759222838071399</v>
      </c>
      <c s="70" r="U111"/>
      <c s="70" r="V111"/>
      <c t="s" s="30" r="W111">
        <v>151</v>
      </c>
      <c s="30" r="X111">
        <v>0</v>
      </c>
      <c t="s" s="30" r="Y111">
        <v>152</v>
      </c>
      <c t="s" s="30" r="Z111">
        <v>42</v>
      </c>
      <c s="30" r="AA111">
        <v>0</v>
      </c>
      <c s="30" r="AB111">
        <v>0</v>
      </c>
      <c s="30" r="AC111">
        <v>2</v>
      </c>
      <c s="30" r="AD111">
        <v>0</v>
      </c>
      <c s="30" r="AE111"/>
      <c t="str" s="8" r="AF111">
        <f>(I111+J111)/R111</f>
        <v>#VALUE!:notNumber:NA</v>
      </c>
      <c t="str" s="28" r="AG111">
        <f>G111/$X111</f>
        <v>#DIV/0!:divZero</v>
      </c>
      <c t="str" s="28" r="AH111">
        <f>H111/$X111</f>
        <v>#DIV/0!:divZero</v>
      </c>
      <c t="str" s="28" r="AI111">
        <f>I111/$X111</f>
        <v>#DIV/0!:divZero</v>
      </c>
      <c t="str" s="28" r="AJ111">
        <f>J111/$X111</f>
        <v>#DIV/0!:divZero</v>
      </c>
      <c t="str" s="28" r="AK111">
        <f>K111/$X111</f>
        <v>#DIV/0!:divZero</v>
      </c>
      <c s="30" r="AL111">
        <v>1</v>
      </c>
    </row>
    <row r="112">
      <c s="30" r="A112">
        <v>111</v>
      </c>
      <c t="s" s="30" r="B112">
        <v>55</v>
      </c>
      <c s="62" r="C112">
        <v>41570</v>
      </c>
      <c s="52" r="D112">
        <v>0.673611111111111</v>
      </c>
      <c s="55" r="E112">
        <f>45*0.7</f>
        <v>31.5</v>
      </c>
      <c s="55" r="F112"/>
      <c t="s" s="55" r="G112">
        <v>39</v>
      </c>
      <c t="s" s="55" r="H112">
        <v>39</v>
      </c>
      <c t="s" s="55" r="I112">
        <v>39</v>
      </c>
      <c t="s" s="55" r="J112">
        <v>39</v>
      </c>
      <c t="s" s="55" r="K112">
        <v>39</v>
      </c>
      <c s="80" r="L112">
        <v>0</v>
      </c>
      <c s="79" r="M112">
        <v>0</v>
      </c>
      <c s="79" r="N112">
        <v>50.56</v>
      </c>
      <c s="32" r="O112">
        <f>SUMIF(Sellables!$A$2:$A$11482, $A112, Sellables!$G$2:$G$11482)</f>
        <v>0</v>
      </c>
      <c s="32" r="P112">
        <f>SUMIF(Skills!$A$2:$A$9999, A112, Skills!$F$2:$F$9999)</f>
        <v>0</v>
      </c>
      <c s="14" r="Q112">
        <f>(N112+O112)+P112</f>
        <v>50.56</v>
      </c>
      <c s="23" r="R112">
        <f>(E112+L112)-M112</f>
        <v>31.5</v>
      </c>
      <c s="70" r="S112">
        <f>Q112-R112</f>
        <v>19.06</v>
      </c>
      <c s="29" r="T112">
        <f> (Q112/R112) - 1</f>
        <v>0.605079365079365</v>
      </c>
      <c s="70" r="U112"/>
      <c s="70" r="V112"/>
      <c t="s" s="30" r="W112">
        <v>56</v>
      </c>
      <c s="30" r="X112">
        <v>0</v>
      </c>
      <c t="s" s="30" r="Y112">
        <v>104</v>
      </c>
      <c t="s" s="30" r="Z112">
        <v>42</v>
      </c>
      <c s="30" r="AA112">
        <v>0</v>
      </c>
      <c s="30" r="AB112">
        <v>0</v>
      </c>
      <c s="30" r="AC112">
        <v>0</v>
      </c>
      <c s="30" r="AD112">
        <v>0</v>
      </c>
      <c s="30" r="AE112"/>
      <c t="str" s="8" r="AF112">
        <f>(I112+J112)/R112</f>
        <v>#VALUE!:notNumber:NA</v>
      </c>
      <c t="str" s="28" r="AG112">
        <f>G112/$X112</f>
        <v>#DIV/0!:divZero</v>
      </c>
      <c t="str" s="28" r="AH112">
        <f>H112/$X112</f>
        <v>#DIV/0!:divZero</v>
      </c>
      <c t="str" s="28" r="AI112">
        <f>I112/$X112</f>
        <v>#DIV/0!:divZero</v>
      </c>
      <c t="str" s="28" r="AJ112">
        <f>J112/$X112</f>
        <v>#DIV/0!:divZero</v>
      </c>
      <c t="str" s="28" r="AK112">
        <f>K112/$X112</f>
        <v>#DIV/0!:divZero</v>
      </c>
      <c s="30" r="AL112">
        <v>1</v>
      </c>
    </row>
    <row r="113">
      <c s="30" r="A113">
        <v>112</v>
      </c>
      <c t="s" s="30" r="B113">
        <v>55</v>
      </c>
      <c s="62" r="C113">
        <v>41570</v>
      </c>
      <c s="52" r="D113">
        <v>0.673611111111111</v>
      </c>
      <c s="55" r="E113">
        <f>75*1.15</f>
        <v>86.25</v>
      </c>
      <c s="55" r="F113"/>
      <c t="s" s="55" r="G113">
        <v>39</v>
      </c>
      <c t="s" s="55" r="H113">
        <v>39</v>
      </c>
      <c t="s" s="55" r="I113">
        <v>39</v>
      </c>
      <c t="s" s="55" r="J113">
        <v>39</v>
      </c>
      <c t="s" s="55" r="K113">
        <v>39</v>
      </c>
      <c s="80" r="L113">
        <v>0</v>
      </c>
      <c s="79" r="M113">
        <v>0</v>
      </c>
      <c s="79" r="N113">
        <f>69.05-34</f>
        <v>35.05</v>
      </c>
      <c s="32" r="O113">
        <f>SUMIF(Sellables!$A$2:$A$11482, $A113, Sellables!$G$2:$G$11482)</f>
        <v>0</v>
      </c>
      <c s="32" r="P113">
        <f>SUMIF(Skills!$A$2:$A$9999, A113, Skills!$F$2:$F$9999)</f>
        <v>0</v>
      </c>
      <c s="14" r="Q113">
        <f>(N113+O113)+P113</f>
        <v>35.05</v>
      </c>
      <c s="23" r="R113">
        <f>(E113+L113)-M113</f>
        <v>86.25</v>
      </c>
      <c s="70" r="S113">
        <f>Q113-R113</f>
        <v>-51.2</v>
      </c>
      <c s="29" r="T113">
        <f> (Q113/R113) - 1</f>
        <v>-0.593623188405797</v>
      </c>
      <c s="70" r="U113"/>
      <c s="70" r="V113"/>
      <c t="s" s="30" r="W113">
        <v>68</v>
      </c>
      <c s="30" r="X113">
        <v>0</v>
      </c>
      <c t="s" s="30" r="Y113">
        <v>104</v>
      </c>
      <c t="s" s="30" r="Z113">
        <v>42</v>
      </c>
      <c s="30" r="AA113">
        <v>0</v>
      </c>
      <c s="30" r="AB113">
        <v>0</v>
      </c>
      <c s="30" r="AC113">
        <v>0</v>
      </c>
      <c s="30" r="AD113">
        <v>0</v>
      </c>
      <c s="30" r="AE113"/>
      <c t="str" s="8" r="AF113">
        <f>(I113+J113)/R113</f>
        <v>#VALUE!:notNumber:NA</v>
      </c>
      <c t="str" s="28" r="AG113">
        <f>G113/$X113</f>
        <v>#DIV/0!:divZero</v>
      </c>
      <c t="str" s="28" r="AH113">
        <f>H113/$X113</f>
        <v>#DIV/0!:divZero</v>
      </c>
      <c t="str" s="28" r="AI113">
        <f>I113/$X113</f>
        <v>#DIV/0!:divZero</v>
      </c>
      <c t="str" s="28" r="AJ113">
        <f>J113/$X113</f>
        <v>#DIV/0!:divZero</v>
      </c>
      <c t="str" s="28" r="AK113">
        <f>K113/$X113</f>
        <v>#DIV/0!:divZero</v>
      </c>
      <c s="30" r="AL113">
        <v>1</v>
      </c>
    </row>
    <row r="114">
      <c s="30" r="A114">
        <v>113</v>
      </c>
      <c t="s" s="30" r="B114">
        <v>38</v>
      </c>
      <c s="62" r="C114">
        <v>41570</v>
      </c>
      <c s="52" r="D114">
        <v>0.673611111111111</v>
      </c>
      <c s="55" r="E114">
        <v>200</v>
      </c>
      <c s="55" r="F114"/>
      <c t="s" s="55" r="G114">
        <v>39</v>
      </c>
      <c t="s" s="55" r="H114">
        <v>39</v>
      </c>
      <c t="s" s="55" r="I114">
        <v>39</v>
      </c>
      <c t="s" s="55" r="J114">
        <v>39</v>
      </c>
      <c t="s" s="55" r="K114">
        <v>39</v>
      </c>
      <c s="80" r="L114">
        <v>38.88</v>
      </c>
      <c s="79" r="M114">
        <v>88.32</v>
      </c>
      <c s="79" r="N114">
        <v>105.64</v>
      </c>
      <c s="32" r="O114">
        <f>SUMIF(Sellables!$A$2:$A$11482, $A114, Sellables!$G$2:$G$11482)</f>
        <v>251.76</v>
      </c>
      <c s="32" r="P114">
        <f>SUMIF(Skills!$A$2:$A$9999, A114, Skills!$F$2:$F$9999)</f>
        <v>0</v>
      </c>
      <c s="14" r="Q114">
        <f>(N114+O114)+P114</f>
        <v>357.4</v>
      </c>
      <c s="23" r="R114">
        <f>(E114+L114)-M114</f>
        <v>150.56</v>
      </c>
      <c s="70" r="S114">
        <f>Q114-R114</f>
        <v>206.84</v>
      </c>
      <c s="29" r="T114">
        <f> (Q114/R114) - 1</f>
        <v>1.37380446333688</v>
      </c>
      <c s="70" r="U114"/>
      <c s="70" r="V114"/>
      <c t="s" s="30" r="W114">
        <v>151</v>
      </c>
      <c s="30" r="X114">
        <v>0</v>
      </c>
      <c t="s" s="30" r="Y114">
        <v>152</v>
      </c>
      <c t="s" s="30" r="Z114">
        <v>42</v>
      </c>
      <c s="30" r="AA114">
        <v>0</v>
      </c>
      <c s="30" r="AB114">
        <v>0</v>
      </c>
      <c s="30" r="AC114">
        <v>2</v>
      </c>
      <c s="30" r="AD114">
        <v>0</v>
      </c>
      <c s="30" r="AE114"/>
      <c t="str" s="8" r="AF114">
        <f>(I114+J114)/R114</f>
        <v>#VALUE!:notNumber:NA</v>
      </c>
      <c t="str" s="28" r="AG114">
        <f>G114/$X114</f>
        <v>#DIV/0!:divZero</v>
      </c>
      <c t="str" s="28" r="AH114">
        <f>H114/$X114</f>
        <v>#DIV/0!:divZero</v>
      </c>
      <c t="str" s="28" r="AI114">
        <f>I114/$X114</f>
        <v>#DIV/0!:divZero</v>
      </c>
      <c t="str" s="28" r="AJ114">
        <f>J114/$X114</f>
        <v>#DIV/0!:divZero</v>
      </c>
      <c t="str" s="28" r="AK114">
        <f>K114/$X114</f>
        <v>#DIV/0!:divZero</v>
      </c>
      <c s="30" r="AL114">
        <v>1</v>
      </c>
    </row>
    <row r="115">
      <c s="30" r="A115">
        <v>114</v>
      </c>
      <c t="s" s="30" r="B115">
        <v>38</v>
      </c>
      <c s="62" r="C115">
        <v>41570</v>
      </c>
      <c s="52" r="D115">
        <v>0.927083333333333</v>
      </c>
      <c s="55" r="E115">
        <v>250</v>
      </c>
      <c s="55" r="F115"/>
      <c t="s" s="55" r="G115">
        <v>39</v>
      </c>
      <c t="s" s="55" r="H115">
        <v>39</v>
      </c>
      <c t="s" s="55" r="I115">
        <v>39</v>
      </c>
      <c t="s" s="55" r="J115">
        <v>39</v>
      </c>
      <c t="s" s="55" r="K115">
        <v>39</v>
      </c>
      <c s="80" r="L115">
        <v>56.76</v>
      </c>
      <c s="79" r="M115">
        <v>65.81</v>
      </c>
      <c s="79" r="N115">
        <v>79.66</v>
      </c>
      <c s="32" r="O115">
        <f>SUMIF(Sellables!$A$2:$A$11482, $A115, Sellables!$G$2:$G$11482)</f>
        <v>75.455076</v>
      </c>
      <c s="32" r="P115">
        <f>SUMIF(Skills!$A$2:$A$9999, A115, Skills!$F$2:$F$9999)</f>
        <v>0</v>
      </c>
      <c s="14" r="Q115">
        <f>(N115+O115)+P115</f>
        <v>155.115076</v>
      </c>
      <c s="23" r="R115">
        <f>(E115+L115)-M115</f>
        <v>240.95</v>
      </c>
      <c s="70" r="S115">
        <f>Q115-R115</f>
        <v>-85.834924</v>
      </c>
      <c s="29" r="T115">
        <f> (Q115/R115) - 1</f>
        <v>-0.356235418136543</v>
      </c>
      <c s="70" r="U115"/>
      <c s="70" r="V115"/>
      <c t="s" s="30" r="W115">
        <v>153</v>
      </c>
      <c s="30" r="X115">
        <v>0</v>
      </c>
      <c t="s" s="30" r="Y115">
        <v>154</v>
      </c>
      <c t="s" s="30" r="Z115">
        <v>42</v>
      </c>
      <c s="30" r="AA115">
        <v>0</v>
      </c>
      <c s="30" r="AB115">
        <v>0</v>
      </c>
      <c s="30" r="AC115">
        <v>0</v>
      </c>
      <c s="30" r="AD115">
        <v>0</v>
      </c>
      <c s="30" r="AE115"/>
      <c t="str" s="8" r="AF115">
        <f>(I115+J115)/R115</f>
        <v>#VALUE!:notNumber:NA</v>
      </c>
      <c t="str" s="28" r="AG115">
        <f>G115/$X115</f>
        <v>#DIV/0!:divZero</v>
      </c>
      <c t="str" s="28" r="AH115">
        <f>H115/$X115</f>
        <v>#DIV/0!:divZero</v>
      </c>
      <c t="str" s="28" r="AI115">
        <f>I115/$X115</f>
        <v>#DIV/0!:divZero</v>
      </c>
      <c t="str" s="28" r="AJ115">
        <f>J115/$X115</f>
        <v>#DIV/0!:divZero</v>
      </c>
      <c t="str" s="28" r="AK115">
        <f>K115/$X115</f>
        <v>#DIV/0!:divZero</v>
      </c>
      <c s="30" r="AL115">
        <v>1</v>
      </c>
    </row>
    <row r="116">
      <c s="30" r="A116">
        <v>115</v>
      </c>
      <c t="s" s="30" r="B116">
        <v>38</v>
      </c>
      <c s="62" r="C116">
        <v>41570</v>
      </c>
      <c s="52" r="D116">
        <v>0.927083333333333</v>
      </c>
      <c s="55" r="E116">
        <v>250</v>
      </c>
      <c s="55" r="F116"/>
      <c t="s" s="55" r="G116">
        <v>39</v>
      </c>
      <c t="s" s="55" r="H116">
        <v>39</v>
      </c>
      <c t="s" s="55" r="I116">
        <v>39</v>
      </c>
      <c t="s" s="55" r="J116">
        <v>39</v>
      </c>
      <c t="s" s="55" r="K116">
        <v>39</v>
      </c>
      <c s="80" r="L116">
        <v>35.87</v>
      </c>
      <c s="79" r="M116">
        <v>173.73</v>
      </c>
      <c s="79" r="N116">
        <v>60.59</v>
      </c>
      <c s="32" r="O116">
        <f>SUMIF(Sellables!$A$2:$A$11482, $A116, Sellables!$G$2:$G$11482)</f>
        <v>0</v>
      </c>
      <c s="32" r="P116">
        <f>SUMIF(Skills!$A$2:$A$9999, A116, Skills!$F$2:$F$9999)</f>
        <v>0</v>
      </c>
      <c s="14" r="Q116">
        <f>(N116+O116)+P116</f>
        <v>60.59</v>
      </c>
      <c s="23" r="R116">
        <f>(E116+L116)-M116</f>
        <v>112.14</v>
      </c>
      <c s="70" r="S116">
        <f>Q116-R116</f>
        <v>-51.55</v>
      </c>
      <c s="29" r="T116">
        <f> (Q116/R116) - 1</f>
        <v>-0.459693240592117</v>
      </c>
      <c s="70" r="U116"/>
      <c s="70" r="V116"/>
      <c t="s" s="30" r="W116">
        <v>52</v>
      </c>
      <c s="30" r="X116">
        <v>0</v>
      </c>
      <c t="s" s="30" r="Y116">
        <v>53</v>
      </c>
      <c t="s" s="30" r="Z116">
        <v>54</v>
      </c>
      <c s="30" r="AA116">
        <v>0</v>
      </c>
      <c s="30" r="AB116">
        <v>0</v>
      </c>
      <c s="30" r="AC116">
        <v>0</v>
      </c>
      <c s="30" r="AD116">
        <v>0</v>
      </c>
      <c s="30" r="AE116"/>
      <c t="str" s="8" r="AF116">
        <f>(I116+J116)/R116</f>
        <v>#VALUE!:notNumber:NA</v>
      </c>
      <c t="str" s="28" r="AG116">
        <f>G116/$X116</f>
        <v>#DIV/0!:divZero</v>
      </c>
      <c t="str" s="28" r="AH116">
        <f>H116/$X116</f>
        <v>#DIV/0!:divZero</v>
      </c>
      <c t="str" s="28" r="AI116">
        <f>I116/$X116</f>
        <v>#DIV/0!:divZero</v>
      </c>
      <c t="str" s="28" r="AJ116">
        <f>J116/$X116</f>
        <v>#DIV/0!:divZero</v>
      </c>
      <c t="str" s="28" r="AK116">
        <f>K116/$X116</f>
        <v>#DIV/0!:divZero</v>
      </c>
      <c s="30" r="AL116">
        <v>1</v>
      </c>
    </row>
    <row r="117">
      <c s="30" r="A117">
        <v>116</v>
      </c>
      <c t="s" s="30" r="B117">
        <v>55</v>
      </c>
      <c s="62" r="C117">
        <v>41570</v>
      </c>
      <c s="52" r="D117">
        <v>0.927083333333333</v>
      </c>
      <c s="55" r="E117">
        <f>18 * 0.31</f>
        <v>5.58</v>
      </c>
      <c s="55" r="F117"/>
      <c t="s" s="55" r="G117">
        <v>39</v>
      </c>
      <c t="s" s="55" r="H117">
        <v>39</v>
      </c>
      <c t="s" s="55" r="I117">
        <v>39</v>
      </c>
      <c t="s" s="55" r="J117">
        <v>39</v>
      </c>
      <c t="s" s="55" r="K117">
        <v>39</v>
      </c>
      <c s="80" r="L117">
        <v>0</v>
      </c>
      <c s="79" r="M117">
        <v>0</v>
      </c>
      <c s="79" r="N117">
        <v>3.99</v>
      </c>
      <c s="32" r="O117">
        <f>SUMIF(Sellables!$A$2:$A$11482, $A117, Sellables!$G$2:$G$11482)</f>
        <v>0</v>
      </c>
      <c s="32" r="P117">
        <f>SUMIF(Skills!$A$2:$A$9999, A117, Skills!$F$2:$F$9999)</f>
        <v>0</v>
      </c>
      <c s="14" r="Q117">
        <f>(N117+O117)+P117</f>
        <v>3.99</v>
      </c>
      <c s="23" r="R117">
        <f>(E117+L117)-M117</f>
        <v>5.58</v>
      </c>
      <c s="70" r="S117">
        <f>Q117-R117</f>
        <v>-1.59</v>
      </c>
      <c s="29" r="T117">
        <f> (Q117/R117) - 1</f>
        <v>-0.28494623655914</v>
      </c>
      <c s="70" r="U117"/>
      <c s="70" r="V117"/>
      <c t="s" s="30" r="W117">
        <v>133</v>
      </c>
      <c s="30" r="X117">
        <v>0</v>
      </c>
      <c t="s" s="30" r="Y117">
        <v>104</v>
      </c>
      <c t="s" s="30" r="Z117">
        <v>42</v>
      </c>
      <c s="30" r="AA117">
        <v>0</v>
      </c>
      <c s="30" r="AB117">
        <v>0</v>
      </c>
      <c s="30" r="AC117">
        <v>0</v>
      </c>
      <c s="30" r="AD117">
        <v>0</v>
      </c>
      <c s="30" r="AE117"/>
      <c t="str" s="8" r="AF117">
        <f>(I117+J117)/R117</f>
        <v>#VALUE!:notNumber:NA</v>
      </c>
      <c t="str" s="28" r="AG117">
        <f>G117/$X117</f>
        <v>#DIV/0!:divZero</v>
      </c>
      <c t="str" s="28" r="AH117">
        <f>H117/$X117</f>
        <v>#DIV/0!:divZero</v>
      </c>
      <c t="str" s="28" r="AI117">
        <f>I117/$X117</f>
        <v>#DIV/0!:divZero</v>
      </c>
      <c t="str" s="28" r="AJ117">
        <f>J117/$X117</f>
        <v>#DIV/0!:divZero</v>
      </c>
      <c t="str" s="28" r="AK117">
        <f>K117/$X117</f>
        <v>#DIV/0!:divZero</v>
      </c>
      <c s="30" r="AL117">
        <v>1</v>
      </c>
    </row>
    <row r="118">
      <c s="30" r="A118">
        <v>117</v>
      </c>
      <c t="s" s="30" r="B118">
        <v>38</v>
      </c>
      <c s="62" r="C118">
        <v>41571</v>
      </c>
      <c s="52" r="D118">
        <v>0.75</v>
      </c>
      <c s="55" r="E118">
        <v>250</v>
      </c>
      <c s="55" r="F118"/>
      <c t="s" s="55" r="G118">
        <v>39</v>
      </c>
      <c t="s" s="55" r="H118">
        <v>39</v>
      </c>
      <c t="s" s="55" r="I118">
        <v>39</v>
      </c>
      <c t="s" s="55" r="J118">
        <v>39</v>
      </c>
      <c t="s" s="55" r="K118">
        <v>39</v>
      </c>
      <c s="80" r="L118">
        <v>34.86</v>
      </c>
      <c s="79" r="M118">
        <v>158.19</v>
      </c>
      <c s="79" r="N118">
        <v>82.05</v>
      </c>
      <c s="32" r="O118">
        <f>SUMIF(Sellables!$A$2:$A$11482, $A118, Sellables!$G$2:$G$11482)</f>
        <v>0</v>
      </c>
      <c s="32" r="P118">
        <f>SUMIF(Skills!$A$2:$A$9999, A118, Skills!$F$2:$F$9999)</f>
        <v>0</v>
      </c>
      <c s="14" r="Q118">
        <f>(N118+O118)+P118</f>
        <v>82.05</v>
      </c>
      <c s="23" r="R118">
        <f>(E118+L118)-M118</f>
        <v>126.67</v>
      </c>
      <c s="70" r="S118">
        <f>Q118-R118</f>
        <v>-44.62</v>
      </c>
      <c s="29" r="T118">
        <f> (Q118/R118) - 1</f>
        <v>-0.352253888055578</v>
      </c>
      <c s="70" r="U118"/>
      <c s="70" r="V118"/>
      <c t="s" s="30" r="W118">
        <v>155</v>
      </c>
      <c s="30" r="X118">
        <v>0</v>
      </c>
      <c t="s" s="30" r="Y118">
        <v>156</v>
      </c>
      <c t="s" s="30" r="Z118">
        <v>54</v>
      </c>
      <c s="30" r="AA118">
        <v>0</v>
      </c>
      <c s="30" r="AB118">
        <v>0</v>
      </c>
      <c s="30" r="AC118">
        <v>0</v>
      </c>
      <c s="30" r="AD118">
        <v>0</v>
      </c>
      <c s="30" r="AE118"/>
      <c t="str" s="8" r="AF118">
        <f>(I118+J118)/R118</f>
        <v>#VALUE!:notNumber:NA</v>
      </c>
      <c t="str" s="28" r="AG118">
        <f>G118/$X118</f>
        <v>#DIV/0!:divZero</v>
      </c>
      <c t="str" s="28" r="AH118">
        <f>H118/$X118</f>
        <v>#DIV/0!:divZero</v>
      </c>
      <c t="str" s="28" r="AI118">
        <f>I118/$X118</f>
        <v>#DIV/0!:divZero</v>
      </c>
      <c t="str" s="28" r="AJ118">
        <f>J118/$X118</f>
        <v>#DIV/0!:divZero</v>
      </c>
      <c t="str" s="28" r="AK118">
        <f>K118/$X118</f>
        <v>#DIV/0!:divZero</v>
      </c>
      <c s="30" r="AL118">
        <v>1</v>
      </c>
    </row>
    <row r="119">
      <c s="30" r="A119">
        <v>118</v>
      </c>
      <c t="s" s="30" r="B119">
        <v>55</v>
      </c>
      <c s="62" r="C119">
        <v>41571</v>
      </c>
      <c s="52" r="D119">
        <v>0.805555555555556</v>
      </c>
      <c s="55" r="E119">
        <f>79 * 0.61</f>
        <v>48.19</v>
      </c>
      <c s="55" r="F119"/>
      <c t="s" s="55" r="G119">
        <v>39</v>
      </c>
      <c t="s" s="55" r="H119">
        <v>39</v>
      </c>
      <c t="s" s="55" r="I119">
        <v>39</v>
      </c>
      <c t="s" s="55" r="J119">
        <v>39</v>
      </c>
      <c t="s" s="55" r="K119">
        <v>39</v>
      </c>
      <c s="80" r="L119">
        <v>0</v>
      </c>
      <c s="79" r="M119">
        <v>0</v>
      </c>
      <c s="79" r="N119">
        <v>44.71</v>
      </c>
      <c s="32" r="O119">
        <f>SUMIF(Sellables!$A$2:$A$11482, $A119, Sellables!$G$2:$G$11482)</f>
        <v>0</v>
      </c>
      <c s="32" r="P119">
        <f>SUMIF(Skills!$A$2:$A$9999, A119, Skills!$F$2:$F$9999)</f>
        <v>0</v>
      </c>
      <c s="14" r="Q119">
        <f>(N119+O119)+P119</f>
        <v>44.71</v>
      </c>
      <c s="23" r="R119">
        <f>(E119+L119)-M119</f>
        <v>48.19</v>
      </c>
      <c s="70" r="S119">
        <f>Q119-R119</f>
        <v>-3.48</v>
      </c>
      <c s="29" r="T119">
        <f> (Q119/R119) - 1</f>
        <v>-0.072214152313758</v>
      </c>
      <c s="70" r="U119"/>
      <c s="70" r="V119"/>
      <c t="s" s="30" r="W119">
        <v>98</v>
      </c>
      <c s="30" r="X119">
        <v>0</v>
      </c>
      <c t="s" s="30" r="Y119">
        <v>104</v>
      </c>
      <c t="s" s="30" r="Z119">
        <v>42</v>
      </c>
      <c s="30" r="AA119">
        <v>0</v>
      </c>
      <c s="30" r="AB119">
        <v>0</v>
      </c>
      <c s="30" r="AC119">
        <v>0</v>
      </c>
      <c s="30" r="AD119">
        <v>0</v>
      </c>
      <c s="30" r="AE119"/>
      <c t="str" s="8" r="AF119">
        <f>(I119+J119)/R119</f>
        <v>#VALUE!:notNumber:NA</v>
      </c>
      <c t="str" s="28" r="AG119">
        <f>G119/$X119</f>
        <v>#DIV/0!:divZero</v>
      </c>
      <c t="str" s="28" r="AH119">
        <f>H119/$X119</f>
        <v>#DIV/0!:divZero</v>
      </c>
      <c t="str" s="28" r="AI119">
        <f>I119/$X119</f>
        <v>#DIV/0!:divZero</v>
      </c>
      <c t="str" s="28" r="AJ119">
        <f>J119/$X119</f>
        <v>#DIV/0!:divZero</v>
      </c>
      <c t="str" s="28" r="AK119">
        <f>K119/$X119</f>
        <v>#DIV/0!:divZero</v>
      </c>
      <c s="30" r="AL119">
        <v>1</v>
      </c>
    </row>
    <row r="120">
      <c s="30" r="A120">
        <v>119</v>
      </c>
      <c t="s" s="30" r="B120">
        <v>55</v>
      </c>
      <c s="62" r="C120">
        <v>41571</v>
      </c>
      <c s="52" r="D120">
        <v>0.8125</v>
      </c>
      <c s="55" r="E120">
        <f>104*0.70</f>
        <v>72.8</v>
      </c>
      <c s="55" r="F120"/>
      <c t="s" s="55" r="G120">
        <v>39</v>
      </c>
      <c t="s" s="55" r="H120">
        <v>39</v>
      </c>
      <c t="s" s="55" r="I120">
        <v>39</v>
      </c>
      <c t="s" s="55" r="J120">
        <v>39</v>
      </c>
      <c t="s" s="55" r="K120">
        <v>39</v>
      </c>
      <c s="80" r="L120">
        <v>0</v>
      </c>
      <c s="79" r="M120">
        <v>0</v>
      </c>
      <c s="79" r="N120">
        <v>51.49</v>
      </c>
      <c s="32" r="O120">
        <f>SUMIF(Sellables!$A$2:$A$11482, $A120, Sellables!$G$2:$G$11482)</f>
        <v>0</v>
      </c>
      <c s="32" r="P120">
        <f>SUMIF(Skills!$A$2:$A$9999, A120, Skills!$F$2:$F$9999)</f>
        <v>0</v>
      </c>
      <c s="14" r="Q120">
        <f>(N120+O120)+P120</f>
        <v>51.49</v>
      </c>
      <c s="23" r="R120">
        <f>(E120+L120)-M120</f>
        <v>72.8</v>
      </c>
      <c s="70" r="S120">
        <f>Q120-R120</f>
        <v>-21.31</v>
      </c>
      <c s="29" r="T120">
        <f> (Q120/R120) - 1</f>
        <v>-0.29271978021978</v>
      </c>
      <c s="70" r="U120"/>
      <c s="70" r="V120"/>
      <c t="s" s="30" r="W120">
        <v>56</v>
      </c>
      <c s="30" r="X120">
        <v>0</v>
      </c>
      <c t="s" s="30" r="Y120">
        <v>104</v>
      </c>
      <c t="s" s="30" r="Z120">
        <v>42</v>
      </c>
      <c s="30" r="AA120">
        <v>0</v>
      </c>
      <c s="30" r="AB120">
        <v>0</v>
      </c>
      <c s="30" r="AC120">
        <v>0</v>
      </c>
      <c s="30" r="AD120">
        <v>0</v>
      </c>
      <c s="30" r="AE120"/>
      <c t="str" s="8" r="AF120">
        <f>(I120+J120)/R120</f>
        <v>#VALUE!:notNumber:NA</v>
      </c>
      <c t="str" s="28" r="AG120">
        <f>G120/$X120</f>
        <v>#DIV/0!:divZero</v>
      </c>
      <c t="str" s="28" r="AH120">
        <f>H120/$X120</f>
        <v>#DIV/0!:divZero</v>
      </c>
      <c t="str" s="28" r="AI120">
        <f>I120/$X120</f>
        <v>#DIV/0!:divZero</v>
      </c>
      <c t="str" s="28" r="AJ120">
        <f>J120/$X120</f>
        <v>#DIV/0!:divZero</v>
      </c>
      <c t="str" s="28" r="AK120">
        <f>K120/$X120</f>
        <v>#DIV/0!:divZero</v>
      </c>
      <c s="30" r="AL120">
        <v>1</v>
      </c>
    </row>
    <row r="121">
      <c s="30" r="A121">
        <v>120</v>
      </c>
      <c t="s" s="30" r="B121">
        <v>55</v>
      </c>
      <c s="62" r="C121">
        <v>41571</v>
      </c>
      <c s="52" r="D121">
        <v>0.8125</v>
      </c>
      <c s="55" r="E121">
        <f>33 * 1.15</f>
        <v>37.95</v>
      </c>
      <c s="55" r="F121"/>
      <c t="s" s="55" r="G121">
        <v>39</v>
      </c>
      <c t="s" s="55" r="H121">
        <v>39</v>
      </c>
      <c t="s" s="55" r="I121">
        <v>39</v>
      </c>
      <c t="s" s="55" r="J121">
        <v>39</v>
      </c>
      <c t="s" s="55" r="K121">
        <v>39</v>
      </c>
      <c s="80" r="L121">
        <v>0</v>
      </c>
      <c s="79" r="M121">
        <v>0</v>
      </c>
      <c s="79" r="N121">
        <v>29.1</v>
      </c>
      <c s="32" r="O121">
        <f>SUMIF(Sellables!$A$2:$A$11482, $A121, Sellables!$G$2:$G$11482)</f>
        <v>0</v>
      </c>
      <c s="32" r="P121">
        <f>SUMIF(Skills!$A$2:$A$9999, A121, Skills!$F$2:$F$9999)</f>
        <v>0</v>
      </c>
      <c s="14" r="Q121">
        <f>(N121+O121)+P121</f>
        <v>29.1</v>
      </c>
      <c s="23" r="R121">
        <f>(E121+L121)-M121</f>
        <v>37.95</v>
      </c>
      <c s="70" r="S121">
        <f>Q121-R121</f>
        <v>-8.84999999999999</v>
      </c>
      <c s="29" r="T121">
        <f> (Q121/R121) - 1</f>
        <v>-0.233201581027668</v>
      </c>
      <c s="70" r="U121"/>
      <c s="70" r="V121"/>
      <c t="s" s="30" r="W121">
        <v>68</v>
      </c>
      <c s="30" r="X121">
        <v>0</v>
      </c>
      <c t="s" s="30" r="Y121">
        <v>104</v>
      </c>
      <c t="s" s="30" r="Z121">
        <v>42</v>
      </c>
      <c s="30" r="AA121">
        <v>0</v>
      </c>
      <c s="30" r="AB121">
        <v>0</v>
      </c>
      <c s="30" r="AC121">
        <v>0</v>
      </c>
      <c s="30" r="AD121">
        <v>0</v>
      </c>
      <c s="30" r="AE121"/>
      <c t="str" s="8" r="AF121">
        <f>(I121+J121)/R121</f>
        <v>#VALUE!:notNumber:NA</v>
      </c>
      <c t="str" s="28" r="AG121">
        <f>G121/$X121</f>
        <v>#DIV/0!:divZero</v>
      </c>
      <c t="str" s="28" r="AH121">
        <f>H121/$X121</f>
        <v>#DIV/0!:divZero</v>
      </c>
      <c t="str" s="28" r="AI121">
        <f>I121/$X121</f>
        <v>#DIV/0!:divZero</v>
      </c>
      <c t="str" s="28" r="AJ121">
        <f>J121/$X121</f>
        <v>#DIV/0!:divZero</v>
      </c>
      <c t="str" s="28" r="AK121">
        <f>K121/$X121</f>
        <v>#DIV/0!:divZero</v>
      </c>
      <c s="30" r="AL121">
        <v>1</v>
      </c>
    </row>
    <row r="122">
      <c s="30" r="A122">
        <v>121</v>
      </c>
      <c t="s" s="30" r="B122">
        <v>55</v>
      </c>
      <c s="62" r="C122">
        <v>41571</v>
      </c>
      <c s="52" r="D122">
        <v>0.8125</v>
      </c>
      <c s="55" r="E122">
        <f> 2 * 6.99</f>
        <v>13.98</v>
      </c>
      <c s="55" r="F122"/>
      <c t="s" s="55" r="G122">
        <v>39</v>
      </c>
      <c t="s" s="55" r="H122">
        <v>39</v>
      </c>
      <c t="s" s="55" r="I122">
        <v>39</v>
      </c>
      <c t="s" s="55" r="J122">
        <v>39</v>
      </c>
      <c t="s" s="55" r="K122">
        <v>39</v>
      </c>
      <c s="80" r="L122">
        <v>0</v>
      </c>
      <c s="79" r="M122">
        <v>0</v>
      </c>
      <c s="79" r="N122">
        <v>14.61</v>
      </c>
      <c s="32" r="O122">
        <f>SUMIF(Sellables!$A$2:$A$11482, $A122, Sellables!$G$2:$G$11482)</f>
        <v>0</v>
      </c>
      <c s="32" r="P122">
        <f>SUMIF(Skills!$A$2:$A$9999, A122, Skills!$F$2:$F$9999)</f>
        <v>0</v>
      </c>
      <c s="14" r="Q122">
        <f>(N122+O122)+P122</f>
        <v>14.61</v>
      </c>
      <c s="23" r="R122">
        <f>(E122+L122)-M122</f>
        <v>13.98</v>
      </c>
      <c s="70" r="S122">
        <f>Q122-R122</f>
        <v>0.629999999999999</v>
      </c>
      <c s="29" r="T122">
        <f> (Q122/R122) - 1</f>
        <v>0.045064377682403</v>
      </c>
      <c s="70" r="U122"/>
      <c s="70" r="V122"/>
      <c t="s" s="30" r="W122">
        <v>138</v>
      </c>
      <c s="30" r="X122">
        <v>0</v>
      </c>
      <c t="s" s="30" r="Y122">
        <v>104</v>
      </c>
      <c t="s" s="30" r="Z122">
        <v>42</v>
      </c>
      <c s="30" r="AA122">
        <v>0</v>
      </c>
      <c s="30" r="AB122">
        <v>0</v>
      </c>
      <c s="30" r="AC122">
        <v>0</v>
      </c>
      <c s="30" r="AD122">
        <v>0</v>
      </c>
      <c s="30" r="AE122"/>
      <c t="str" s="8" r="AF122">
        <f>(I122+J122)/R122</f>
        <v>#VALUE!:notNumber:NA</v>
      </c>
      <c t="str" s="28" r="AG122">
        <f>G122/$X122</f>
        <v>#DIV/0!:divZero</v>
      </c>
      <c t="str" s="28" r="AH122">
        <f>H122/$X122</f>
        <v>#DIV/0!:divZero</v>
      </c>
      <c t="str" s="28" r="AI122">
        <f>I122/$X122</f>
        <v>#DIV/0!:divZero</v>
      </c>
      <c t="str" s="28" r="AJ122">
        <f>J122/$X122</f>
        <v>#DIV/0!:divZero</v>
      </c>
      <c t="str" s="28" r="AK122">
        <f>K122/$X122</f>
        <v>#DIV/0!:divZero</v>
      </c>
      <c s="30" r="AL122">
        <v>1</v>
      </c>
    </row>
    <row r="123">
      <c s="30" r="A123">
        <v>122</v>
      </c>
      <c t="s" s="30" r="B123">
        <v>55</v>
      </c>
      <c s="62" r="C123">
        <v>41571</v>
      </c>
      <c s="52" r="D123">
        <v>0.8125</v>
      </c>
      <c s="55" r="E123">
        <f>17*1.26</f>
        <v>21.42</v>
      </c>
      <c s="55" r="F123"/>
      <c t="s" s="55" r="G123">
        <v>39</v>
      </c>
      <c t="s" s="55" r="H123">
        <v>39</v>
      </c>
      <c t="s" s="55" r="I123">
        <v>39</v>
      </c>
      <c t="s" s="55" r="J123">
        <v>39</v>
      </c>
      <c t="s" s="55" r="K123">
        <v>39</v>
      </c>
      <c s="80" r="L123">
        <v>0</v>
      </c>
      <c s="79" r="M123">
        <v>0</v>
      </c>
      <c s="79" r="N123">
        <v>39.07</v>
      </c>
      <c s="32" r="O123">
        <f>SUMIF(Sellables!$A$2:$A$11482, $A123, Sellables!$G$2:$G$11482)</f>
        <v>0</v>
      </c>
      <c s="32" r="P123">
        <f>SUMIF(Skills!$A$2:$A$9999, A123, Skills!$F$2:$F$9999)</f>
        <v>0</v>
      </c>
      <c s="14" r="Q123">
        <f>(N123+O123)+P123</f>
        <v>39.07</v>
      </c>
      <c s="23" r="R123">
        <f>(E123+L123)-M123</f>
        <v>21.42</v>
      </c>
      <c s="70" r="S123">
        <f>Q123-R123</f>
        <v>17.65</v>
      </c>
      <c s="29" r="T123">
        <f> (Q123/R123) - 1</f>
        <v>0.823996265172736</v>
      </c>
      <c s="70" r="U123"/>
      <c s="70" r="V123"/>
      <c t="s" s="30" r="W123">
        <v>157</v>
      </c>
      <c s="30" r="X123">
        <v>0</v>
      </c>
      <c t="s" s="30" r="Y123">
        <v>104</v>
      </c>
      <c t="s" s="30" r="Z123">
        <v>42</v>
      </c>
      <c s="30" r="AA123">
        <v>0</v>
      </c>
      <c s="30" r="AB123">
        <v>0</v>
      </c>
      <c s="30" r="AC123">
        <v>0</v>
      </c>
      <c s="30" r="AD123">
        <v>0</v>
      </c>
      <c s="30" r="AE123"/>
      <c t="str" s="8" r="AF123">
        <f>(I123+J123)/R123</f>
        <v>#VALUE!:notNumber:NA</v>
      </c>
      <c t="str" s="28" r="AG123">
        <f>G123/$X123</f>
        <v>#DIV/0!:divZero</v>
      </c>
      <c t="str" s="28" r="AH123">
        <f>H123/$X123</f>
        <v>#DIV/0!:divZero</v>
      </c>
      <c t="str" s="28" r="AI123">
        <f>I123/$X123</f>
        <v>#DIV/0!:divZero</v>
      </c>
      <c t="str" s="28" r="AJ123">
        <f>J123/$X123</f>
        <v>#DIV/0!:divZero</v>
      </c>
      <c t="str" s="28" r="AK123">
        <f>K123/$X123</f>
        <v>#DIV/0!:divZero</v>
      </c>
      <c s="30" r="AL123">
        <v>1</v>
      </c>
    </row>
    <row r="124">
      <c s="30" r="A124">
        <v>123</v>
      </c>
      <c t="s" s="30" r="B124">
        <v>55</v>
      </c>
      <c s="62" r="C124">
        <v>41571</v>
      </c>
      <c s="52" r="D124">
        <v>0.864583333333333</v>
      </c>
      <c s="55" r="E124">
        <f>81 * 0.31</f>
        <v>25.11</v>
      </c>
      <c s="55" r="F124"/>
      <c t="s" s="55" r="G124">
        <v>39</v>
      </c>
      <c t="s" s="55" r="H124">
        <v>39</v>
      </c>
      <c t="s" s="55" r="I124">
        <v>39</v>
      </c>
      <c t="s" s="55" r="J124">
        <v>39</v>
      </c>
      <c t="s" s="55" r="K124">
        <v>39</v>
      </c>
      <c s="80" r="L124">
        <v>0</v>
      </c>
      <c s="79" r="M124">
        <v>0</v>
      </c>
      <c s="79" r="N124">
        <v>18.19</v>
      </c>
      <c s="32" r="O124">
        <f>SUMIF(Sellables!$A$2:$A$11482, $A124, Sellables!$G$2:$G$11482)</f>
        <v>0</v>
      </c>
      <c s="32" r="P124">
        <f>SUMIF(Skills!$A$2:$A$9999, A124, Skills!$F$2:$F$9999)</f>
        <v>0</v>
      </c>
      <c s="14" r="Q124">
        <f>(N124+O124)+P124</f>
        <v>18.19</v>
      </c>
      <c s="23" r="R124">
        <f>(E124+L124)-M124</f>
        <v>25.11</v>
      </c>
      <c s="70" r="S124">
        <f>Q124-R124</f>
        <v>-6.92</v>
      </c>
      <c s="29" r="T124">
        <f> (Q124/R124) - 1</f>
        <v>-0.275587415372362</v>
      </c>
      <c s="70" r="U124"/>
      <c s="70" r="V124"/>
      <c t="s" s="30" r="W124">
        <v>133</v>
      </c>
      <c s="30" r="X124">
        <v>0</v>
      </c>
      <c t="s" s="30" r="Y124">
        <v>158</v>
      </c>
      <c t="s" s="30" r="Z124">
        <v>65</v>
      </c>
      <c s="30" r="AA124">
        <v>0</v>
      </c>
      <c s="30" r="AB124">
        <v>0</v>
      </c>
      <c s="30" r="AC124">
        <v>0</v>
      </c>
      <c s="30" r="AD124">
        <v>0</v>
      </c>
      <c s="30" r="AE124"/>
      <c t="str" s="8" r="AF124">
        <f>(I124+J124)/R124</f>
        <v>#VALUE!:notNumber:NA</v>
      </c>
      <c t="str" s="28" r="AG124">
        <f>G124/$X124</f>
        <v>#DIV/0!:divZero</v>
      </c>
      <c t="str" s="28" r="AH124">
        <f>H124/$X124</f>
        <v>#DIV/0!:divZero</v>
      </c>
      <c t="str" s="28" r="AI124">
        <f>I124/$X124</f>
        <v>#DIV/0!:divZero</v>
      </c>
      <c t="str" s="28" r="AJ124">
        <f>J124/$X124</f>
        <v>#DIV/0!:divZero</v>
      </c>
      <c t="str" s="28" r="AK124">
        <f>K124/$X124</f>
        <v>#DIV/0!:divZero</v>
      </c>
      <c s="30" r="AL124">
        <v>1</v>
      </c>
    </row>
    <row r="125">
      <c s="30" r="A125">
        <v>124</v>
      </c>
      <c t="s" s="30" r="B125">
        <v>38</v>
      </c>
      <c s="62" r="C125">
        <v>41571</v>
      </c>
      <c s="52" r="D125">
        <v>0.885416666666667</v>
      </c>
      <c s="55" r="E125">
        <v>600</v>
      </c>
      <c s="55" r="F125"/>
      <c t="s" s="55" r="G125">
        <v>39</v>
      </c>
      <c t="s" s="55" r="H125">
        <v>39</v>
      </c>
      <c t="s" s="55" r="I125">
        <v>39</v>
      </c>
      <c t="s" s="55" r="J125">
        <v>39</v>
      </c>
      <c t="s" s="55" r="K125">
        <v>39</v>
      </c>
      <c s="80" r="L125">
        <f>72.18+80.72</f>
        <v>152.9</v>
      </c>
      <c s="79" r="M125">
        <f>9.31+152.61</f>
        <v>161.92</v>
      </c>
      <c s="79" r="N125">
        <v>579.13</v>
      </c>
      <c s="32" r="O125">
        <f>SUMIF(Sellables!$A$2:$A$11482, $A125, Sellables!$G$2:$G$11482)</f>
        <v>0</v>
      </c>
      <c s="32" r="P125">
        <f>SUMIF(Skills!$A$2:$A$9999, A125, Skills!$F$2:$F$9999)</f>
        <v>12.40551</v>
      </c>
      <c s="14" r="Q125">
        <f>(N125+O125)+P125</f>
        <v>591.53551</v>
      </c>
      <c s="23" r="R125">
        <f>(E125+L125)-M125</f>
        <v>590.98</v>
      </c>
      <c s="70" r="S125">
        <f>Q125-R125</f>
        <v>0.555510000000027</v>
      </c>
      <c s="29" r="T125">
        <f> (Q125/R125) - 1</f>
        <v>0.000939981048428</v>
      </c>
      <c s="70" r="U125"/>
      <c s="70" r="V125"/>
      <c t="s" s="30" r="W125">
        <v>159</v>
      </c>
      <c s="30" r="X125">
        <v>0</v>
      </c>
      <c t="s" s="30" r="Y125">
        <v>160</v>
      </c>
      <c t="s" s="30" r="Z125">
        <v>65</v>
      </c>
      <c s="30" r="AA125">
        <v>0</v>
      </c>
      <c s="30" r="AB125">
        <v>0</v>
      </c>
      <c s="30" r="AC125">
        <v>4</v>
      </c>
      <c s="30" r="AD125">
        <v>0</v>
      </c>
      <c s="30" r="AE125"/>
      <c t="str" s="8" r="AF125">
        <f>(I125+J125)/R125</f>
        <v>#VALUE!:notNumber:NA</v>
      </c>
      <c t="str" s="28" r="AG125">
        <f>G125/$X125</f>
        <v>#DIV/0!:divZero</v>
      </c>
      <c t="str" s="28" r="AH125">
        <f>H125/$X125</f>
        <v>#DIV/0!:divZero</v>
      </c>
      <c t="str" s="28" r="AI125">
        <f>I125/$X125</f>
        <v>#DIV/0!:divZero</v>
      </c>
      <c t="str" s="28" r="AJ125">
        <f>J125/$X125</f>
        <v>#DIV/0!:divZero</v>
      </c>
      <c t="str" s="28" r="AK125">
        <f>K125/$X125</f>
        <v>#DIV/0!:divZero</v>
      </c>
      <c s="30" r="AL125">
        <v>1</v>
      </c>
    </row>
    <row r="126">
      <c s="30" r="A126">
        <v>125</v>
      </c>
      <c t="s" s="30" r="B126">
        <v>38</v>
      </c>
      <c s="62" r="C126">
        <v>41571</v>
      </c>
      <c s="52" r="D126">
        <v>0.958333333333333</v>
      </c>
      <c s="55" r="E126">
        <v>350</v>
      </c>
      <c s="55" r="F126"/>
      <c t="s" s="55" r="G126">
        <v>39</v>
      </c>
      <c t="s" s="55" r="H126">
        <v>39</v>
      </c>
      <c t="s" s="55" r="I126">
        <v>39</v>
      </c>
      <c t="s" s="55" r="J126">
        <v>39</v>
      </c>
      <c t="s" s="55" r="K126">
        <v>39</v>
      </c>
      <c s="80" r="L126">
        <v>107.47</v>
      </c>
      <c s="79" r="M126">
        <v>53.07</v>
      </c>
      <c s="79" r="N126">
        <v>292.3</v>
      </c>
      <c s="32" r="O126">
        <f>SUMIF(Sellables!$A$2:$A$11482, $A126, Sellables!$G$2:$G$11482)</f>
        <v>554.830072</v>
      </c>
      <c s="32" r="P126">
        <f>SUMIF(Skills!$A$2:$A$9999, A126, Skills!$F$2:$F$9999)</f>
        <v>0</v>
      </c>
      <c s="14" r="Q126">
        <f>(N126+O126)+P126</f>
        <v>847.130072</v>
      </c>
      <c s="23" r="R126">
        <f>(E126+L126)-M126</f>
        <v>404.4</v>
      </c>
      <c s="70" r="S126">
        <f>Q126-R126</f>
        <v>442.730072</v>
      </c>
      <c s="29" r="T126">
        <f> (Q126/R126) - 1</f>
        <v>1.09478257171118</v>
      </c>
      <c s="70" r="U126"/>
      <c s="70" r="V126"/>
      <c t="s" s="30" r="W126">
        <v>161</v>
      </c>
      <c s="30" r="X126">
        <v>0</v>
      </c>
      <c t="s" s="30" r="Y126">
        <v>162</v>
      </c>
      <c t="s" s="30" r="Z126">
        <v>65</v>
      </c>
      <c s="30" r="AA126">
        <v>0</v>
      </c>
      <c s="30" r="AB126">
        <v>0</v>
      </c>
      <c s="30" r="AC126">
        <v>2</v>
      </c>
      <c s="30" r="AD126">
        <v>0</v>
      </c>
      <c s="30" r="AE126"/>
      <c t="str" s="8" r="AF126">
        <f>(I126+J126)/R126</f>
        <v>#VALUE!:notNumber:NA</v>
      </c>
      <c t="str" s="28" r="AG126">
        <f>G126/$X126</f>
        <v>#DIV/0!:divZero</v>
      </c>
      <c t="str" s="28" r="AH126">
        <f>H126/$X126</f>
        <v>#DIV/0!:divZero</v>
      </c>
      <c t="str" s="28" r="AI126">
        <f>I126/$X126</f>
        <v>#DIV/0!:divZero</v>
      </c>
      <c t="str" s="28" r="AJ126">
        <f>J126/$X126</f>
        <v>#DIV/0!:divZero</v>
      </c>
      <c t="str" s="28" r="AK126">
        <f>K126/$X126</f>
        <v>#DIV/0!:divZero</v>
      </c>
      <c s="30" r="AL126">
        <v>1</v>
      </c>
    </row>
    <row r="127">
      <c s="30" r="A127">
        <v>126</v>
      </c>
      <c t="s" s="30" r="B127">
        <v>55</v>
      </c>
      <c s="62" r="C127">
        <v>41572</v>
      </c>
      <c s="52" r="D127">
        <v>0.395833333333333</v>
      </c>
      <c s="55" r="E127">
        <f>22 * 0.61</f>
        <v>13.42</v>
      </c>
      <c s="55" r="F127"/>
      <c t="s" s="55" r="G127">
        <v>39</v>
      </c>
      <c t="s" s="55" r="H127">
        <v>39</v>
      </c>
      <c t="s" s="55" r="I127">
        <v>39</v>
      </c>
      <c t="s" s="55" r="J127">
        <v>39</v>
      </c>
      <c t="s" s="55" r="K127">
        <v>39</v>
      </c>
      <c s="80" r="L127">
        <v>0</v>
      </c>
      <c s="79" r="M127">
        <v>0</v>
      </c>
      <c s="79" r="N127">
        <v>12.51</v>
      </c>
      <c s="32" r="O127">
        <f>SUMIF(Sellables!$A$2:$A$11482, $A127, Sellables!$G$2:$G$11482)</f>
        <v>0</v>
      </c>
      <c s="32" r="P127">
        <f>SUMIF(Skills!$A$2:$A$9999, A127, Skills!$F$2:$F$9999)</f>
        <v>0</v>
      </c>
      <c s="14" r="Q127">
        <f>(N127+O127)+P127</f>
        <v>12.51</v>
      </c>
      <c s="23" r="R127">
        <f>(E127+L127)-M127</f>
        <v>13.42</v>
      </c>
      <c s="70" r="S127">
        <f>Q127-R127</f>
        <v>-0.91</v>
      </c>
      <c s="29" r="T127">
        <f> (Q127/R127) - 1</f>
        <v>-0.067809239940387</v>
      </c>
      <c s="70" r="U127"/>
      <c s="70" r="V127"/>
      <c t="s" s="30" r="W127">
        <v>98</v>
      </c>
      <c s="30" r="X127">
        <v>0</v>
      </c>
      <c t="s" s="30" r="Y127">
        <v>158</v>
      </c>
      <c t="s" s="30" r="Z127">
        <v>65</v>
      </c>
      <c s="30" r="AA127">
        <v>0</v>
      </c>
      <c s="30" r="AB127">
        <v>0</v>
      </c>
      <c s="30" r="AC127">
        <v>0</v>
      </c>
      <c s="30" r="AD127">
        <v>0</v>
      </c>
      <c s="30" r="AE127"/>
      <c t="str" s="8" r="AF127">
        <f>(I127+J127)/R127</f>
        <v>#VALUE!:notNumber:NA</v>
      </c>
      <c t="str" s="28" r="AG127">
        <f>G127/$X127</f>
        <v>#DIV/0!:divZero</v>
      </c>
      <c t="str" s="28" r="AH127">
        <f>H127/$X127</f>
        <v>#DIV/0!:divZero</v>
      </c>
      <c t="str" s="28" r="AI127">
        <f>I127/$X127</f>
        <v>#DIV/0!:divZero</v>
      </c>
      <c t="str" s="28" r="AJ127">
        <f>J127/$X127</f>
        <v>#DIV/0!:divZero</v>
      </c>
      <c t="str" s="28" r="AK127">
        <f>K127/$X127</f>
        <v>#DIV/0!:divZero</v>
      </c>
      <c s="30" r="AL127">
        <v>1</v>
      </c>
    </row>
    <row r="128">
      <c s="30" r="A128">
        <v>127</v>
      </c>
      <c t="s" s="30" r="B128">
        <v>55</v>
      </c>
      <c s="62" r="C128">
        <v>41572</v>
      </c>
      <c s="52" r="D128">
        <v>0.395833333333333</v>
      </c>
      <c s="55" r="E128">
        <f>3 * 0.31</f>
        <v>0.93</v>
      </c>
      <c s="55" r="F128"/>
      <c t="s" s="55" r="G128">
        <v>39</v>
      </c>
      <c t="s" s="55" r="H128">
        <v>39</v>
      </c>
      <c t="s" s="55" r="I128">
        <v>39</v>
      </c>
      <c t="s" s="55" r="J128">
        <v>39</v>
      </c>
      <c t="s" s="55" r="K128">
        <v>39</v>
      </c>
      <c s="80" r="L128">
        <v>0</v>
      </c>
      <c s="79" r="M128">
        <v>0</v>
      </c>
      <c s="79" r="N128">
        <v>0.94</v>
      </c>
      <c s="32" r="O128">
        <f>SUMIF(Sellables!$A$2:$A$11482, $A128, Sellables!$G$2:$G$11482)</f>
        <v>0</v>
      </c>
      <c s="32" r="P128">
        <f>SUMIF(Skills!$A$2:$A$9999, A128, Skills!$F$2:$F$9999)</f>
        <v>0</v>
      </c>
      <c s="14" r="Q128">
        <f>(N128+O128)+P128</f>
        <v>0.94</v>
      </c>
      <c s="23" r="R128">
        <f>(E128+L128)-M128</f>
        <v>0.93</v>
      </c>
      <c s="70" r="S128">
        <f>Q128-R128</f>
        <v>0.01</v>
      </c>
      <c s="29" r="T128">
        <f> (Q128/R128) - 1</f>
        <v>0.010752688172043</v>
      </c>
      <c s="70" r="U128"/>
      <c s="70" r="V128"/>
      <c t="s" s="30" r="W128">
        <v>133</v>
      </c>
      <c s="30" r="X128">
        <v>0</v>
      </c>
      <c t="s" s="30" r="Y128">
        <v>104</v>
      </c>
      <c t="s" s="30" r="Z128">
        <v>42</v>
      </c>
      <c s="30" r="AA128">
        <v>0</v>
      </c>
      <c s="30" r="AB128">
        <v>0</v>
      </c>
      <c s="30" r="AC128">
        <v>0</v>
      </c>
      <c s="30" r="AD128">
        <v>0</v>
      </c>
      <c s="30" r="AE128"/>
      <c t="str" s="8" r="AF128">
        <f>(I128+J128)/R128</f>
        <v>#VALUE!:notNumber:NA</v>
      </c>
      <c t="str" s="28" r="AG128">
        <f>G128/$X128</f>
        <v>#DIV/0!:divZero</v>
      </c>
      <c t="str" s="28" r="AH128">
        <f>H128/$X128</f>
        <v>#DIV/0!:divZero</v>
      </c>
      <c t="str" s="28" r="AI128">
        <f>I128/$X128</f>
        <v>#DIV/0!:divZero</v>
      </c>
      <c t="str" s="28" r="AJ128">
        <f>J128/$X128</f>
        <v>#DIV/0!:divZero</v>
      </c>
      <c t="str" s="28" r="AK128">
        <f>K128/$X128</f>
        <v>#DIV/0!:divZero</v>
      </c>
      <c s="30" r="AL128">
        <v>1</v>
      </c>
    </row>
    <row r="129">
      <c s="30" r="A129">
        <v>128</v>
      </c>
      <c t="s" s="30" r="B129">
        <v>55</v>
      </c>
      <c s="62" r="C129">
        <v>41572</v>
      </c>
      <c s="52" r="D129">
        <v>0.395833333333333</v>
      </c>
      <c s="55" r="E129">
        <f>151*0.11</f>
        <v>16.61</v>
      </c>
      <c s="55" r="F129"/>
      <c t="s" s="55" r="G129">
        <v>39</v>
      </c>
      <c t="s" s="55" r="H129">
        <v>39</v>
      </c>
      <c t="s" s="55" r="I129">
        <v>39</v>
      </c>
      <c t="s" s="55" r="J129">
        <v>39</v>
      </c>
      <c t="s" s="55" r="K129">
        <v>39</v>
      </c>
      <c s="80" r="L129">
        <v>0</v>
      </c>
      <c s="79" r="M129">
        <v>0</v>
      </c>
      <c s="79" r="N129">
        <v>14.23</v>
      </c>
      <c s="32" r="O129">
        <f>SUMIF(Sellables!$A$2:$A$11482, $A129, Sellables!$G$2:$G$11482)</f>
        <v>0</v>
      </c>
      <c s="32" r="P129">
        <f>SUMIF(Skills!$A$2:$A$9999, A129, Skills!$F$2:$F$9999)</f>
        <v>0</v>
      </c>
      <c s="14" r="Q129">
        <f>(N129+O129)+P129</f>
        <v>14.23</v>
      </c>
      <c s="23" r="R129">
        <f>(E129+L129)-M129</f>
        <v>16.61</v>
      </c>
      <c s="70" r="S129">
        <f>Q129-R129</f>
        <v>-2.38</v>
      </c>
      <c s="29" r="T129">
        <f> (Q129/R129) - 1</f>
        <v>-0.143287176399759</v>
      </c>
      <c s="70" r="U129"/>
      <c s="70" r="V129"/>
      <c t="s" s="30" r="W129">
        <v>91</v>
      </c>
      <c s="30" r="X129">
        <v>0</v>
      </c>
      <c t="s" s="30" r="Y129">
        <v>104</v>
      </c>
      <c t="s" s="30" r="Z129">
        <v>42</v>
      </c>
      <c s="30" r="AA129">
        <v>0</v>
      </c>
      <c s="30" r="AB129">
        <v>0</v>
      </c>
      <c s="30" r="AC129">
        <v>0</v>
      </c>
      <c s="30" r="AD129">
        <v>0</v>
      </c>
      <c s="30" r="AE129"/>
      <c t="str" s="8" r="AF129">
        <f>(I129+J129)/R129</f>
        <v>#VALUE!:notNumber:NA</v>
      </c>
      <c t="str" s="28" r="AG129">
        <f>G129/$X129</f>
        <v>#DIV/0!:divZero</v>
      </c>
      <c t="str" s="28" r="AH129">
        <f>H129/$X129</f>
        <v>#DIV/0!:divZero</v>
      </c>
      <c t="str" s="28" r="AI129">
        <f>I129/$X129</f>
        <v>#DIV/0!:divZero</v>
      </c>
      <c t="str" s="28" r="AJ129">
        <f>J129/$X129</f>
        <v>#DIV/0!:divZero</v>
      </c>
      <c t="str" s="28" r="AK129">
        <f>K129/$X129</f>
        <v>#DIV/0!:divZero</v>
      </c>
      <c s="30" r="AL129">
        <v>1</v>
      </c>
    </row>
    <row r="130">
      <c s="30" r="A130">
        <v>129</v>
      </c>
      <c t="s" s="30" r="B130">
        <v>38</v>
      </c>
      <c s="62" r="C130">
        <v>41572</v>
      </c>
      <c s="52" r="D130">
        <v>0.666666666666667</v>
      </c>
      <c s="55" r="E130">
        <v>300</v>
      </c>
      <c s="55" r="F130"/>
      <c t="s" s="55" r="G130">
        <v>39</v>
      </c>
      <c t="s" s="55" r="H130">
        <v>39</v>
      </c>
      <c t="s" s="55" r="I130">
        <v>39</v>
      </c>
      <c t="s" s="55" r="J130">
        <v>39</v>
      </c>
      <c t="s" s="55" r="K130">
        <v>39</v>
      </c>
      <c s="80" r="L130">
        <v>19.22</v>
      </c>
      <c s="79" r="M130">
        <v>263.61</v>
      </c>
      <c s="79" r="N130">
        <v>17.51</v>
      </c>
      <c s="32" r="O130">
        <f>SUMIF(Sellables!$A$2:$A$11482, $A130, Sellables!$G$2:$G$11482)</f>
        <v>0</v>
      </c>
      <c s="32" r="P130">
        <f>SUMIF(Skills!$A$2:$A$9999, A130, Skills!$F$2:$F$9999)</f>
        <v>0</v>
      </c>
      <c s="14" r="Q130">
        <f>(N130+O130)+P130</f>
        <v>17.51</v>
      </c>
      <c s="23" r="R130">
        <f>(E130+L130)-M130</f>
        <v>55.61</v>
      </c>
      <c s="70" r="S130">
        <f>Q130-R130</f>
        <v>-38.1</v>
      </c>
      <c s="29" r="T130">
        <f> (Q130/R130) - 1</f>
        <v>-0.685128573997482</v>
      </c>
      <c s="70" r="U130"/>
      <c s="70" r="V130"/>
      <c t="s" s="30" r="W130">
        <v>163</v>
      </c>
      <c s="30" r="X130">
        <v>0</v>
      </c>
      <c t="s" s="30" r="Y130">
        <v>164</v>
      </c>
      <c t="s" s="30" r="Z130">
        <v>42</v>
      </c>
      <c s="30" r="AA130">
        <v>0</v>
      </c>
      <c s="30" r="AB130">
        <v>0</v>
      </c>
      <c s="30" r="AC130">
        <v>0</v>
      </c>
      <c s="30" r="AD130">
        <v>0</v>
      </c>
      <c s="30" r="AE130"/>
      <c t="str" s="8" r="AF130">
        <f>(I130+J130)/R130</f>
        <v>#VALUE!:notNumber:NA</v>
      </c>
      <c t="str" s="28" r="AG130">
        <f>G130/$X130</f>
        <v>#DIV/0!:divZero</v>
      </c>
      <c t="str" s="28" r="AH130">
        <f>H130/$X130</f>
        <v>#DIV/0!:divZero</v>
      </c>
      <c t="str" s="28" r="AI130">
        <f>I130/$X130</f>
        <v>#DIV/0!:divZero</v>
      </c>
      <c t="str" s="28" r="AJ130">
        <f>J130/$X130</f>
        <v>#DIV/0!:divZero</v>
      </c>
      <c t="str" s="28" r="AK130">
        <f>K130/$X130</f>
        <v>#DIV/0!:divZero</v>
      </c>
      <c s="30" r="AL130">
        <v>1</v>
      </c>
    </row>
    <row r="131">
      <c s="30" r="A131">
        <v>130</v>
      </c>
      <c t="s" s="30" r="B131">
        <v>38</v>
      </c>
      <c s="62" r="C131">
        <v>41572</v>
      </c>
      <c s="52" r="D131">
        <v>0.708333333333333</v>
      </c>
      <c s="55" r="E131">
        <v>300</v>
      </c>
      <c s="55" r="F131"/>
      <c t="s" s="55" r="G131">
        <v>39</v>
      </c>
      <c t="s" s="55" r="H131">
        <v>39</v>
      </c>
      <c t="s" s="55" r="I131">
        <v>39</v>
      </c>
      <c t="s" s="55" r="J131">
        <v>39</v>
      </c>
      <c t="s" s="55" r="K131">
        <v>39</v>
      </c>
      <c s="80" r="L131">
        <v>35.89</v>
      </c>
      <c s="79" r="M131">
        <v>200.96</v>
      </c>
      <c s="79" r="N131">
        <v>54.69</v>
      </c>
      <c s="32" r="O131">
        <f>SUMIF(Sellables!$A$2:$A$11482, $A131, Sellables!$G$2:$G$11482)</f>
        <v>10.613508</v>
      </c>
      <c s="32" r="P131">
        <f>SUMIF(Skills!$A$2:$A$9999, A131, Skills!$F$2:$F$9999)</f>
        <v>2.459256</v>
      </c>
      <c s="14" r="Q131">
        <f>(N131+O131)+P131</f>
        <v>67.762764</v>
      </c>
      <c s="23" r="R131">
        <f>(E131+L131)-M131</f>
        <v>134.93</v>
      </c>
      <c s="70" r="S131">
        <f>Q131-R131</f>
        <v>-67.167236</v>
      </c>
      <c s="29" r="T131">
        <f> (Q131/R131) - 1</f>
        <v>-0.497793196472245</v>
      </c>
      <c s="70" r="U131"/>
      <c s="70" r="V131"/>
      <c t="s" s="30" r="W131">
        <v>165</v>
      </c>
      <c s="30" r="X131">
        <v>0</v>
      </c>
      <c t="s" s="30" r="Y131">
        <v>166</v>
      </c>
      <c t="s" s="30" r="Z131">
        <v>42</v>
      </c>
      <c s="30" r="AA131">
        <v>0</v>
      </c>
      <c s="30" r="AB131">
        <v>0</v>
      </c>
      <c s="30" r="AC131">
        <v>0</v>
      </c>
      <c s="30" r="AD131">
        <v>0</v>
      </c>
      <c s="30" r="AE131"/>
      <c t="str" s="8" r="AF131">
        <f>(I131+J131)/R131</f>
        <v>#VALUE!:notNumber:NA</v>
      </c>
      <c t="str" s="28" r="AG131">
        <f>G131/$X131</f>
        <v>#DIV/0!:divZero</v>
      </c>
      <c t="str" s="28" r="AH131">
        <f>H131/$X131</f>
        <v>#DIV/0!:divZero</v>
      </c>
      <c t="str" s="28" r="AI131">
        <f>I131/$X131</f>
        <v>#DIV/0!:divZero</v>
      </c>
      <c t="str" s="28" r="AJ131">
        <f>J131/$X131</f>
        <v>#DIV/0!:divZero</v>
      </c>
      <c t="str" s="28" r="AK131">
        <f>K131/$X131</f>
        <v>#DIV/0!:divZero</v>
      </c>
      <c s="30" r="AL131">
        <v>1</v>
      </c>
    </row>
    <row r="132">
      <c s="30" r="A132">
        <v>131</v>
      </c>
      <c t="s" s="30" r="B132">
        <v>38</v>
      </c>
      <c s="62" r="C132">
        <v>41572</v>
      </c>
      <c s="52" r="D132">
        <v>0.916666666666667</v>
      </c>
      <c s="55" r="E132">
        <v>300</v>
      </c>
      <c s="55" r="F132"/>
      <c t="s" s="55" r="G132">
        <v>39</v>
      </c>
      <c t="s" s="55" r="H132">
        <v>39</v>
      </c>
      <c t="s" s="55" r="I132">
        <v>39</v>
      </c>
      <c t="s" s="55" r="J132">
        <v>39</v>
      </c>
      <c t="s" s="55" r="K132">
        <v>39</v>
      </c>
      <c s="80" r="L132">
        <v>79.84</v>
      </c>
      <c s="79" r="M132">
        <v>85.55</v>
      </c>
      <c s="79" r="N132">
        <v>182.08</v>
      </c>
      <c s="32" r="O132">
        <f>SUMIF(Sellables!$A$2:$A$11482, $A132, Sellables!$G$2:$G$11482)</f>
        <v>0</v>
      </c>
      <c s="32" r="P132">
        <f>SUMIF(Skills!$A$2:$A$9999, A132, Skills!$F$2:$F$9999)</f>
        <v>19.08636</v>
      </c>
      <c s="14" r="Q132">
        <f>(N132+O132)+P132</f>
        <v>201.16636</v>
      </c>
      <c s="23" r="R132">
        <f>(E132+L132)-M132</f>
        <v>294.29</v>
      </c>
      <c s="70" r="S132">
        <f>Q132-R132</f>
        <v>-93.12364</v>
      </c>
      <c s="29" r="T132">
        <f> (Q132/R132) - 1</f>
        <v>-0.316434945122158</v>
      </c>
      <c s="70" r="U132"/>
      <c s="70" r="V132"/>
      <c t="s" s="30" r="W132">
        <v>167</v>
      </c>
      <c s="30" r="X132">
        <v>0</v>
      </c>
      <c t="s" s="30" r="Y132">
        <v>67</v>
      </c>
      <c t="s" s="30" r="Z132">
        <v>42</v>
      </c>
      <c s="30" r="AA132">
        <v>0</v>
      </c>
      <c s="30" r="AB132">
        <v>0</v>
      </c>
      <c s="30" r="AC132">
        <v>1</v>
      </c>
      <c s="30" r="AD132">
        <v>0</v>
      </c>
      <c s="30" r="AE132"/>
      <c t="str" s="8" r="AF132">
        <f>(I132+J132)/R132</f>
        <v>#VALUE!:notNumber:NA</v>
      </c>
      <c t="str" s="28" r="AG132">
        <f>G132/$X132</f>
        <v>#DIV/0!:divZero</v>
      </c>
      <c t="str" s="28" r="AH132">
        <f>H132/$X132</f>
        <v>#DIV/0!:divZero</v>
      </c>
      <c t="str" s="28" r="AI132">
        <f>I132/$X132</f>
        <v>#DIV/0!:divZero</v>
      </c>
      <c t="str" s="28" r="AJ132">
        <f>J132/$X132</f>
        <v>#DIV/0!:divZero</v>
      </c>
      <c t="str" s="28" r="AK132">
        <f>K132/$X132</f>
        <v>#DIV/0!:divZero</v>
      </c>
      <c s="30" r="AL132">
        <v>1</v>
      </c>
    </row>
    <row r="133">
      <c s="30" r="A133">
        <v>132</v>
      </c>
      <c t="s" s="30" r="B133">
        <v>38</v>
      </c>
      <c s="62" r="C133">
        <v>41572</v>
      </c>
      <c s="52" r="D133">
        <v>0.979166666666667</v>
      </c>
      <c s="55" r="E133">
        <v>300</v>
      </c>
      <c s="55" r="F133"/>
      <c t="s" s="55" r="G133">
        <v>39</v>
      </c>
      <c t="s" s="55" r="H133">
        <v>39</v>
      </c>
      <c t="s" s="55" r="I133">
        <v>39</v>
      </c>
      <c t="s" s="55" r="J133">
        <v>39</v>
      </c>
      <c t="s" s="55" r="K133">
        <v>39</v>
      </c>
      <c s="80" r="L133">
        <v>79.73</v>
      </c>
      <c s="79" r="M133">
        <v>79.43</v>
      </c>
      <c s="79" r="N133">
        <v>137.62</v>
      </c>
      <c s="32" r="O133">
        <f>SUMIF(Sellables!$A$2:$A$11482, $A133, Sellables!$G$2:$G$11482)</f>
        <v>0</v>
      </c>
      <c s="32" r="P133">
        <f>SUMIF(Skills!$A$2:$A$9999, A133, Skills!$F$2:$F$9999)</f>
        <v>0</v>
      </c>
      <c s="14" r="Q133">
        <f>(N133+O133)+P133</f>
        <v>137.62</v>
      </c>
      <c s="23" r="R133">
        <f>(E133+L133)-M133</f>
        <v>300.3</v>
      </c>
      <c s="70" r="S133">
        <f>Q133-R133</f>
        <v>-162.68</v>
      </c>
      <c s="29" r="T133">
        <f> (Q133/R133) - 1</f>
        <v>-0.541724941724942</v>
      </c>
      <c s="70" r="U133"/>
      <c s="70" r="V133"/>
      <c t="s" s="30" r="W133">
        <v>167</v>
      </c>
      <c s="30" r="X133">
        <v>0</v>
      </c>
      <c t="s" s="30" r="Y133">
        <v>67</v>
      </c>
      <c t="s" s="30" r="Z133">
        <v>42</v>
      </c>
      <c s="30" r="AA133">
        <v>0</v>
      </c>
      <c s="30" r="AB133">
        <v>0</v>
      </c>
      <c s="30" r="AC133">
        <v>0</v>
      </c>
      <c s="30" r="AD133">
        <v>0</v>
      </c>
      <c s="30" r="AE133"/>
      <c t="str" s="8" r="AF133">
        <f>(I133+J133)/R133</f>
        <v>#VALUE!:notNumber:NA</v>
      </c>
      <c t="str" s="28" r="AG133">
        <f>G133/$X133</f>
        <v>#DIV/0!:divZero</v>
      </c>
      <c t="str" s="28" r="AH133">
        <f>H133/$X133</f>
        <v>#DIV/0!:divZero</v>
      </c>
      <c t="str" s="28" r="AI133">
        <f>I133/$X133</f>
        <v>#DIV/0!:divZero</v>
      </c>
      <c t="str" s="28" r="AJ133">
        <f>J133/$X133</f>
        <v>#DIV/0!:divZero</v>
      </c>
      <c t="str" s="28" r="AK133">
        <f>K133/$X133</f>
        <v>#DIV/0!:divZero</v>
      </c>
      <c s="30" r="AL133">
        <v>1</v>
      </c>
    </row>
    <row r="134">
      <c s="30" r="A134">
        <v>133</v>
      </c>
      <c t="s" s="30" r="B134">
        <v>55</v>
      </c>
      <c s="62" r="C134">
        <v>41573</v>
      </c>
      <c s="52" r="D134">
        <v>0.020833333333333</v>
      </c>
      <c s="55" r="E134">
        <f>118*0.70</f>
        <v>82.6</v>
      </c>
      <c s="55" r="F134"/>
      <c t="s" s="55" r="G134">
        <v>39</v>
      </c>
      <c t="s" s="55" r="H134">
        <v>39</v>
      </c>
      <c t="s" s="55" r="I134">
        <v>39</v>
      </c>
      <c t="s" s="55" r="J134">
        <v>39</v>
      </c>
      <c t="s" s="55" r="K134">
        <v>39</v>
      </c>
      <c s="80" r="L134">
        <v>0</v>
      </c>
      <c s="79" r="M134">
        <v>0</v>
      </c>
      <c s="79" r="N134">
        <f>83.68-35.70</f>
        <v>47.98</v>
      </c>
      <c s="32" r="O134">
        <f>SUMIF(Sellables!$A$2:$A$11482, $A134, Sellables!$G$2:$G$11482)</f>
        <v>38.39</v>
      </c>
      <c s="32" r="P134">
        <f>SUMIF(Skills!$A$2:$A$9999, A134, Skills!$F$2:$F$9999)</f>
        <v>0</v>
      </c>
      <c s="14" r="Q134">
        <f>(N134+O134)+P134</f>
        <v>86.37</v>
      </c>
      <c s="23" r="R134">
        <f>(E134+L134)-M134</f>
        <v>82.6</v>
      </c>
      <c s="70" r="S134">
        <f>Q134-R134</f>
        <v>3.77000000000001</v>
      </c>
      <c s="29" r="T134">
        <f> (Q134/R134) - 1</f>
        <v>0.045641646489104</v>
      </c>
      <c s="70" r="U134"/>
      <c s="70" r="V134"/>
      <c t="s" s="30" r="W134">
        <v>56</v>
      </c>
      <c s="30" r="X134">
        <v>0</v>
      </c>
      <c t="s" s="30" r="Y134">
        <v>104</v>
      </c>
      <c t="s" s="30" r="Z134">
        <v>42</v>
      </c>
      <c s="30" r="AA134">
        <v>0</v>
      </c>
      <c s="30" r="AB134">
        <v>0</v>
      </c>
      <c s="30" r="AC134">
        <v>0</v>
      </c>
      <c s="30" r="AD134">
        <v>0</v>
      </c>
      <c s="30" r="AE134"/>
      <c t="str" s="8" r="AF134">
        <f>(I134+J134)/R134</f>
        <v>#VALUE!:notNumber:NA</v>
      </c>
      <c t="str" s="28" r="AG134">
        <f>G134/$X134</f>
        <v>#DIV/0!:divZero</v>
      </c>
      <c t="str" s="28" r="AH134">
        <f>H134/$X134</f>
        <v>#DIV/0!:divZero</v>
      </c>
      <c t="str" s="28" r="AI134">
        <f>I134/$X134</f>
        <v>#DIV/0!:divZero</v>
      </c>
      <c t="str" s="28" r="AJ134">
        <f>J134/$X134</f>
        <v>#DIV/0!:divZero</v>
      </c>
      <c t="str" s="28" r="AK134">
        <f>K134/$X134</f>
        <v>#DIV/0!:divZero</v>
      </c>
      <c s="30" r="AL134">
        <v>1</v>
      </c>
    </row>
    <row r="135">
      <c s="30" r="A135">
        <v>134</v>
      </c>
      <c t="s" s="30" r="B135">
        <v>38</v>
      </c>
      <c s="62" r="C135">
        <v>41573</v>
      </c>
      <c s="52" r="D135">
        <v>0.458333333333333</v>
      </c>
      <c s="55" r="E135">
        <v>300</v>
      </c>
      <c s="55" r="F135"/>
      <c t="s" s="55" r="G135">
        <v>39</v>
      </c>
      <c t="s" s="55" r="H135">
        <v>39</v>
      </c>
      <c t="s" s="55" r="I135">
        <v>39</v>
      </c>
      <c t="s" s="55" r="J135">
        <v>39</v>
      </c>
      <c t="s" s="55" r="K135">
        <v>39</v>
      </c>
      <c s="80" r="L135">
        <v>40.9</v>
      </c>
      <c s="79" r="M135">
        <v>183.95</v>
      </c>
      <c s="79" r="N135">
        <v>131.24</v>
      </c>
      <c s="32" r="O135">
        <f>SUMIF(Sellables!$A$2:$A$11482, $A135, Sellables!$G$2:$G$11482)</f>
        <v>0</v>
      </c>
      <c s="32" r="P135">
        <f>SUMIF(Skills!$A$2:$A$9999, A135, Skills!$F$2:$F$9999)</f>
        <v>0</v>
      </c>
      <c s="14" r="Q135">
        <f>(N135+O135)+P135</f>
        <v>131.24</v>
      </c>
      <c s="23" r="R135">
        <f>(E135+L135)-M135</f>
        <v>156.95</v>
      </c>
      <c s="70" r="S135">
        <f>Q135-R135</f>
        <v>-25.71</v>
      </c>
      <c s="29" r="T135">
        <f> (Q135/R135) - 1</f>
        <v>-0.163810130614845</v>
      </c>
      <c s="70" r="U135">
        <f>R135/X135</f>
        <v>4.24189189189189</v>
      </c>
      <c s="70" r="V135">
        <f>Q135/X135</f>
        <v>3.54702702702703</v>
      </c>
      <c t="s" s="30" r="W135">
        <v>66</v>
      </c>
      <c s="30" r="X135">
        <v>37</v>
      </c>
      <c t="s" s="30" r="Y135">
        <v>67</v>
      </c>
      <c t="s" s="30" r="Z135">
        <v>42</v>
      </c>
      <c s="30" r="AA135">
        <v>0</v>
      </c>
      <c s="30" r="AB135">
        <v>0</v>
      </c>
      <c s="30" r="AC135">
        <v>1</v>
      </c>
      <c s="30" r="AD135">
        <v>0</v>
      </c>
      <c s="30" r="AE135"/>
      <c t="str" s="8" r="AF135">
        <f>(I135+J135)/R135</f>
        <v>#VALUE!:notNumber:NA</v>
      </c>
      <c t="str" s="28" r="AG135">
        <f>G135/$X135</f>
        <v>#VALUE!:notNumber:NA</v>
      </c>
      <c t="str" s="28" r="AH135">
        <f>H135/$X135</f>
        <v>#VALUE!:notNumber:NA</v>
      </c>
      <c t="str" s="28" r="AI135">
        <f>I135/$X135</f>
        <v>#VALUE!:notNumber:NA</v>
      </c>
      <c t="str" s="28" r="AJ135">
        <f>J135/$X135</f>
        <v>#VALUE!:notNumber:NA</v>
      </c>
      <c t="str" s="28" r="AK135">
        <f>K135/$X135</f>
        <v>#VALUE!:notNumber:NA</v>
      </c>
      <c s="30" r="AL135">
        <v>1</v>
      </c>
    </row>
    <row r="136">
      <c s="30" r="A136">
        <v>135</v>
      </c>
      <c t="s" s="30" r="B136">
        <v>55</v>
      </c>
      <c s="62" r="C136">
        <v>41573</v>
      </c>
      <c s="52" r="D136">
        <v>0.458333333333333</v>
      </c>
      <c s="55" r="E136">
        <f>19 * 0.61</f>
        <v>11.59</v>
      </c>
      <c s="55" r="F136"/>
      <c t="s" s="55" r="G136">
        <v>39</v>
      </c>
      <c t="s" s="55" r="H136">
        <v>39</v>
      </c>
      <c t="s" s="55" r="I136">
        <v>39</v>
      </c>
      <c t="s" s="55" r="J136">
        <v>39</v>
      </c>
      <c t="s" s="55" r="K136">
        <v>39</v>
      </c>
      <c s="80" r="L136">
        <v>0</v>
      </c>
      <c s="79" r="M136">
        <v>0</v>
      </c>
      <c s="79" r="N136">
        <v>11.14</v>
      </c>
      <c s="32" r="O136">
        <f>SUMIF(Sellables!$A$2:$A$11482, $A136, Sellables!$G$2:$G$11482)</f>
        <v>0</v>
      </c>
      <c s="32" r="P136">
        <f>SUMIF(Skills!$A$2:$A$9999, A136, Skills!$F$2:$F$9999)</f>
        <v>0</v>
      </c>
      <c s="14" r="Q136">
        <f>(N136+O136)+P136</f>
        <v>11.14</v>
      </c>
      <c s="23" r="R136">
        <f>(E136+L136)-M136</f>
        <v>11.59</v>
      </c>
      <c s="70" r="S136">
        <f>Q136-R136</f>
        <v>-0.449999999999999</v>
      </c>
      <c s="29" r="T136">
        <f> (Q136/R136) - 1</f>
        <v>-0.038826574633304</v>
      </c>
      <c t="str" s="70" r="U136">
        <f>R136/X136</f>
        <v>#DIV/0!:divZero</v>
      </c>
      <c t="str" s="70" r="V136">
        <f>Q136/X136</f>
        <v>#DIV/0!:divZero</v>
      </c>
      <c t="s" s="30" r="W136">
        <v>98</v>
      </c>
      <c s="30" r="X136">
        <v>0</v>
      </c>
      <c t="s" s="30" r="Y136">
        <v>67</v>
      </c>
      <c t="s" s="30" r="Z136">
        <v>65</v>
      </c>
      <c s="30" r="AA136">
        <v>0</v>
      </c>
      <c s="30" r="AB136">
        <v>0</v>
      </c>
      <c s="30" r="AC136">
        <v>0</v>
      </c>
      <c s="30" r="AD136">
        <v>0</v>
      </c>
      <c s="30" r="AE136"/>
      <c t="str" s="8" r="AF136">
        <f>(I136+J136)/R136</f>
        <v>#VALUE!:notNumber:NA</v>
      </c>
      <c t="str" s="28" r="AG136">
        <f>G136/$X136</f>
        <v>#DIV/0!:divZero</v>
      </c>
      <c t="str" s="28" r="AH136">
        <f>H136/$X136</f>
        <v>#DIV/0!:divZero</v>
      </c>
      <c t="str" s="28" r="AI136">
        <f>I136/$X136</f>
        <v>#DIV/0!:divZero</v>
      </c>
      <c t="str" s="28" r="AJ136">
        <f>J136/$X136</f>
        <v>#DIV/0!:divZero</v>
      </c>
      <c t="str" s="28" r="AK136">
        <f>K136/$X136</f>
        <v>#DIV/0!:divZero</v>
      </c>
      <c s="30" r="AL136">
        <v>1</v>
      </c>
    </row>
    <row r="137">
      <c s="30" r="A137">
        <v>136</v>
      </c>
      <c t="s" s="30" r="B137">
        <v>55</v>
      </c>
      <c s="62" r="C137">
        <v>41573</v>
      </c>
      <c s="52" r="D137">
        <v>0.458333333333333</v>
      </c>
      <c s="55" r="E137">
        <f>12 * 0.76</f>
        <v>9.12</v>
      </c>
      <c s="55" r="F137"/>
      <c t="s" s="55" r="G137">
        <v>39</v>
      </c>
      <c t="s" s="55" r="H137">
        <v>39</v>
      </c>
      <c t="s" s="55" r="I137">
        <v>39</v>
      </c>
      <c t="s" s="55" r="J137">
        <v>39</v>
      </c>
      <c t="s" s="55" r="K137">
        <v>39</v>
      </c>
      <c s="80" r="L137">
        <v>0</v>
      </c>
      <c s="79" r="M137">
        <v>0</v>
      </c>
      <c s="79" r="N137">
        <v>7.13</v>
      </c>
      <c s="32" r="O137">
        <f>SUMIF(Sellables!$A$2:$A$11482, $A137, Sellables!$G$2:$G$11482)</f>
        <v>0</v>
      </c>
      <c s="32" r="P137">
        <f>SUMIF(Skills!$A$2:$A$9999, A137, Skills!$F$2:$F$9999)</f>
        <v>0</v>
      </c>
      <c s="14" r="Q137">
        <f>(N137+O137)+P137</f>
        <v>7.13</v>
      </c>
      <c s="23" r="R137">
        <f>(E137+L137)-M137</f>
        <v>9.12</v>
      </c>
      <c s="70" r="S137">
        <f>Q137-R137</f>
        <v>-1.99</v>
      </c>
      <c s="29" r="T137">
        <f> (Q137/R137) - 1</f>
        <v>-0.218201754385965</v>
      </c>
      <c t="str" s="70" r="U137">
        <f>R137/X137</f>
        <v>#DIV/0!:divZero</v>
      </c>
      <c t="str" s="70" r="V137">
        <f>Q137/X137</f>
        <v>#DIV/0!:divZero</v>
      </c>
      <c t="s" s="30" r="W137">
        <v>168</v>
      </c>
      <c s="30" r="X137">
        <v>0</v>
      </c>
      <c t="s" s="30" r="Y137">
        <v>67</v>
      </c>
      <c t="s" s="30" r="Z137">
        <v>65</v>
      </c>
      <c s="30" r="AA137">
        <v>0</v>
      </c>
      <c s="30" r="AB137">
        <v>0</v>
      </c>
      <c s="30" r="AC137">
        <v>0</v>
      </c>
      <c s="30" r="AD137">
        <v>0</v>
      </c>
      <c s="30" r="AE137"/>
      <c t="str" s="8" r="AF137">
        <f>(I137+J137)/R137</f>
        <v>#VALUE!:notNumber:NA</v>
      </c>
      <c t="str" s="28" r="AG137">
        <f>G137/$X137</f>
        <v>#DIV/0!:divZero</v>
      </c>
      <c t="str" s="28" r="AH137">
        <f>H137/$X137</f>
        <v>#DIV/0!:divZero</v>
      </c>
      <c t="str" s="28" r="AI137">
        <f>I137/$X137</f>
        <v>#DIV/0!:divZero</v>
      </c>
      <c t="str" s="28" r="AJ137">
        <f>J137/$X137</f>
        <v>#DIV/0!:divZero</v>
      </c>
      <c t="str" s="28" r="AK137">
        <f>K137/$X137</f>
        <v>#DIV/0!:divZero</v>
      </c>
      <c s="30" r="AL137">
        <v>1</v>
      </c>
    </row>
    <row r="138">
      <c s="30" r="A138">
        <v>137</v>
      </c>
      <c t="s" s="30" r="B138">
        <v>55</v>
      </c>
      <c s="62" r="C138">
        <v>41573</v>
      </c>
      <c s="52" r="D138">
        <v>0.458333333333333</v>
      </c>
      <c s="55" r="E138">
        <f>45*0.21</f>
        <v>9.45</v>
      </c>
      <c s="55" r="F138"/>
      <c t="s" s="55" r="G138">
        <v>39</v>
      </c>
      <c t="s" s="55" r="H138">
        <v>39</v>
      </c>
      <c t="s" s="55" r="I138">
        <v>39</v>
      </c>
      <c t="s" s="55" r="J138">
        <v>39</v>
      </c>
      <c t="s" s="55" r="K138">
        <v>39</v>
      </c>
      <c s="80" r="L138">
        <v>0</v>
      </c>
      <c s="79" r="M138">
        <v>0</v>
      </c>
      <c s="79" r="N138">
        <v>12.51</v>
      </c>
      <c s="32" r="O138">
        <f>SUMIF(Sellables!$A$2:$A$11482, $A138, Sellables!$G$2:$G$11482)</f>
        <v>0</v>
      </c>
      <c s="32" r="P138">
        <f>SUMIF(Skills!$A$2:$A$9999, A138, Skills!$F$2:$F$9999)</f>
        <v>0</v>
      </c>
      <c s="14" r="Q138">
        <f>(N138+O138)+P138</f>
        <v>12.51</v>
      </c>
      <c s="23" r="R138">
        <f>(E138+L138)-M138</f>
        <v>9.45</v>
      </c>
      <c s="70" r="S138">
        <f>Q138-R138</f>
        <v>3.06</v>
      </c>
      <c s="29" r="T138">
        <f> (Q138/R138) - 1</f>
        <v>0.323809523809524</v>
      </c>
      <c t="str" s="70" r="U138">
        <f>R138/X138</f>
        <v>#DIV/0!:divZero</v>
      </c>
      <c t="str" s="70" r="V138">
        <f>Q138/X138</f>
        <v>#DIV/0!:divZero</v>
      </c>
      <c t="s" s="30" r="W138">
        <v>169</v>
      </c>
      <c s="30" r="X138">
        <v>0</v>
      </c>
      <c t="s" s="30" r="Y138">
        <v>67</v>
      </c>
      <c t="s" s="30" r="Z138">
        <v>65</v>
      </c>
      <c s="30" r="AA138">
        <v>0</v>
      </c>
      <c s="30" r="AB138">
        <v>0</v>
      </c>
      <c s="30" r="AC138">
        <v>0</v>
      </c>
      <c s="30" r="AD138">
        <v>0</v>
      </c>
      <c s="30" r="AE138"/>
      <c t="str" s="8" r="AF138">
        <f>(I138+J138)/R138</f>
        <v>#VALUE!:notNumber:NA</v>
      </c>
      <c t="str" s="28" r="AG138">
        <f>G138/$X138</f>
        <v>#DIV/0!:divZero</v>
      </c>
      <c t="str" s="28" r="AH138">
        <f>H138/$X138</f>
        <v>#DIV/0!:divZero</v>
      </c>
      <c t="str" s="28" r="AI138">
        <f>I138/$X138</f>
        <v>#DIV/0!:divZero</v>
      </c>
      <c t="str" s="28" r="AJ138">
        <f>J138/$X138</f>
        <v>#DIV/0!:divZero</v>
      </c>
      <c t="str" s="28" r="AK138">
        <f>K138/$X138</f>
        <v>#DIV/0!:divZero</v>
      </c>
      <c s="30" r="AL138">
        <v>1</v>
      </c>
    </row>
    <row r="139">
      <c s="30" r="A139">
        <v>138</v>
      </c>
      <c t="s" s="30" r="B139">
        <v>55</v>
      </c>
      <c s="62" r="C139">
        <v>41573</v>
      </c>
      <c s="52" r="D139">
        <v>0.458333333333333</v>
      </c>
      <c s="55" r="E139">
        <f>27*0.11</f>
        <v>2.97</v>
      </c>
      <c s="55" r="F139"/>
      <c t="s" s="55" r="G139">
        <v>39</v>
      </c>
      <c t="s" s="55" r="H139">
        <v>39</v>
      </c>
      <c t="s" s="55" r="I139">
        <v>39</v>
      </c>
      <c t="s" s="55" r="J139">
        <v>39</v>
      </c>
      <c t="s" s="55" r="K139">
        <v>39</v>
      </c>
      <c s="80" r="L139">
        <v>0</v>
      </c>
      <c s="79" r="M139">
        <v>0</v>
      </c>
      <c s="79" r="N139">
        <v>1.37</v>
      </c>
      <c s="32" r="O139">
        <f>SUMIF(Sellables!$A$2:$A$11482, $A139, Sellables!$G$2:$G$11482)</f>
        <v>0</v>
      </c>
      <c s="32" r="P139">
        <f>SUMIF(Skills!$A$2:$A$9999, A139, Skills!$F$2:$F$9999)</f>
        <v>0</v>
      </c>
      <c s="14" r="Q139">
        <f>(N139+O139)+P139</f>
        <v>1.37</v>
      </c>
      <c s="23" r="R139">
        <f>(E139+L139)-M139</f>
        <v>2.97</v>
      </c>
      <c s="70" r="S139">
        <f>Q139-R139</f>
        <v>-1.6</v>
      </c>
      <c s="29" r="T139">
        <f> (Q139/R139) - 1</f>
        <v>-0.538720538720539</v>
      </c>
      <c t="str" s="70" r="U139">
        <f>R139/X139</f>
        <v>#DIV/0!:divZero</v>
      </c>
      <c t="str" s="70" r="V139">
        <f>Q139/X139</f>
        <v>#DIV/0!:divZero</v>
      </c>
      <c t="s" s="30" r="W139">
        <v>91</v>
      </c>
      <c s="30" r="X139">
        <v>0</v>
      </c>
      <c t="s" s="30" r="Y139">
        <v>67</v>
      </c>
      <c t="s" s="30" r="Z139">
        <v>65</v>
      </c>
      <c s="30" r="AA139">
        <v>0</v>
      </c>
      <c s="30" r="AB139">
        <v>0</v>
      </c>
      <c s="30" r="AC139">
        <v>0</v>
      </c>
      <c s="30" r="AD139">
        <v>0</v>
      </c>
      <c s="30" r="AE139"/>
      <c t="str" s="8" r="AF139">
        <f>(I139+J139)/R139</f>
        <v>#VALUE!:notNumber:NA</v>
      </c>
      <c t="str" s="28" r="AG139">
        <f>G139/$X139</f>
        <v>#DIV/0!:divZero</v>
      </c>
      <c t="str" s="28" r="AH139">
        <f>H139/$X139</f>
        <v>#DIV/0!:divZero</v>
      </c>
      <c t="str" s="28" r="AI139">
        <f>I139/$X139</f>
        <v>#DIV/0!:divZero</v>
      </c>
      <c t="str" s="28" r="AJ139">
        <f>J139/$X139</f>
        <v>#DIV/0!:divZero</v>
      </c>
      <c t="str" s="28" r="AK139">
        <f>K139/$X139</f>
        <v>#DIV/0!:divZero</v>
      </c>
      <c s="30" r="AL139">
        <v>1</v>
      </c>
    </row>
    <row r="140">
      <c s="30" r="A140">
        <v>139</v>
      </c>
      <c t="s" s="30" r="B140">
        <v>55</v>
      </c>
      <c s="62" r="C140">
        <v>41573</v>
      </c>
      <c s="52" r="D140">
        <v>0.458333333333333</v>
      </c>
      <c s="55" r="E140">
        <f>135 * 1.15</f>
        <v>155.25</v>
      </c>
      <c s="55" r="F140"/>
      <c t="s" s="55" r="G140">
        <v>39</v>
      </c>
      <c t="s" s="55" r="H140">
        <v>39</v>
      </c>
      <c t="s" s="55" r="I140">
        <v>39</v>
      </c>
      <c t="s" s="55" r="J140">
        <v>39</v>
      </c>
      <c t="s" s="55" r="K140">
        <v>39</v>
      </c>
      <c s="80" r="L140">
        <v>0</v>
      </c>
      <c s="79" r="M140">
        <v>0</v>
      </c>
      <c s="79" r="N140">
        <v>86.25</v>
      </c>
      <c s="32" r="O140">
        <f>SUMIF(Sellables!$A$2:$A$11482, $A140, Sellables!$G$2:$G$11482)</f>
        <v>66.26</v>
      </c>
      <c s="32" r="P140">
        <f>SUMIF(Skills!$A$2:$A$9999, A140, Skills!$F$2:$F$9999)</f>
        <v>0</v>
      </c>
      <c s="14" r="Q140">
        <f>(N140+O140)+P140</f>
        <v>152.51</v>
      </c>
      <c s="23" r="R140">
        <f>(E140+L140)-M140</f>
        <v>155.25</v>
      </c>
      <c s="70" r="S140">
        <f>Q140-R140</f>
        <v>-2.74000000000001</v>
      </c>
      <c s="29" r="T140">
        <f> (Q140/R140) - 1</f>
        <v>-0.017648953301127</v>
      </c>
      <c t="str" s="70" r="U140">
        <f>R140/X140</f>
        <v>#DIV/0!:divZero</v>
      </c>
      <c t="str" s="70" r="V140">
        <f>Q140/X140</f>
        <v>#DIV/0!:divZero</v>
      </c>
      <c t="s" s="30" r="W140">
        <v>68</v>
      </c>
      <c s="30" r="X140">
        <v>0</v>
      </c>
      <c t="s" s="30" r="Y140">
        <v>67</v>
      </c>
      <c t="s" s="30" r="Z140">
        <v>65</v>
      </c>
      <c s="30" r="AA140">
        <v>0</v>
      </c>
      <c s="30" r="AB140">
        <v>0</v>
      </c>
      <c s="30" r="AC140">
        <v>0</v>
      </c>
      <c s="30" r="AD140">
        <v>0</v>
      </c>
      <c s="30" r="AE140"/>
      <c t="str" s="8" r="AF140">
        <f>(I140+J140)/R140</f>
        <v>#VALUE!:notNumber:NA</v>
      </c>
      <c t="str" s="28" r="AG140">
        <f>G140/$X140</f>
        <v>#DIV/0!:divZero</v>
      </c>
      <c t="str" s="28" r="AH140">
        <f>H140/$X140</f>
        <v>#DIV/0!:divZero</v>
      </c>
      <c t="str" s="28" r="AI140">
        <f>I140/$X140</f>
        <v>#DIV/0!:divZero</v>
      </c>
      <c t="str" s="28" r="AJ140">
        <f>J140/$X140</f>
        <v>#DIV/0!:divZero</v>
      </c>
      <c t="str" s="28" r="AK140">
        <f>K140/$X140</f>
        <v>#DIV/0!:divZero</v>
      </c>
      <c s="30" r="AL140">
        <v>1</v>
      </c>
    </row>
    <row r="141">
      <c s="30" r="A141">
        <v>140</v>
      </c>
      <c t="s" s="30" r="B141">
        <v>55</v>
      </c>
      <c s="62" r="C141">
        <v>41573</v>
      </c>
      <c s="52" r="D141">
        <v>0.458333333333333</v>
      </c>
      <c s="55" r="E141">
        <f>22*0.31</f>
        <v>6.82</v>
      </c>
      <c s="55" r="F141"/>
      <c t="s" s="55" r="G141">
        <v>39</v>
      </c>
      <c t="s" s="55" r="H141">
        <v>39</v>
      </c>
      <c t="s" s="55" r="I141">
        <v>39</v>
      </c>
      <c t="s" s="55" r="J141">
        <v>39</v>
      </c>
      <c t="s" s="55" r="K141">
        <v>39</v>
      </c>
      <c s="80" r="L141">
        <v>0</v>
      </c>
      <c s="79" r="M141">
        <v>0</v>
      </c>
      <c s="79" r="N141">
        <v>5.75</v>
      </c>
      <c s="32" r="O141">
        <f>SUMIF(Sellables!$A$2:$A$11482, $A141, Sellables!$G$2:$G$11482)</f>
        <v>0</v>
      </c>
      <c s="32" r="P141">
        <f>SUMIF(Skills!$A$2:$A$9999, A141, Skills!$F$2:$F$9999)</f>
        <v>0</v>
      </c>
      <c s="14" r="Q141">
        <f>(N141+O141)+P141</f>
        <v>5.75</v>
      </c>
      <c s="23" r="R141">
        <f>(E141+L141)-M141</f>
        <v>6.82</v>
      </c>
      <c s="70" r="S141">
        <f>Q141-R141</f>
        <v>-1.07</v>
      </c>
      <c s="29" r="T141">
        <f> (Q141/R141) - 1</f>
        <v>-0.156891495601173</v>
      </c>
      <c t="str" s="70" r="U141">
        <f>R141/X141</f>
        <v>#DIV/0!:divZero</v>
      </c>
      <c t="str" s="70" r="V141">
        <f>Q141/X141</f>
        <v>#DIV/0!:divZero</v>
      </c>
      <c t="s" s="30" r="W141">
        <v>133</v>
      </c>
      <c s="30" r="X141">
        <v>0</v>
      </c>
      <c t="s" s="30" r="Y141">
        <v>67</v>
      </c>
      <c t="s" s="30" r="Z141">
        <v>65</v>
      </c>
      <c s="30" r="AA141">
        <v>0</v>
      </c>
      <c s="30" r="AB141">
        <v>0</v>
      </c>
      <c s="30" r="AC141">
        <v>0</v>
      </c>
      <c s="30" r="AD141">
        <v>0</v>
      </c>
      <c s="30" r="AE141"/>
      <c t="str" s="8" r="AF141">
        <f>(I141+J141)/R141</f>
        <v>#VALUE!:notNumber:NA</v>
      </c>
      <c t="str" s="28" r="AG141">
        <f>G141/$X141</f>
        <v>#DIV/0!:divZero</v>
      </c>
      <c t="str" s="28" r="AH141">
        <f>H141/$X141</f>
        <v>#DIV/0!:divZero</v>
      </c>
      <c t="str" s="28" r="AI141">
        <f>I141/$X141</f>
        <v>#DIV/0!:divZero</v>
      </c>
      <c t="str" s="28" r="AJ141">
        <f>J141/$X141</f>
        <v>#DIV/0!:divZero</v>
      </c>
      <c t="str" s="28" r="AK141">
        <f>K141/$X141</f>
        <v>#DIV/0!:divZero</v>
      </c>
      <c s="30" r="AL141">
        <v>1</v>
      </c>
    </row>
    <row r="142">
      <c s="30" r="A142">
        <v>141</v>
      </c>
      <c t="s" s="30" r="B142">
        <v>55</v>
      </c>
      <c s="62" r="C142">
        <v>41573</v>
      </c>
      <c s="52" r="D142">
        <v>0.458333333333333</v>
      </c>
      <c s="55" r="E142">
        <f>10*0.21</f>
        <v>2.1</v>
      </c>
      <c s="55" r="F142"/>
      <c t="s" s="55" r="G142">
        <v>39</v>
      </c>
      <c t="s" s="55" r="H142">
        <v>39</v>
      </c>
      <c t="s" s="55" r="I142">
        <v>39</v>
      </c>
      <c t="s" s="55" r="J142">
        <v>39</v>
      </c>
      <c t="s" s="55" r="K142">
        <v>39</v>
      </c>
      <c s="80" r="L142">
        <v>0</v>
      </c>
      <c s="79" r="M142">
        <v>0</v>
      </c>
      <c s="79" r="N142">
        <v>1.27</v>
      </c>
      <c s="32" r="O142">
        <f>SUMIF(Sellables!$A$2:$A$11482, $A142, Sellables!$G$2:$G$11482)</f>
        <v>0</v>
      </c>
      <c s="32" r="P142">
        <f>SUMIF(Skills!$A$2:$A$9999, A142, Skills!$F$2:$F$9999)</f>
        <v>0</v>
      </c>
      <c s="14" r="Q142">
        <f>(N142+O142)+P142</f>
        <v>1.27</v>
      </c>
      <c s="23" r="R142">
        <f>(E142+L142)-M142</f>
        <v>2.1</v>
      </c>
      <c s="70" r="S142">
        <f>Q142-R142</f>
        <v>-0.83</v>
      </c>
      <c s="29" r="T142">
        <f> (Q142/R142) - 1</f>
        <v>-0.395238095238095</v>
      </c>
      <c t="str" s="70" r="U142">
        <f>R142/X142</f>
        <v>#DIV/0!:divZero</v>
      </c>
      <c t="str" s="70" r="V142">
        <f>Q142/X142</f>
        <v>#DIV/0!:divZero</v>
      </c>
      <c t="s" s="30" r="W142">
        <v>170</v>
      </c>
      <c s="30" r="X142">
        <v>0</v>
      </c>
      <c t="s" s="30" r="Y142">
        <v>67</v>
      </c>
      <c t="s" s="30" r="Z142">
        <v>65</v>
      </c>
      <c s="30" r="AA142">
        <v>0</v>
      </c>
      <c s="30" r="AB142">
        <v>0</v>
      </c>
      <c s="30" r="AC142">
        <v>0</v>
      </c>
      <c s="30" r="AD142">
        <v>0</v>
      </c>
      <c s="30" r="AE142"/>
      <c t="str" s="8" r="AF142">
        <f>(I142+J142)/R142</f>
        <v>#VALUE!:notNumber:NA</v>
      </c>
      <c t="str" s="28" r="AG142">
        <f>G142/$X142</f>
        <v>#DIV/0!:divZero</v>
      </c>
      <c t="str" s="28" r="AH142">
        <f>H142/$X142</f>
        <v>#DIV/0!:divZero</v>
      </c>
      <c t="str" s="28" r="AI142">
        <f>I142/$X142</f>
        <v>#DIV/0!:divZero</v>
      </c>
      <c t="str" s="28" r="AJ142">
        <f>J142/$X142</f>
        <v>#DIV/0!:divZero</v>
      </c>
      <c t="str" s="28" r="AK142">
        <f>K142/$X142</f>
        <v>#DIV/0!:divZero</v>
      </c>
      <c s="30" r="AL142">
        <v>1</v>
      </c>
    </row>
    <row r="143">
      <c s="30" r="A143">
        <v>142</v>
      </c>
      <c t="s" s="30" r="B143">
        <v>55</v>
      </c>
      <c s="62" r="C143">
        <v>41573</v>
      </c>
      <c s="52" r="D143">
        <v>0.5</v>
      </c>
      <c s="55" r="E143">
        <f>636*0.073</f>
        <v>46.428</v>
      </c>
      <c s="55" r="F143"/>
      <c t="s" s="55" r="G143">
        <v>39</v>
      </c>
      <c t="s" s="55" r="H143">
        <v>39</v>
      </c>
      <c t="s" s="55" r="I143">
        <v>39</v>
      </c>
      <c t="s" s="55" r="J143">
        <v>39</v>
      </c>
      <c t="s" s="55" r="K143">
        <v>39</v>
      </c>
      <c s="80" r="L143">
        <v>0</v>
      </c>
      <c s="79" r="M143">
        <v>0</v>
      </c>
      <c s="79" r="N143">
        <v>32.94</v>
      </c>
      <c s="32" r="O143">
        <f>SUMIF(Sellables!$A$2:$A$11482, $A143, Sellables!$G$2:$G$11482)</f>
        <v>0</v>
      </c>
      <c s="32" r="P143">
        <f>SUMIF(Skills!$A$2:$A$9999, A143, Skills!$F$2:$F$9999)</f>
        <v>0</v>
      </c>
      <c s="14" r="Q143">
        <f>(N143+O143)+P143</f>
        <v>32.94</v>
      </c>
      <c s="23" r="R143">
        <f>(E143+L143)-M143</f>
        <v>46.428</v>
      </c>
      <c s="70" r="S143">
        <f>Q143-R143</f>
        <v>-13.488</v>
      </c>
      <c s="29" r="T143">
        <f> (Q143/R143) - 1</f>
        <v>-0.290514344791936</v>
      </c>
      <c t="str" s="70" r="U143">
        <f>R143/X143</f>
        <v>#DIV/0!:divZero</v>
      </c>
      <c t="str" s="70" r="V143">
        <f>Q143/X143</f>
        <v>#DIV/0!:divZero</v>
      </c>
      <c t="s" s="30" r="W143">
        <v>171</v>
      </c>
      <c s="30" r="X143">
        <v>0</v>
      </c>
      <c t="s" s="30" r="Y143">
        <v>67</v>
      </c>
      <c t="s" s="30" r="Z143">
        <v>65</v>
      </c>
      <c s="30" r="AA143">
        <v>0</v>
      </c>
      <c s="30" r="AB143">
        <v>0</v>
      </c>
      <c s="30" r="AC143">
        <v>0</v>
      </c>
      <c s="30" r="AD143">
        <v>0</v>
      </c>
      <c s="30" r="AE143"/>
      <c t="str" s="8" r="AF143">
        <f>(I143+J143)/R143</f>
        <v>#VALUE!:notNumber:NA</v>
      </c>
      <c t="str" s="28" r="AG143">
        <f>G143/$X143</f>
        <v>#DIV/0!:divZero</v>
      </c>
      <c t="str" s="28" r="AH143">
        <f>H143/$X143</f>
        <v>#DIV/0!:divZero</v>
      </c>
      <c t="str" s="28" r="AI143">
        <f>I143/$X143</f>
        <v>#DIV/0!:divZero</v>
      </c>
      <c t="str" s="28" r="AJ143">
        <f>J143/$X143</f>
        <v>#DIV/0!:divZero</v>
      </c>
      <c t="str" s="28" r="AK143">
        <f>K143/$X143</f>
        <v>#DIV/0!:divZero</v>
      </c>
      <c s="30" r="AL143">
        <v>1</v>
      </c>
    </row>
    <row r="144">
      <c s="30" r="A144">
        <v>143</v>
      </c>
      <c t="s" s="30" r="B144">
        <v>38</v>
      </c>
      <c s="62" r="C144">
        <v>41573</v>
      </c>
      <c s="52" r="D144">
        <v>0.583333333333333</v>
      </c>
      <c s="55" r="E144">
        <v>500</v>
      </c>
      <c s="55" r="F144"/>
      <c t="s" s="55" r="G144">
        <v>39</v>
      </c>
      <c t="s" s="55" r="H144">
        <v>39</v>
      </c>
      <c t="s" s="55" r="I144">
        <v>39</v>
      </c>
      <c t="s" s="55" r="J144">
        <v>39</v>
      </c>
      <c t="s" s="55" r="K144">
        <v>39</v>
      </c>
      <c s="80" r="L144">
        <v>2.31</v>
      </c>
      <c s="79" r="M144">
        <v>494.26</v>
      </c>
      <c s="79" r="N144">
        <v>1.53</v>
      </c>
      <c s="32" r="O144">
        <f>SUMIF(Sellables!$A$2:$A$11482, $A144, Sellables!$G$2:$G$11482)</f>
        <v>19.028984</v>
      </c>
      <c s="32" r="P144">
        <f>SUMIF(Skills!$A$2:$A$9999, A144, Skills!$F$2:$F$9999)</f>
        <v>0</v>
      </c>
      <c s="14" r="Q144">
        <f>(N144+O144)+P144</f>
        <v>20.558984</v>
      </c>
      <c s="14" r="R144">
        <f>(E144+L144)-M144</f>
        <v>8.05000000000001</v>
      </c>
      <c s="70" r="S144">
        <f>Q144-R144</f>
        <v>12.508984</v>
      </c>
      <c s="29" r="T144">
        <f> (Q144/R144) - 1</f>
        <v>1.55391105590062</v>
      </c>
      <c s="70" r="U144">
        <f>R144/X144</f>
        <v>1.15</v>
      </c>
      <c s="70" r="V144">
        <f>Q144/X144</f>
        <v>2.93699771428571</v>
      </c>
      <c t="s" s="30" r="W144">
        <v>131</v>
      </c>
      <c s="30" r="X144">
        <v>7</v>
      </c>
      <c t="s" s="30" r="Y144">
        <v>172</v>
      </c>
      <c t="s" s="30" r="Z144">
        <v>42</v>
      </c>
      <c s="30" r="AA144">
        <v>0</v>
      </c>
      <c s="30" r="AB144">
        <v>0</v>
      </c>
      <c s="30" r="AC144">
        <v>0</v>
      </c>
      <c s="30" r="AD144">
        <v>0</v>
      </c>
      <c s="30" r="AE144"/>
      <c t="str" s="8" r="AF144">
        <f>(I144+J144)/R144</f>
        <v>#VALUE!:notNumber:NA</v>
      </c>
      <c t="str" s="28" r="AG144">
        <f>G144/$X144</f>
        <v>#VALUE!:notNumber:NA</v>
      </c>
      <c t="str" s="28" r="AH144">
        <f>H144/$X144</f>
        <v>#VALUE!:notNumber:NA</v>
      </c>
      <c t="str" s="28" r="AI144">
        <f>I144/$X144</f>
        <v>#VALUE!:notNumber:NA</v>
      </c>
      <c t="str" s="28" r="AJ144">
        <f>J144/$X144</f>
        <v>#VALUE!:notNumber:NA</v>
      </c>
      <c t="str" s="28" r="AK144">
        <f>K144/$X144</f>
        <v>#VALUE!:notNumber:NA</v>
      </c>
      <c s="30" r="AL144">
        <v>1</v>
      </c>
    </row>
    <row r="145">
      <c s="30" r="A145">
        <v>144</v>
      </c>
      <c t="s" s="30" r="B145">
        <v>38</v>
      </c>
      <c s="62" r="C145">
        <v>41573</v>
      </c>
      <c s="52" r="D145">
        <v>0.645833333333333</v>
      </c>
      <c s="55" r="E145">
        <v>500</v>
      </c>
      <c s="55" r="F145"/>
      <c t="s" s="55" r="G145">
        <v>39</v>
      </c>
      <c t="s" s="55" r="H145">
        <v>39</v>
      </c>
      <c t="s" s="55" r="I145">
        <v>39</v>
      </c>
      <c t="s" s="55" r="J145">
        <v>39</v>
      </c>
      <c t="s" s="55" r="K145">
        <v>39</v>
      </c>
      <c s="80" r="L145">
        <v>49.57</v>
      </c>
      <c s="79" r="M145">
        <v>311.68</v>
      </c>
      <c s="79" r="N145">
        <v>119.67</v>
      </c>
      <c s="32" r="O145">
        <f>SUMIF(Sellables!$A$2:$A$11482, $A145, Sellables!$G$2:$G$11482)</f>
        <v>15.670928</v>
      </c>
      <c s="32" r="P145">
        <f>SUMIF(Skills!$A$2:$A$9999, A145, Skills!$F$2:$F$9999)</f>
        <v>0</v>
      </c>
      <c s="14" r="Q145">
        <f>(N145+O145)+P145</f>
        <v>135.340928</v>
      </c>
      <c s="23" r="R145">
        <f>(E145+L145)-M145</f>
        <v>237.89</v>
      </c>
      <c s="70" r="S145">
        <f>Q145-R145</f>
        <v>-102.549072</v>
      </c>
      <c s="29" r="T145">
        <f> (Q145/R145) - 1</f>
        <v>-0.431077691369961</v>
      </c>
      <c s="70" r="U145">
        <f>R145/X145</f>
        <v>1.18945</v>
      </c>
      <c s="70" r="V145">
        <f>Q145/X145</f>
        <v>0.67670464</v>
      </c>
      <c t="s" s="30" r="W145">
        <v>131</v>
      </c>
      <c s="30" r="X145">
        <v>200</v>
      </c>
      <c t="s" s="30" r="Y145">
        <v>172</v>
      </c>
      <c t="s" s="30" r="Z145">
        <v>42</v>
      </c>
      <c s="30" r="AA145">
        <v>0</v>
      </c>
      <c s="30" r="AB145">
        <v>0</v>
      </c>
      <c s="30" r="AC145">
        <v>0</v>
      </c>
      <c s="30" r="AD145">
        <v>0</v>
      </c>
      <c s="30" r="AE145"/>
      <c t="str" s="8" r="AF145">
        <f>(I145+J145)/R145</f>
        <v>#VALUE!:notNumber:NA</v>
      </c>
      <c t="str" s="28" r="AG145">
        <f>G145/$X145</f>
        <v>#VALUE!:notNumber:NA</v>
      </c>
      <c t="str" s="28" r="AH145">
        <f>H145/$X145</f>
        <v>#VALUE!:notNumber:NA</v>
      </c>
      <c t="str" s="28" r="AI145">
        <f>I145/$X145</f>
        <v>#VALUE!:notNumber:NA</v>
      </c>
      <c t="str" s="28" r="AJ145">
        <f>J145/$X145</f>
        <v>#VALUE!:notNumber:NA</v>
      </c>
      <c t="str" s="28" r="AK145">
        <f>K145/$X145</f>
        <v>#VALUE!:notNumber:NA</v>
      </c>
      <c s="30" r="AL145">
        <v>1</v>
      </c>
    </row>
    <row r="146">
      <c s="30" r="A146">
        <v>145</v>
      </c>
      <c t="s" s="30" r="B146">
        <v>38</v>
      </c>
      <c s="62" r="C146">
        <v>41573</v>
      </c>
      <c s="52" r="D146">
        <v>0.666666666666667</v>
      </c>
      <c s="55" r="E146">
        <v>500</v>
      </c>
      <c s="55" r="F146"/>
      <c t="s" s="55" r="G146">
        <v>39</v>
      </c>
      <c t="s" s="55" r="H146">
        <v>39</v>
      </c>
      <c t="s" s="55" r="I146">
        <v>39</v>
      </c>
      <c t="s" s="55" r="J146">
        <v>39</v>
      </c>
      <c t="s" s="55" r="K146">
        <v>39</v>
      </c>
      <c s="80" r="L146">
        <v>106.96</v>
      </c>
      <c s="79" r="M146">
        <v>325.72</v>
      </c>
      <c s="79" r="N146">
        <v>274.41</v>
      </c>
      <c s="32" r="O146">
        <f>SUMIF(Sellables!$A$2:$A$11482, $A146, Sellables!$G$2:$G$11482)</f>
        <v>0</v>
      </c>
      <c s="32" r="P146">
        <f>SUMIF(Skills!$A$2:$A$9999, A146, Skills!$F$2:$F$9999)</f>
        <v>0</v>
      </c>
      <c s="14" r="Q146">
        <f>(N146+O146)+P146</f>
        <v>274.41</v>
      </c>
      <c s="23" r="R146">
        <f>(E146+L146)-M146</f>
        <v>281.24</v>
      </c>
      <c s="70" r="S146">
        <f>Q146-R146</f>
        <v>-6.82999999999998</v>
      </c>
      <c s="29" r="T146">
        <f> (Q146/R146) - 1</f>
        <v>-0.024285307922059</v>
      </c>
      <c s="70" r="U146">
        <f>R146/X146</f>
        <v>1.38541871921182</v>
      </c>
      <c s="70" r="V146">
        <f>Q146/X146</f>
        <v>1.35177339901478</v>
      </c>
      <c t="s" s="30" r="W146">
        <v>173</v>
      </c>
      <c s="30" r="X146">
        <v>203</v>
      </c>
      <c t="s" s="30" r="Y146">
        <v>174</v>
      </c>
      <c t="s" s="30" r="Z146">
        <v>42</v>
      </c>
      <c s="30" r="AA146">
        <v>0</v>
      </c>
      <c s="30" r="AB146">
        <v>0</v>
      </c>
      <c s="30" r="AC146">
        <v>1</v>
      </c>
      <c s="30" r="AD146">
        <v>0</v>
      </c>
      <c s="30" r="AE146"/>
      <c t="str" s="8" r="AF146">
        <f>(I146+J146)/R146</f>
        <v>#VALUE!:notNumber:NA</v>
      </c>
      <c t="str" s="28" r="AG146">
        <f>G146/$X146</f>
        <v>#VALUE!:notNumber:NA</v>
      </c>
      <c t="str" s="28" r="AH146">
        <f>H146/$X146</f>
        <v>#VALUE!:notNumber:NA</v>
      </c>
      <c t="str" s="28" r="AI146">
        <f>I146/$X146</f>
        <v>#VALUE!:notNumber:NA</v>
      </c>
      <c t="str" s="28" r="AJ146">
        <f>J146/$X146</f>
        <v>#VALUE!:notNumber:NA</v>
      </c>
      <c t="str" s="28" r="AK146">
        <f>K146/$X146</f>
        <v>#VALUE!:notNumber:NA</v>
      </c>
      <c s="30" r="AL146">
        <v>1</v>
      </c>
    </row>
    <row r="147">
      <c s="30" r="A147">
        <v>146</v>
      </c>
      <c t="s" s="30" r="B147">
        <v>55</v>
      </c>
      <c s="62" r="C147">
        <v>41573</v>
      </c>
      <c s="52" r="D147">
        <v>0.725694444444444</v>
      </c>
      <c s="55" r="E147">
        <f>26 * 0.61</f>
        <v>15.86</v>
      </c>
      <c s="55" r="F147"/>
      <c t="s" s="55" r="G147">
        <v>39</v>
      </c>
      <c t="s" s="55" r="H147">
        <v>39</v>
      </c>
      <c t="s" s="55" r="I147">
        <v>39</v>
      </c>
      <c t="s" s="55" r="J147">
        <v>39</v>
      </c>
      <c t="s" s="55" r="K147">
        <v>39</v>
      </c>
      <c s="80" r="L147">
        <v>0</v>
      </c>
      <c s="79" r="M147">
        <v>0</v>
      </c>
      <c s="79" r="N147">
        <v>14.32</v>
      </c>
      <c s="32" r="O147">
        <f>SUMIF(Sellables!$A$2:$A$11482, $A147, Sellables!$G$2:$G$11482)</f>
        <v>0</v>
      </c>
      <c s="32" r="P147">
        <f>SUMIF(Skills!$A$2:$A$9999, A147, Skills!$F$2:$F$9999)</f>
        <v>0</v>
      </c>
      <c s="14" r="Q147">
        <f>(N147+O147)+P147</f>
        <v>14.32</v>
      </c>
      <c s="23" r="R147">
        <f>(E147+L147)-M147</f>
        <v>15.86</v>
      </c>
      <c s="70" r="S147">
        <f>Q147-R147</f>
        <v>-1.54</v>
      </c>
      <c s="29" r="T147">
        <f> (Q147/R147) - 1</f>
        <v>-0.097099621689786</v>
      </c>
      <c t="str" s="70" r="U147">
        <f>R147/X147</f>
        <v>#DIV/0!:divZero</v>
      </c>
      <c t="str" s="70" r="V147">
        <f>Q147/X147</f>
        <v>#DIV/0!:divZero</v>
      </c>
      <c t="s" s="30" r="W147">
        <v>98</v>
      </c>
      <c s="30" r="X147">
        <v>0</v>
      </c>
      <c t="s" s="30" r="Y147">
        <v>104</v>
      </c>
      <c t="s" s="30" r="Z147">
        <v>42</v>
      </c>
      <c s="30" r="AA147">
        <v>0</v>
      </c>
      <c s="30" r="AB147">
        <v>0</v>
      </c>
      <c s="30" r="AC147">
        <v>0</v>
      </c>
      <c s="30" r="AD147">
        <v>0</v>
      </c>
      <c s="30" r="AE147"/>
      <c t="str" s="8" r="AF147">
        <f>(I147+J147)/R147</f>
        <v>#VALUE!:notNumber:NA</v>
      </c>
      <c t="str" s="28" r="AG147">
        <f>G147/$X147</f>
        <v>#DIV/0!:divZero</v>
      </c>
      <c t="str" s="28" r="AH147">
        <f>H147/$X147</f>
        <v>#DIV/0!:divZero</v>
      </c>
      <c t="str" s="28" r="AI147">
        <f>I147/$X147</f>
        <v>#DIV/0!:divZero</v>
      </c>
      <c t="str" s="28" r="AJ147">
        <f>J147/$X147</f>
        <v>#DIV/0!:divZero</v>
      </c>
      <c t="str" s="28" r="AK147">
        <f>K147/$X147</f>
        <v>#DIV/0!:divZero</v>
      </c>
      <c s="30" r="AL147">
        <v>1</v>
      </c>
    </row>
    <row r="148">
      <c s="30" r="A148">
        <v>147</v>
      </c>
      <c t="s" s="30" r="B148">
        <v>55</v>
      </c>
      <c s="62" r="C148">
        <v>41573</v>
      </c>
      <c s="52" r="D148">
        <v>0.725694444444444</v>
      </c>
      <c s="55" r="E148">
        <f>17*0.31</f>
        <v>5.27</v>
      </c>
      <c s="55" r="F148"/>
      <c t="s" s="55" r="G148">
        <v>39</v>
      </c>
      <c t="s" s="55" r="H148">
        <v>39</v>
      </c>
      <c t="s" s="55" r="I148">
        <v>39</v>
      </c>
      <c t="s" s="55" r="J148">
        <v>39</v>
      </c>
      <c t="s" s="55" r="K148">
        <v>39</v>
      </c>
      <c s="80" r="L148">
        <v>0</v>
      </c>
      <c s="79" r="M148">
        <v>0</v>
      </c>
      <c s="79" r="N148">
        <v>4</v>
      </c>
      <c s="32" r="O148">
        <f>SUMIF(Sellables!$A$2:$A$11482, $A148, Sellables!$G$2:$G$11482)</f>
        <v>0</v>
      </c>
      <c s="32" r="P148">
        <f>SUMIF(Skills!$A$2:$A$9999, A148, Skills!$F$2:$F$9999)</f>
        <v>0</v>
      </c>
      <c s="14" r="Q148">
        <f>(N148+O148)+P148</f>
        <v>4</v>
      </c>
      <c s="23" r="R148">
        <f>(E148+L148)-M148</f>
        <v>5.27</v>
      </c>
      <c s="70" r="S148">
        <f>Q148-R148</f>
        <v>-1.27</v>
      </c>
      <c s="29" r="T148">
        <f> (Q148/R148) - 1</f>
        <v>-0.240986717267552</v>
      </c>
      <c t="str" s="70" r="U148">
        <f>R148/X148</f>
        <v>#DIV/0!:divZero</v>
      </c>
      <c t="str" s="70" r="V148">
        <f>Q148/X148</f>
        <v>#DIV/0!:divZero</v>
      </c>
      <c t="s" s="30" r="W148">
        <v>175</v>
      </c>
      <c s="30" r="X148">
        <v>0</v>
      </c>
      <c t="s" s="30" r="Y148">
        <v>104</v>
      </c>
      <c t="s" s="30" r="Z148">
        <v>42</v>
      </c>
      <c s="30" r="AA148">
        <v>0</v>
      </c>
      <c s="30" r="AB148">
        <v>0</v>
      </c>
      <c s="30" r="AC148">
        <v>0</v>
      </c>
      <c s="30" r="AD148">
        <v>0</v>
      </c>
      <c s="30" r="AE148"/>
      <c t="str" s="8" r="AF148">
        <f>(I148+J148)/R148</f>
        <v>#VALUE!:notNumber:NA</v>
      </c>
      <c t="str" s="28" r="AG148">
        <f>G148/$X148</f>
        <v>#DIV/0!:divZero</v>
      </c>
      <c t="str" s="28" r="AH148">
        <f>H148/$X148</f>
        <v>#DIV/0!:divZero</v>
      </c>
      <c t="str" s="28" r="AI148">
        <f>I148/$X148</f>
        <v>#DIV/0!:divZero</v>
      </c>
      <c t="str" s="28" r="AJ148">
        <f>J148/$X148</f>
        <v>#DIV/0!:divZero</v>
      </c>
      <c t="str" s="28" r="AK148">
        <f>K148/$X148</f>
        <v>#DIV/0!:divZero</v>
      </c>
      <c s="30" r="AL148">
        <v>1</v>
      </c>
    </row>
    <row r="149">
      <c s="30" r="A149">
        <v>148</v>
      </c>
      <c t="s" s="30" r="B149">
        <v>55</v>
      </c>
      <c s="62" r="C149">
        <v>41573</v>
      </c>
      <c s="52" r="D149">
        <v>0.725694444444444</v>
      </c>
      <c s="55" r="E149">
        <f>46 * 0.03</f>
        <v>1.38</v>
      </c>
      <c s="55" r="F149"/>
      <c t="s" s="55" r="G149">
        <v>39</v>
      </c>
      <c t="s" s="55" r="H149">
        <v>39</v>
      </c>
      <c t="s" s="55" r="I149">
        <v>39</v>
      </c>
      <c t="s" s="55" r="J149">
        <v>39</v>
      </c>
      <c t="s" s="55" r="K149">
        <v>39</v>
      </c>
      <c s="80" r="L149">
        <v>0</v>
      </c>
      <c s="79" r="M149">
        <v>0</v>
      </c>
      <c s="79" r="N149">
        <v>0.76</v>
      </c>
      <c s="32" r="O149">
        <f>SUMIF(Sellables!$A$2:$A$11482, $A149, Sellables!$G$2:$G$11482)</f>
        <v>0</v>
      </c>
      <c s="32" r="P149">
        <f>SUMIF(Skills!$A$2:$A$9999, A149, Skills!$F$2:$F$9999)</f>
        <v>0</v>
      </c>
      <c s="14" r="Q149">
        <f>(N149+O149)+P149</f>
        <v>0.76</v>
      </c>
      <c s="23" r="R149">
        <f>(E149+L149)-M149</f>
        <v>1.38</v>
      </c>
      <c s="70" r="S149">
        <f>Q149-R149</f>
        <v>-0.62</v>
      </c>
      <c s="29" r="T149">
        <f> (Q149/R149) - 1</f>
        <v>-0.449275362318841</v>
      </c>
      <c t="str" s="70" r="U149">
        <f>R149/X149</f>
        <v>#DIV/0!:divZero</v>
      </c>
      <c t="str" s="70" r="V149">
        <f>Q149/X149</f>
        <v>#DIV/0!:divZero</v>
      </c>
      <c t="s" s="30" r="W149">
        <v>147</v>
      </c>
      <c s="30" r="X149">
        <v>0</v>
      </c>
      <c t="s" s="30" r="Y149">
        <v>104</v>
      </c>
      <c t="s" s="30" r="Z149">
        <v>42</v>
      </c>
      <c s="30" r="AA149">
        <v>0</v>
      </c>
      <c s="30" r="AB149">
        <v>0</v>
      </c>
      <c s="30" r="AC149">
        <v>0</v>
      </c>
      <c s="30" r="AD149">
        <v>0</v>
      </c>
      <c s="30" r="AE149"/>
      <c t="str" s="8" r="AF149">
        <f>(I149+J149)/R149</f>
        <v>#VALUE!:notNumber:NA</v>
      </c>
      <c t="str" s="28" r="AG149">
        <f>G149/$X149</f>
        <v>#DIV/0!:divZero</v>
      </c>
      <c t="str" s="28" r="AH149">
        <f>H149/$X149</f>
        <v>#DIV/0!:divZero</v>
      </c>
      <c t="str" s="28" r="AI149">
        <f>I149/$X149</f>
        <v>#DIV/0!:divZero</v>
      </c>
      <c t="str" s="28" r="AJ149">
        <f>J149/$X149</f>
        <v>#DIV/0!:divZero</v>
      </c>
      <c t="str" s="28" r="AK149">
        <f>K149/$X149</f>
        <v>#DIV/0!:divZero</v>
      </c>
      <c s="30" r="AL149">
        <v>1</v>
      </c>
    </row>
    <row r="150">
      <c s="30" r="A150">
        <v>149</v>
      </c>
      <c t="s" s="30" r="B150">
        <v>55</v>
      </c>
      <c s="62" r="C150">
        <v>41573</v>
      </c>
      <c s="52" r="D150">
        <v>0.725694444444444</v>
      </c>
      <c s="55" r="E150">
        <f>8 * 1.15</f>
        <v>9.2</v>
      </c>
      <c s="55" r="F150"/>
      <c t="s" s="55" r="G150">
        <v>39</v>
      </c>
      <c t="s" s="55" r="H150">
        <v>39</v>
      </c>
      <c t="s" s="55" r="I150">
        <v>39</v>
      </c>
      <c t="s" s="55" r="J150">
        <v>39</v>
      </c>
      <c t="s" s="55" r="K150">
        <v>39</v>
      </c>
      <c s="80" r="L150">
        <v>0</v>
      </c>
      <c s="79" r="M150">
        <v>0</v>
      </c>
      <c s="79" r="N150">
        <v>7.05</v>
      </c>
      <c s="32" r="O150">
        <f>SUMIF(Sellables!$A$2:$A$11482, $A150, Sellables!$G$2:$G$11482)</f>
        <v>0</v>
      </c>
      <c s="32" r="P150">
        <f>SUMIF(Skills!$A$2:$A$9999, A150, Skills!$F$2:$F$9999)</f>
        <v>0</v>
      </c>
      <c s="14" r="Q150">
        <f>(N150+O150)+P150</f>
        <v>7.05</v>
      </c>
      <c s="23" r="R150">
        <f>(E150+L150)-M150</f>
        <v>9.2</v>
      </c>
      <c s="70" r="S150">
        <f>Q150-R150</f>
        <v>-2.15</v>
      </c>
      <c s="29" r="T150">
        <f> (Q150/R150) - 1</f>
        <v>-0.233695652173913</v>
      </c>
      <c t="str" s="70" r="U150">
        <f>R150/X150</f>
        <v>#DIV/0!:divZero</v>
      </c>
      <c t="str" s="70" r="V150">
        <f>Q150/X150</f>
        <v>#DIV/0!:divZero</v>
      </c>
      <c t="s" s="30" r="W150">
        <v>68</v>
      </c>
      <c s="30" r="X150">
        <v>0</v>
      </c>
      <c t="s" s="30" r="Y150">
        <v>104</v>
      </c>
      <c t="s" s="30" r="Z150">
        <v>42</v>
      </c>
      <c s="30" r="AA150">
        <v>0</v>
      </c>
      <c s="30" r="AB150">
        <v>0</v>
      </c>
      <c s="30" r="AC150">
        <v>0</v>
      </c>
      <c s="30" r="AD150">
        <v>0</v>
      </c>
      <c s="30" r="AE150"/>
      <c t="str" s="8" r="AF150">
        <f>(I150+J150)/R150</f>
        <v>#VALUE!:notNumber:NA</v>
      </c>
      <c t="str" s="28" r="AG150">
        <f>G150/$X150</f>
        <v>#DIV/0!:divZero</v>
      </c>
      <c t="str" s="28" r="AH150">
        <f>H150/$X150</f>
        <v>#DIV/0!:divZero</v>
      </c>
      <c t="str" s="28" r="AI150">
        <f>I150/$X150</f>
        <v>#DIV/0!:divZero</v>
      </c>
      <c t="str" s="28" r="AJ150">
        <f>J150/$X150</f>
        <v>#DIV/0!:divZero</v>
      </c>
      <c t="str" s="28" r="AK150">
        <f>K150/$X150</f>
        <v>#DIV/0!:divZero</v>
      </c>
      <c s="30" r="AL150">
        <v>1</v>
      </c>
    </row>
    <row r="151">
      <c s="30" r="A151">
        <v>150</v>
      </c>
      <c t="s" s="30" r="B151">
        <v>55</v>
      </c>
      <c s="62" r="C151">
        <v>41573</v>
      </c>
      <c s="52" r="D151">
        <v>0.739583333333333</v>
      </c>
      <c s="55" r="E151">
        <f>55*0.76</f>
        <v>41.8</v>
      </c>
      <c s="55" r="F151"/>
      <c t="s" s="55" r="G151">
        <v>39</v>
      </c>
      <c t="s" s="55" r="H151">
        <v>39</v>
      </c>
      <c t="s" s="55" r="I151">
        <v>39</v>
      </c>
      <c t="s" s="55" r="J151">
        <v>39</v>
      </c>
      <c t="s" s="55" r="K151">
        <v>39</v>
      </c>
      <c s="80" r="L151">
        <v>0</v>
      </c>
      <c s="79" r="M151">
        <v>0</v>
      </c>
      <c s="79" r="N151">
        <v>69.56</v>
      </c>
      <c s="32" r="O151">
        <f>SUMIF(Sellables!$A$2:$A$11482, $A151, Sellables!$G$2:$G$11482)</f>
        <v>0</v>
      </c>
      <c s="32" r="P151">
        <f>SUMIF(Skills!$A$2:$A$9999, A151, Skills!$F$2:$F$9999)</f>
        <v>0</v>
      </c>
      <c s="14" r="Q151">
        <f>(N151+O151)+P151</f>
        <v>69.56</v>
      </c>
      <c s="23" r="R151">
        <f>(E151+L151)-M151</f>
        <v>41.8</v>
      </c>
      <c s="70" r="S151">
        <f>Q151-R151</f>
        <v>27.76</v>
      </c>
      <c s="29" r="T151">
        <f> (Q151/R151) - 1</f>
        <v>0.664114832535885</v>
      </c>
      <c t="str" s="70" r="U151">
        <f>R151/X151</f>
        <v>#DIV/0!:divZero</v>
      </c>
      <c t="str" s="70" r="V151">
        <f>Q151/X151</f>
        <v>#DIV/0!:divZero</v>
      </c>
      <c t="s" s="30" r="W151">
        <v>68</v>
      </c>
      <c s="30" r="X151">
        <v>0</v>
      </c>
      <c t="s" s="30" r="Y151">
        <v>104</v>
      </c>
      <c t="s" s="30" r="Z151">
        <v>42</v>
      </c>
      <c s="30" r="AA151">
        <v>0</v>
      </c>
      <c s="30" r="AB151">
        <v>0</v>
      </c>
      <c s="30" r="AC151">
        <v>0</v>
      </c>
      <c s="30" r="AD151">
        <v>0</v>
      </c>
      <c s="30" r="AE151"/>
      <c t="str" s="8" r="AF151">
        <f>(I151+J151)/R151</f>
        <v>#VALUE!:notNumber:NA</v>
      </c>
      <c t="str" s="28" r="AG151">
        <f>G151/$X151</f>
        <v>#DIV/0!:divZero</v>
      </c>
      <c t="str" s="28" r="AH151">
        <f>H151/$X151</f>
        <v>#DIV/0!:divZero</v>
      </c>
      <c t="str" s="28" r="AI151">
        <f>I151/$X151</f>
        <v>#DIV/0!:divZero</v>
      </c>
      <c t="str" s="28" r="AJ151">
        <f>J151/$X151</f>
        <v>#DIV/0!:divZero</v>
      </c>
      <c t="str" s="28" r="AK151">
        <f>K151/$X151</f>
        <v>#DIV/0!:divZero</v>
      </c>
      <c s="30" r="AL151">
        <v>1</v>
      </c>
    </row>
    <row r="152">
      <c s="30" r="A152">
        <v>151</v>
      </c>
      <c t="s" s="30" r="B152">
        <v>38</v>
      </c>
      <c s="62" r="C152">
        <v>41573</v>
      </c>
      <c s="52" r="D152">
        <v>0.75</v>
      </c>
      <c s="55" r="E152">
        <v>500</v>
      </c>
      <c s="55" r="F152"/>
      <c t="s" s="55" r="G152">
        <v>39</v>
      </c>
      <c t="s" s="55" r="H152">
        <v>39</v>
      </c>
      <c t="s" s="55" r="I152">
        <v>39</v>
      </c>
      <c t="s" s="55" r="J152">
        <v>39</v>
      </c>
      <c t="s" s="55" r="K152">
        <v>39</v>
      </c>
      <c s="80" r="L152">
        <v>94.54</v>
      </c>
      <c s="79" r="M152">
        <v>216.22</v>
      </c>
      <c s="79" r="N152">
        <v>267.87</v>
      </c>
      <c s="32" r="O152">
        <f>SUMIF(Sellables!$A$2:$A$11482, $A152, Sellables!$G$2:$G$11482)</f>
        <v>29.45</v>
      </c>
      <c s="32" r="P152">
        <f>SUMIF(Skills!$A$2:$A$9999, A152, Skills!$F$2:$F$9999)</f>
        <v>0</v>
      </c>
      <c s="14" r="Q152">
        <f>(N152+O152)+P152</f>
        <v>297.32</v>
      </c>
      <c s="23" r="R152">
        <f>(E152+L152)-M152</f>
        <v>378.32</v>
      </c>
      <c s="70" r="S152">
        <f>Q152-R152</f>
        <v>-80.9999999999999</v>
      </c>
      <c s="29" r="T152">
        <f> (Q152/R152) - 1</f>
        <v>-0.214104461831254</v>
      </c>
      <c t="str" s="70" r="U152">
        <f>R152/X152</f>
        <v>#DIV/0!:divZero</v>
      </c>
      <c t="str" s="70" r="V152">
        <f>Q152/X152</f>
        <v>#DIV/0!:divZero</v>
      </c>
      <c t="s" s="30" r="W152">
        <v>151</v>
      </c>
      <c s="30" r="X152">
        <v>0</v>
      </c>
      <c t="s" s="30" r="Y152">
        <v>174</v>
      </c>
      <c t="s" s="30" r="Z152">
        <v>42</v>
      </c>
      <c s="30" r="AA152">
        <v>0</v>
      </c>
      <c s="30" r="AB152">
        <v>0</v>
      </c>
      <c s="30" r="AC152">
        <v>0</v>
      </c>
      <c s="30" r="AD152">
        <v>0</v>
      </c>
      <c s="30" r="AE152"/>
      <c t="str" s="8" r="AF152">
        <f>(I152+J152)/R152</f>
        <v>#VALUE!:notNumber:NA</v>
      </c>
      <c t="str" s="28" r="AG152">
        <f>G152/$X152</f>
        <v>#DIV/0!:divZero</v>
      </c>
      <c t="str" s="28" r="AH152">
        <f>H152/$X152</f>
        <v>#DIV/0!:divZero</v>
      </c>
      <c t="str" s="28" r="AI152">
        <f>I152/$X152</f>
        <v>#DIV/0!:divZero</v>
      </c>
      <c t="str" s="28" r="AJ152">
        <f>J152/$X152</f>
        <v>#DIV/0!:divZero</v>
      </c>
      <c t="str" s="28" r="AK152">
        <f>K152/$X152</f>
        <v>#DIV/0!:divZero</v>
      </c>
      <c s="30" r="AL152">
        <v>1</v>
      </c>
    </row>
    <row r="153">
      <c s="30" r="A153">
        <v>152</v>
      </c>
      <c t="s" s="30" r="B153">
        <v>55</v>
      </c>
      <c s="62" r="C153">
        <v>41573</v>
      </c>
      <c s="52" r="D153">
        <v>0.809027777777778</v>
      </c>
      <c s="55" r="E153">
        <f>94*1.15</f>
        <v>108.1</v>
      </c>
      <c s="55" r="F153"/>
      <c t="s" s="55" r="G153">
        <v>39</v>
      </c>
      <c t="s" s="55" r="H153">
        <v>39</v>
      </c>
      <c t="s" s="55" r="I153">
        <v>39</v>
      </c>
      <c t="s" s="55" r="J153">
        <v>39</v>
      </c>
      <c t="s" s="55" r="K153">
        <v>39</v>
      </c>
      <c s="80" r="L153">
        <v>0</v>
      </c>
      <c s="79" r="M153">
        <v>0</v>
      </c>
      <c s="79" r="N153">
        <f>103.50-35</f>
        <v>68.5</v>
      </c>
      <c s="32" r="O153">
        <f>SUMIF(Sellables!$A$2:$A$11482, $A153, Sellables!$G$2:$G$11482)</f>
        <v>38</v>
      </c>
      <c s="32" r="P153">
        <f>SUMIF(Skills!$A$2:$A$9999, A153, Skills!$F$2:$F$9999)</f>
        <v>0</v>
      </c>
      <c s="14" r="Q153">
        <f>(N153+O153)+P153</f>
        <v>106.5</v>
      </c>
      <c s="23" r="R153">
        <f>(E153+L153)-M153</f>
        <v>108.1</v>
      </c>
      <c s="70" r="S153">
        <f>Q153-R153</f>
        <v>-1.59999999999999</v>
      </c>
      <c s="29" r="T153">
        <f> (Q153/R153) - 1</f>
        <v>-0.014801110083256</v>
      </c>
      <c t="str" s="70" r="U153">
        <f>R153/X153</f>
        <v>#DIV/0!:divZero</v>
      </c>
      <c t="str" s="70" r="V153">
        <f>Q153/X153</f>
        <v>#DIV/0!:divZero</v>
      </c>
      <c t="s" s="30" r="W153">
        <v>68</v>
      </c>
      <c s="30" r="X153">
        <v>0</v>
      </c>
      <c t="s" s="30" r="Y153">
        <v>104</v>
      </c>
      <c t="s" s="30" r="Z153">
        <v>42</v>
      </c>
      <c s="30" r="AA153">
        <v>0</v>
      </c>
      <c s="30" r="AB153">
        <v>0</v>
      </c>
      <c s="30" r="AC153">
        <v>0</v>
      </c>
      <c s="30" r="AD153">
        <v>0</v>
      </c>
      <c s="30" r="AE153"/>
      <c t="str" s="8" r="AF153">
        <f>(I153+J153)/R153</f>
        <v>#VALUE!:notNumber:NA</v>
      </c>
      <c t="str" s="28" r="AG153">
        <f>G153/$X153</f>
        <v>#DIV/0!:divZero</v>
      </c>
      <c t="str" s="28" r="AH153">
        <f>H153/$X153</f>
        <v>#DIV/0!:divZero</v>
      </c>
      <c t="str" s="28" r="AI153">
        <f>I153/$X153</f>
        <v>#DIV/0!:divZero</v>
      </c>
      <c t="str" s="28" r="AJ153">
        <f>J153/$X153</f>
        <v>#DIV/0!:divZero</v>
      </c>
      <c t="str" s="28" r="AK153">
        <f>K153/$X153</f>
        <v>#DIV/0!:divZero</v>
      </c>
      <c s="30" r="AL153">
        <v>1</v>
      </c>
    </row>
    <row r="154">
      <c s="30" r="A154">
        <v>153</v>
      </c>
      <c t="s" s="30" r="B154">
        <v>55</v>
      </c>
      <c s="62" r="C154">
        <v>41573</v>
      </c>
      <c s="52" r="D154">
        <v>0.809027777777778</v>
      </c>
      <c s="55" r="E154">
        <f>6*1.53</f>
        <v>9.18</v>
      </c>
      <c s="55" r="F154"/>
      <c t="s" s="55" r="G154">
        <v>39</v>
      </c>
      <c t="s" s="55" r="H154">
        <v>39</v>
      </c>
      <c t="s" s="55" r="I154">
        <v>39</v>
      </c>
      <c t="s" s="55" r="J154">
        <v>39</v>
      </c>
      <c t="s" s="55" r="K154">
        <v>39</v>
      </c>
      <c s="80" r="L154">
        <v>0</v>
      </c>
      <c s="79" r="M154">
        <v>0</v>
      </c>
      <c s="79" r="N154">
        <v>8.16</v>
      </c>
      <c s="32" r="O154">
        <f>SUMIF(Sellables!$A$2:$A$11482, $A154, Sellables!$G$2:$G$11482)</f>
        <v>0</v>
      </c>
      <c s="32" r="P154">
        <f>SUMIF(Skills!$A$2:$A$9999, A154, Skills!$F$2:$F$9999)</f>
        <v>0</v>
      </c>
      <c s="14" r="Q154">
        <f>(N154+O154)+P154</f>
        <v>8.16</v>
      </c>
      <c s="23" r="R154">
        <f>(E154+L154)-M154</f>
        <v>9.18</v>
      </c>
      <c s="70" r="S154">
        <f>Q154-R154</f>
        <v>-1.02</v>
      </c>
      <c s="29" r="T154">
        <f> (Q154/R154) - 1</f>
        <v>-0.111111111111111</v>
      </c>
      <c t="str" s="70" r="U154">
        <f>R154/X154</f>
        <v>#DIV/0!:divZero</v>
      </c>
      <c t="str" s="70" r="V154">
        <f>Q154/X154</f>
        <v>#DIV/0!:divZero</v>
      </c>
      <c t="s" s="30" r="W154">
        <v>176</v>
      </c>
      <c s="30" r="X154">
        <v>0</v>
      </c>
      <c t="s" s="30" r="Y154">
        <v>104</v>
      </c>
      <c t="s" s="30" r="Z154">
        <v>42</v>
      </c>
      <c s="30" r="AA154">
        <v>0</v>
      </c>
      <c s="30" r="AB154">
        <v>0</v>
      </c>
      <c s="30" r="AC154">
        <v>0</v>
      </c>
      <c s="30" r="AD154">
        <v>0</v>
      </c>
      <c s="30" r="AE154"/>
      <c t="str" s="8" r="AF154">
        <f>(I154+J154)/R154</f>
        <v>#VALUE!:notNumber:NA</v>
      </c>
      <c t="str" s="28" r="AG154">
        <f>G154/$X154</f>
        <v>#DIV/0!:divZero</v>
      </c>
      <c t="str" s="28" r="AH154">
        <f>H154/$X154</f>
        <v>#DIV/0!:divZero</v>
      </c>
      <c t="str" s="28" r="AI154">
        <f>I154/$X154</f>
        <v>#DIV/0!:divZero</v>
      </c>
      <c t="str" s="28" r="AJ154">
        <f>J154/$X154</f>
        <v>#DIV/0!:divZero</v>
      </c>
      <c t="str" s="28" r="AK154">
        <f>K154/$X154</f>
        <v>#DIV/0!:divZero</v>
      </c>
      <c s="30" r="AL154">
        <v>1</v>
      </c>
    </row>
    <row r="155">
      <c s="30" r="A155">
        <v>154</v>
      </c>
      <c t="s" s="30" r="B155">
        <v>55</v>
      </c>
      <c s="62" r="C155">
        <v>41573</v>
      </c>
      <c s="52" r="D155">
        <v>0.809027777777778</v>
      </c>
      <c s="55" r="E155">
        <f>3*1.47</f>
        <v>4.41</v>
      </c>
      <c s="55" r="F155"/>
      <c t="s" s="55" r="G155">
        <v>39</v>
      </c>
      <c t="s" s="55" r="H155">
        <v>39</v>
      </c>
      <c t="s" s="55" r="I155">
        <v>39</v>
      </c>
      <c t="s" s="55" r="J155">
        <v>39</v>
      </c>
      <c t="s" s="55" r="K155">
        <v>39</v>
      </c>
      <c s="80" r="L155">
        <v>0</v>
      </c>
      <c s="79" r="M155">
        <v>0</v>
      </c>
      <c s="79" r="N155">
        <v>3.41</v>
      </c>
      <c s="32" r="O155">
        <f>SUMIF(Sellables!$A$2:$A$11482, $A155, Sellables!$G$2:$G$11482)</f>
        <v>0</v>
      </c>
      <c s="32" r="P155">
        <f>SUMIF(Skills!$A$2:$A$9999, A155, Skills!$F$2:$F$9999)</f>
        <v>0</v>
      </c>
      <c s="14" r="Q155">
        <f>(N155+O155)+P155</f>
        <v>3.41</v>
      </c>
      <c s="23" r="R155">
        <f>(E155+L155)-M155</f>
        <v>4.41</v>
      </c>
      <c s="70" r="S155">
        <f>Q155-R155</f>
        <v>-1</v>
      </c>
      <c s="29" r="T155">
        <f> (Q155/R155) - 1</f>
        <v>-0.226757369614512</v>
      </c>
      <c t="str" s="70" r="U155">
        <f>R155/X155</f>
        <v>#DIV/0!:divZero</v>
      </c>
      <c t="str" s="70" r="V155">
        <f>Q155/X155</f>
        <v>#DIV/0!:divZero</v>
      </c>
      <c t="s" s="30" r="W155">
        <v>177</v>
      </c>
      <c s="30" r="X155">
        <v>0</v>
      </c>
      <c t="s" s="30" r="Y155">
        <v>104</v>
      </c>
      <c t="s" s="30" r="Z155">
        <v>42</v>
      </c>
      <c s="30" r="AA155">
        <v>0</v>
      </c>
      <c s="30" r="AB155">
        <v>0</v>
      </c>
      <c s="30" r="AC155">
        <v>0</v>
      </c>
      <c s="30" r="AD155">
        <v>0</v>
      </c>
      <c s="30" r="AE155"/>
      <c t="str" s="8" r="AF155">
        <f>(I155+J155)/R155</f>
        <v>#VALUE!:notNumber:NA</v>
      </c>
      <c t="str" s="28" r="AG155">
        <f>G155/$X155</f>
        <v>#DIV/0!:divZero</v>
      </c>
      <c t="str" s="28" r="AH155">
        <f>H155/$X155</f>
        <v>#DIV/0!:divZero</v>
      </c>
      <c t="str" s="28" r="AI155">
        <f>I155/$X155</f>
        <v>#DIV/0!:divZero</v>
      </c>
      <c t="str" s="28" r="AJ155">
        <f>J155/$X155</f>
        <v>#DIV/0!:divZero</v>
      </c>
      <c t="str" s="28" r="AK155">
        <f>K155/$X155</f>
        <v>#DIV/0!:divZero</v>
      </c>
      <c s="30" r="AL155">
        <v>1</v>
      </c>
    </row>
    <row r="156">
      <c s="30" r="A156">
        <v>155</v>
      </c>
      <c t="s" s="30" r="B156">
        <v>55</v>
      </c>
      <c s="62" r="C156">
        <v>41573</v>
      </c>
      <c s="52" r="D156">
        <v>0.809027777777778</v>
      </c>
      <c s="55" r="E156">
        <f>9*0.61</f>
        <v>5.49</v>
      </c>
      <c s="55" r="F156"/>
      <c t="s" s="55" r="G156">
        <v>39</v>
      </c>
      <c t="s" s="55" r="H156">
        <v>39</v>
      </c>
      <c t="s" s="55" r="I156">
        <v>39</v>
      </c>
      <c t="s" s="55" r="J156">
        <v>39</v>
      </c>
      <c t="s" s="55" r="K156">
        <v>39</v>
      </c>
      <c s="80" r="L156">
        <v>0</v>
      </c>
      <c s="79" r="M156">
        <v>0</v>
      </c>
      <c s="79" r="N156">
        <v>1.72</v>
      </c>
      <c s="32" r="O156">
        <f>SUMIF(Sellables!$A$2:$A$11482, $A156, Sellables!$G$2:$G$11482)</f>
        <v>0</v>
      </c>
      <c s="32" r="P156">
        <f>SUMIF(Skills!$A$2:$A$9999, A156, Skills!$F$2:$F$9999)</f>
        <v>0</v>
      </c>
      <c s="14" r="Q156">
        <f>(N156+O156)+P156</f>
        <v>1.72</v>
      </c>
      <c s="23" r="R156">
        <f>(E156+L156)-M156</f>
        <v>5.49</v>
      </c>
      <c s="70" r="S156">
        <f>Q156-R156</f>
        <v>-3.77</v>
      </c>
      <c s="29" r="T156">
        <f> (Q156/R156) - 1</f>
        <v>-0.686703096539162</v>
      </c>
      <c t="str" s="70" r="U156">
        <f>R156/X156</f>
        <v>#DIV/0!:divZero</v>
      </c>
      <c t="str" s="70" r="V156">
        <f>Q156/X156</f>
        <v>#DIV/0!:divZero</v>
      </c>
      <c t="s" s="30" r="W156">
        <v>98</v>
      </c>
      <c s="30" r="X156">
        <v>0</v>
      </c>
      <c t="s" s="30" r="Y156">
        <v>104</v>
      </c>
      <c t="s" s="30" r="Z156">
        <v>42</v>
      </c>
      <c s="30" r="AA156">
        <v>0</v>
      </c>
      <c s="30" r="AB156">
        <v>0</v>
      </c>
      <c s="30" r="AC156">
        <v>0</v>
      </c>
      <c s="30" r="AD156">
        <v>0</v>
      </c>
      <c s="30" r="AE156"/>
      <c t="str" s="8" r="AF156">
        <f>(I156+J156)/R156</f>
        <v>#VALUE!:notNumber:NA</v>
      </c>
      <c t="str" s="28" r="AG156">
        <f>G156/$X156</f>
        <v>#DIV/0!:divZero</v>
      </c>
      <c t="str" s="28" r="AH156">
        <f>H156/$X156</f>
        <v>#DIV/0!:divZero</v>
      </c>
      <c t="str" s="28" r="AI156">
        <f>I156/$X156</f>
        <v>#DIV/0!:divZero</v>
      </c>
      <c t="str" s="28" r="AJ156">
        <f>J156/$X156</f>
        <v>#DIV/0!:divZero</v>
      </c>
      <c t="str" s="28" r="AK156">
        <f>K156/$X156</f>
        <v>#DIV/0!:divZero</v>
      </c>
      <c s="30" r="AL156">
        <v>1</v>
      </c>
    </row>
    <row r="157">
      <c s="30" r="A157">
        <v>156</v>
      </c>
      <c t="s" s="30" r="B157">
        <v>55</v>
      </c>
      <c s="62" r="C157">
        <v>41573</v>
      </c>
      <c s="52" r="D157">
        <v>0.809027777777778</v>
      </c>
      <c s="55" r="E157">
        <f>540*0.70</f>
        <v>378</v>
      </c>
      <c s="55" r="F157"/>
      <c t="s" s="55" r="G157">
        <v>39</v>
      </c>
      <c t="s" s="55" r="H157">
        <v>39</v>
      </c>
      <c t="s" s="55" r="I157">
        <v>39</v>
      </c>
      <c t="s" s="55" r="J157">
        <v>39</v>
      </c>
      <c t="s" s="55" r="K157">
        <v>39</v>
      </c>
      <c s="80" r="L157">
        <v>0</v>
      </c>
      <c s="79" r="M157">
        <v>0</v>
      </c>
      <c s="79" r="N157">
        <f>382.14-154.20</f>
        <v>227.94</v>
      </c>
      <c s="32" r="O157">
        <f>SUMIF(Sellables!$A$2:$A$11482, $A157, Sellables!$G$2:$G$11482)</f>
        <v>166.12</v>
      </c>
      <c s="32" r="P157">
        <f>SUMIF(Skills!$A$2:$A$9999, A157, Skills!$F$2:$F$9999)</f>
        <v>0</v>
      </c>
      <c s="14" r="Q157">
        <f>(N157+O157)+P157</f>
        <v>394.06</v>
      </c>
      <c s="23" r="R157">
        <f>(E157+L157)-M157</f>
        <v>378</v>
      </c>
      <c s="70" r="S157">
        <f>Q157-R157</f>
        <v>16.06</v>
      </c>
      <c s="29" r="T157">
        <f> (Q157/R157) - 1</f>
        <v>0.042486772486773</v>
      </c>
      <c t="str" s="70" r="U157">
        <f>R157/X157</f>
        <v>#DIV/0!:divZero</v>
      </c>
      <c t="str" s="70" r="V157">
        <f>Q157/X157</f>
        <v>#DIV/0!:divZero</v>
      </c>
      <c t="s" s="30" r="W157">
        <v>56</v>
      </c>
      <c s="30" r="X157">
        <v>0</v>
      </c>
      <c t="s" s="30" r="Y157">
        <v>104</v>
      </c>
      <c t="s" s="30" r="Z157">
        <v>42</v>
      </c>
      <c s="30" r="AA157">
        <v>0</v>
      </c>
      <c s="30" r="AB157">
        <v>0</v>
      </c>
      <c s="30" r="AC157">
        <v>0</v>
      </c>
      <c s="30" r="AD157">
        <v>0</v>
      </c>
      <c s="30" r="AE157"/>
      <c t="str" s="8" r="AF157">
        <f>(I157+J157)/R157</f>
        <v>#VALUE!:notNumber:NA</v>
      </c>
      <c t="str" s="28" r="AG157">
        <f>G157/$X157</f>
        <v>#DIV/0!:divZero</v>
      </c>
      <c t="str" s="28" r="AH157">
        <f>H157/$X157</f>
        <v>#DIV/0!:divZero</v>
      </c>
      <c t="str" s="28" r="AI157">
        <f>I157/$X157</f>
        <v>#DIV/0!:divZero</v>
      </c>
      <c t="str" s="28" r="AJ157">
        <f>J157/$X157</f>
        <v>#DIV/0!:divZero</v>
      </c>
      <c t="str" s="28" r="AK157">
        <f>K157/$X157</f>
        <v>#DIV/0!:divZero</v>
      </c>
      <c s="30" r="AL157">
        <v>1</v>
      </c>
    </row>
    <row r="158">
      <c s="30" r="A158">
        <v>157</v>
      </c>
      <c t="s" s="30" r="B158">
        <v>55</v>
      </c>
      <c s="62" r="C158">
        <v>41573</v>
      </c>
      <c s="52" r="D158">
        <v>0.854166666666667</v>
      </c>
      <c s="55" r="E158">
        <f>141*0.07</f>
        <v>9.87</v>
      </c>
      <c s="55" r="F158"/>
      <c t="s" s="55" r="G158">
        <v>39</v>
      </c>
      <c t="s" s="55" r="H158">
        <v>39</v>
      </c>
      <c t="s" s="55" r="I158">
        <v>39</v>
      </c>
      <c t="s" s="55" r="J158">
        <v>39</v>
      </c>
      <c t="s" s="55" r="K158">
        <v>39</v>
      </c>
      <c s="80" r="L158">
        <v>0</v>
      </c>
      <c s="79" r="M158">
        <v>0</v>
      </c>
      <c s="79" r="N158">
        <v>23.45</v>
      </c>
      <c s="32" r="O158">
        <f>SUMIF(Sellables!$A$2:$A$11482, $A158, Sellables!$G$2:$G$11482)</f>
        <v>0</v>
      </c>
      <c s="32" r="P158">
        <f>SUMIF(Skills!$A$2:$A$9999, A158, Skills!$F$2:$F$9999)</f>
        <v>0</v>
      </c>
      <c s="14" r="Q158">
        <f>(N158+O158)+P158</f>
        <v>23.45</v>
      </c>
      <c s="23" r="R158">
        <f>(E158+L158)-M158</f>
        <v>9.87</v>
      </c>
      <c s="70" r="S158">
        <f>Q158-R158</f>
        <v>13.58</v>
      </c>
      <c s="29" r="T158">
        <f> (Q158/R158) - 1</f>
        <v>1.37588652482269</v>
      </c>
      <c t="str" s="70" r="U158">
        <f>R158/X158</f>
        <v>#DIV/0!:divZero</v>
      </c>
      <c t="str" s="70" r="V158">
        <f>Q158/X158</f>
        <v>#DIV/0!:divZero</v>
      </c>
      <c t="s" s="30" r="W158">
        <v>171</v>
      </c>
      <c s="30" r="X158">
        <v>0</v>
      </c>
      <c t="s" s="30" r="Y158">
        <v>104</v>
      </c>
      <c t="s" s="30" r="Z158">
        <v>42</v>
      </c>
      <c s="30" r="AA158">
        <v>0</v>
      </c>
      <c s="30" r="AB158">
        <v>0</v>
      </c>
      <c s="30" r="AC158">
        <v>0</v>
      </c>
      <c s="30" r="AD158">
        <v>0</v>
      </c>
      <c s="30" r="AE158"/>
      <c t="str" s="8" r="AF158">
        <f>(I158+J158)/R158</f>
        <v>#VALUE!:notNumber:NA</v>
      </c>
      <c t="str" s="28" r="AG158">
        <f>G158/$X158</f>
        <v>#DIV/0!:divZero</v>
      </c>
      <c t="str" s="28" r="AH158">
        <f>H158/$X158</f>
        <v>#DIV/0!:divZero</v>
      </c>
      <c t="str" s="28" r="AI158">
        <f>I158/$X158</f>
        <v>#DIV/0!:divZero</v>
      </c>
      <c t="str" s="28" r="AJ158">
        <f>J158/$X158</f>
        <v>#DIV/0!:divZero</v>
      </c>
      <c t="str" s="28" r="AK158">
        <f>K158/$X158</f>
        <v>#DIV/0!:divZero</v>
      </c>
      <c s="30" r="AL158">
        <v>1</v>
      </c>
    </row>
    <row r="159">
      <c s="30" r="A159">
        <v>158</v>
      </c>
      <c t="s" s="30" r="B159">
        <v>55</v>
      </c>
      <c s="62" r="C159">
        <v>41573</v>
      </c>
      <c s="52" r="D159">
        <v>0.875</v>
      </c>
      <c s="55" r="E159">
        <f>89+184</f>
        <v>273</v>
      </c>
      <c s="55" r="F159"/>
      <c t="s" s="55" r="G159">
        <v>39</v>
      </c>
      <c t="s" s="55" r="H159">
        <v>39</v>
      </c>
      <c t="s" s="55" r="I159">
        <v>39</v>
      </c>
      <c t="s" s="55" r="J159">
        <v>39</v>
      </c>
      <c t="s" s="55" r="K159">
        <v>39</v>
      </c>
      <c s="80" r="L159">
        <v>0</v>
      </c>
      <c s="79" r="M159">
        <v>0</v>
      </c>
      <c s="79" r="N159">
        <f>263.59-228</f>
        <v>35.59</v>
      </c>
      <c s="32" r="O159">
        <f>SUMIF(Sellables!$A$2:$A$11482, $A159, Sellables!$G$2:$G$11482)</f>
        <v>250.42</v>
      </c>
      <c s="32" r="P159">
        <f>SUMIF(Skills!$A$2:$A$9999, A159, Skills!$F$2:$F$9999)</f>
        <v>0</v>
      </c>
      <c s="14" r="Q159">
        <f>(N159+O159)+P159</f>
        <v>286.01</v>
      </c>
      <c s="23" r="R159">
        <f>(E159+L159)-M159</f>
        <v>273</v>
      </c>
      <c s="70" r="S159">
        <f>Q159-R159</f>
        <v>13.01</v>
      </c>
      <c s="29" r="T159">
        <f> (Q159/R159) - 1</f>
        <v>0.047655677655678</v>
      </c>
      <c t="str" s="70" r="U159">
        <f>R159/X159</f>
        <v>#DIV/0!:divZero</v>
      </c>
      <c t="str" s="70" r="V159">
        <f>Q159/X159</f>
        <v>#DIV/0!:divZero</v>
      </c>
      <c t="s" s="30" r="W159">
        <v>178</v>
      </c>
      <c s="30" r="X159">
        <v>0</v>
      </c>
      <c t="s" s="30" r="Y159">
        <v>104</v>
      </c>
      <c t="s" s="30" r="Z159">
        <v>42</v>
      </c>
      <c s="30" r="AA159">
        <v>0</v>
      </c>
      <c s="30" r="AB159">
        <v>0</v>
      </c>
      <c s="30" r="AC159">
        <v>0</v>
      </c>
      <c s="30" r="AD159">
        <v>0</v>
      </c>
      <c s="30" r="AE159"/>
      <c t="str" s="8" r="AF159">
        <f>(I159+J159)/R159</f>
        <v>#VALUE!:notNumber:NA</v>
      </c>
      <c t="str" s="28" r="AG159">
        <f>G159/$X159</f>
        <v>#DIV/0!:divZero</v>
      </c>
      <c t="str" s="28" r="AH159">
        <f>H159/$X159</f>
        <v>#DIV/0!:divZero</v>
      </c>
      <c t="str" s="28" r="AI159">
        <f>I159/$X159</f>
        <v>#DIV/0!:divZero</v>
      </c>
      <c t="str" s="28" r="AJ159">
        <f>J159/$X159</f>
        <v>#DIV/0!:divZero</v>
      </c>
      <c t="str" s="28" r="AK159">
        <f>K159/$X159</f>
        <v>#DIV/0!:divZero</v>
      </c>
      <c s="30" r="AL159">
        <v>1</v>
      </c>
    </row>
    <row r="160">
      <c s="30" r="A160">
        <v>159</v>
      </c>
      <c t="s" s="30" r="B160">
        <v>55</v>
      </c>
      <c s="62" r="C160">
        <v>41573</v>
      </c>
      <c s="52" r="D160">
        <v>0.875</v>
      </c>
      <c s="55" r="E160">
        <f>73*0.34</f>
        <v>24.82</v>
      </c>
      <c s="55" r="F160"/>
      <c t="s" s="55" r="G160">
        <v>39</v>
      </c>
      <c t="s" s="55" r="H160">
        <v>39</v>
      </c>
      <c t="s" s="55" r="I160">
        <v>39</v>
      </c>
      <c t="s" s="55" r="J160">
        <v>39</v>
      </c>
      <c t="s" s="55" r="K160">
        <v>39</v>
      </c>
      <c s="80" r="L160">
        <v>0</v>
      </c>
      <c s="79" r="M160">
        <v>0</v>
      </c>
      <c s="79" r="N160">
        <v>19.4</v>
      </c>
      <c s="32" r="O160">
        <f>SUMIF(Sellables!$A$2:$A$11482, $A160, Sellables!$G$2:$G$11482)</f>
        <v>0</v>
      </c>
      <c s="32" r="P160">
        <f>SUMIF(Skills!$A$2:$A$9999, A160, Skills!$F$2:$F$9999)</f>
        <v>0</v>
      </c>
      <c s="14" r="Q160">
        <f>(N160+O160)+P160</f>
        <v>19.4</v>
      </c>
      <c s="23" r="R160">
        <f>(E160+L160)-M160</f>
        <v>24.82</v>
      </c>
      <c s="70" r="S160">
        <f>Q160-R160</f>
        <v>-5.42</v>
      </c>
      <c s="29" r="T160">
        <f> (Q160/R160) - 1</f>
        <v>-0.218372280419017</v>
      </c>
      <c t="str" s="70" r="U160">
        <f>R160/X160</f>
        <v>#DIV/0!:divZero</v>
      </c>
      <c t="str" s="70" r="V160">
        <f>Q160/X160</f>
        <v>#DIV/0!:divZero</v>
      </c>
      <c t="s" s="30" r="W160">
        <v>127</v>
      </c>
      <c s="30" r="X160">
        <v>0</v>
      </c>
      <c t="s" s="30" r="Y160">
        <v>104</v>
      </c>
      <c t="s" s="30" r="Z160">
        <v>42</v>
      </c>
      <c s="30" r="AA160">
        <v>0</v>
      </c>
      <c s="30" r="AB160">
        <v>0</v>
      </c>
      <c s="30" r="AC160">
        <v>0</v>
      </c>
      <c s="30" r="AD160">
        <v>0</v>
      </c>
      <c s="30" r="AE160"/>
      <c t="str" s="8" r="AF160">
        <f>(I160+J160)/R160</f>
        <v>#VALUE!:notNumber:NA</v>
      </c>
      <c t="str" s="28" r="AG160">
        <f>G160/$X160</f>
        <v>#DIV/0!:divZero</v>
      </c>
      <c t="str" s="28" r="AH160">
        <f>H160/$X160</f>
        <v>#DIV/0!:divZero</v>
      </c>
      <c t="str" s="28" r="AI160">
        <f>I160/$X160</f>
        <v>#DIV/0!:divZero</v>
      </c>
      <c t="str" s="28" r="AJ160">
        <f>J160/$X160</f>
        <v>#DIV/0!:divZero</v>
      </c>
      <c t="str" s="28" r="AK160">
        <f>K160/$X160</f>
        <v>#DIV/0!:divZero</v>
      </c>
      <c s="30" r="AL160">
        <v>1</v>
      </c>
    </row>
    <row r="161">
      <c s="30" r="A161">
        <v>160</v>
      </c>
      <c t="s" s="30" r="B161">
        <v>55</v>
      </c>
      <c s="62" r="C161">
        <v>41573</v>
      </c>
      <c s="52" r="D161">
        <v>0.885416666666667</v>
      </c>
      <c s="55" r="E161">
        <f>46*0.42</f>
        <v>19.32</v>
      </c>
      <c s="55" r="F161"/>
      <c t="s" s="55" r="G161">
        <v>39</v>
      </c>
      <c t="s" s="55" r="H161">
        <v>39</v>
      </c>
      <c t="s" s="55" r="I161">
        <v>39</v>
      </c>
      <c t="s" s="55" r="J161">
        <v>39</v>
      </c>
      <c t="s" s="55" r="K161">
        <v>39</v>
      </c>
      <c s="80" r="L161">
        <v>0</v>
      </c>
      <c s="79" r="M161">
        <v>0</v>
      </c>
      <c s="79" r="N161">
        <v>30.65</v>
      </c>
      <c s="32" r="O161">
        <f>SUMIF(Sellables!$A$2:$A$11482, $A161, Sellables!$G$2:$G$11482)</f>
        <v>0</v>
      </c>
      <c s="32" r="P161">
        <f>SUMIF(Skills!$A$2:$A$9999, A161, Skills!$F$2:$F$9999)</f>
        <v>0</v>
      </c>
      <c s="14" r="Q161">
        <f>(N161+O161)+P161</f>
        <v>30.65</v>
      </c>
      <c s="23" r="R161">
        <f>(E161+L161)-M161</f>
        <v>19.32</v>
      </c>
      <c s="70" r="S161">
        <f>Q161-R161</f>
        <v>11.33</v>
      </c>
      <c s="29" r="T161">
        <f> (Q161/R161) - 1</f>
        <v>0.586438923395445</v>
      </c>
      <c t="str" s="70" r="U161">
        <f>R161/X161</f>
        <v>#DIV/0!:divZero</v>
      </c>
      <c t="str" s="70" r="V161">
        <f>Q161/X161</f>
        <v>#DIV/0!:divZero</v>
      </c>
      <c t="s" s="30" r="W161">
        <v>179</v>
      </c>
      <c s="30" r="X161">
        <v>0</v>
      </c>
      <c t="s" s="30" r="Y161">
        <v>104</v>
      </c>
      <c t="s" s="30" r="Z161">
        <v>42</v>
      </c>
      <c s="30" r="AA161">
        <v>0</v>
      </c>
      <c s="30" r="AB161">
        <v>0</v>
      </c>
      <c s="30" r="AC161">
        <v>0</v>
      </c>
      <c s="30" r="AD161">
        <v>0</v>
      </c>
      <c s="30" r="AE161"/>
      <c t="str" s="8" r="AF161">
        <f>(I161+J161)/R161</f>
        <v>#VALUE!:notNumber:NA</v>
      </c>
      <c t="str" s="28" r="AG161">
        <f>G161/$X161</f>
        <v>#DIV/0!:divZero</v>
      </c>
      <c t="str" s="28" r="AH161">
        <f>H161/$X161</f>
        <v>#DIV/0!:divZero</v>
      </c>
      <c t="str" s="28" r="AI161">
        <f>I161/$X161</f>
        <v>#DIV/0!:divZero</v>
      </c>
      <c t="str" s="28" r="AJ161">
        <f>J161/$X161</f>
        <v>#DIV/0!:divZero</v>
      </c>
      <c t="str" s="28" r="AK161">
        <f>K161/$X161</f>
        <v>#DIV/0!:divZero</v>
      </c>
      <c s="30" r="AL161">
        <v>1</v>
      </c>
    </row>
    <row r="162">
      <c s="30" r="A162">
        <v>161</v>
      </c>
      <c t="s" s="30" r="B162">
        <v>55</v>
      </c>
      <c s="62" r="C162">
        <v>41573</v>
      </c>
      <c s="52" r="D162">
        <v>0.909722222222222</v>
      </c>
      <c s="55" r="E162">
        <f>392*1.9</f>
        <v>744.8</v>
      </c>
      <c s="55" r="F162"/>
      <c t="s" s="55" r="G162">
        <v>39</v>
      </c>
      <c t="s" s="55" r="H162">
        <v>39</v>
      </c>
      <c t="s" s="55" r="I162">
        <v>39</v>
      </c>
      <c t="s" s="55" r="J162">
        <v>39</v>
      </c>
      <c t="s" s="55" r="K162">
        <v>39</v>
      </c>
      <c s="80" r="L162">
        <v>0</v>
      </c>
      <c s="79" r="M162">
        <v>0</v>
      </c>
      <c s="79" r="N162">
        <f>592.51-56.40</f>
        <v>536.11</v>
      </c>
      <c s="32" r="O162">
        <f>SUMIF(Sellables!$A$2:$A$11482, $A162, Sellables!$G$2:$G$11482)</f>
        <v>160.74</v>
      </c>
      <c s="32" r="P162">
        <f>SUMIF(Skills!$A$2:$A$9999, A162, Skills!$F$2:$F$9999)</f>
        <v>0</v>
      </c>
      <c s="14" r="Q162">
        <f>(N162+O162)+P162</f>
        <v>696.85</v>
      </c>
      <c s="23" r="R162">
        <f>(E162+L162)-M162</f>
        <v>744.8</v>
      </c>
      <c s="70" r="S162">
        <f>Q162-R162</f>
        <v>-47.9499999999999</v>
      </c>
      <c s="29" r="T162">
        <f> (Q162/R162) - 1</f>
        <v>-0.06437969924812</v>
      </c>
      <c t="str" s="70" r="U162">
        <f>R162/X162</f>
        <v>#DIV/0!:divZero</v>
      </c>
      <c t="str" s="70" r="V162">
        <f>Q162/X162</f>
        <v>#DIV/0!:divZero</v>
      </c>
      <c t="s" s="30" r="W162">
        <v>92</v>
      </c>
      <c s="30" r="X162">
        <v>0</v>
      </c>
      <c t="s" s="30" r="Y162">
        <v>104</v>
      </c>
      <c t="s" s="30" r="Z162">
        <v>42</v>
      </c>
      <c s="30" r="AA162">
        <v>0</v>
      </c>
      <c s="30" r="AB162">
        <v>0</v>
      </c>
      <c s="30" r="AC162">
        <v>0</v>
      </c>
      <c s="30" r="AD162">
        <v>0</v>
      </c>
      <c s="30" r="AE162"/>
      <c t="str" s="8" r="AF162">
        <f>(I162+J162)/R162</f>
        <v>#VALUE!:notNumber:NA</v>
      </c>
      <c t="str" s="28" r="AG162">
        <f>G162/$X162</f>
        <v>#DIV/0!:divZero</v>
      </c>
      <c t="str" s="28" r="AH162">
        <f>H162/$X162</f>
        <v>#DIV/0!:divZero</v>
      </c>
      <c t="str" s="28" r="AI162">
        <f>I162/$X162</f>
        <v>#DIV/0!:divZero</v>
      </c>
      <c t="str" s="28" r="AJ162">
        <f>J162/$X162</f>
        <v>#DIV/0!:divZero</v>
      </c>
      <c t="str" s="28" r="AK162">
        <f>K162/$X162</f>
        <v>#DIV/0!:divZero</v>
      </c>
      <c s="30" r="AL162">
        <v>1</v>
      </c>
    </row>
    <row r="163">
      <c s="30" r="A163">
        <v>162</v>
      </c>
      <c t="s" s="30" r="B163">
        <v>38</v>
      </c>
      <c s="62" r="C163">
        <v>41573</v>
      </c>
      <c s="52" r="D163">
        <v>0.958333333333333</v>
      </c>
      <c s="55" r="E163">
        <v>400</v>
      </c>
      <c s="55" r="F163"/>
      <c t="s" s="55" r="G163">
        <v>39</v>
      </c>
      <c t="s" s="55" r="H163">
        <v>39</v>
      </c>
      <c t="s" s="55" r="I163">
        <v>39</v>
      </c>
      <c t="s" s="55" r="J163">
        <v>39</v>
      </c>
      <c t="s" s="55" r="K163">
        <v>39</v>
      </c>
      <c s="80" r="L163">
        <v>110.45</v>
      </c>
      <c s="79" r="M163">
        <v>109.44</v>
      </c>
      <c s="79" r="N163">
        <v>231.95</v>
      </c>
      <c s="32" r="O163">
        <f>SUMIF(Sellables!$A$2:$A$11482, $A163, Sellables!$G$2:$G$11482)</f>
        <v>0</v>
      </c>
      <c s="32" r="P163">
        <f>SUMIF(Skills!$A$2:$A$9999, A163, Skills!$F$2:$F$9999)</f>
        <v>7.32915</v>
      </c>
      <c s="14" r="Q163">
        <f>(N163+O163)+P163</f>
        <v>239.27915</v>
      </c>
      <c s="23" r="R163">
        <f>(E163+L163)-M163</f>
        <v>401.01</v>
      </c>
      <c s="70" r="S163">
        <f>Q163-R163</f>
        <v>-161.73085</v>
      </c>
      <c s="29" r="T163">
        <f> (Q163/R163) - 1</f>
        <v>-0.403308770354854</v>
      </c>
      <c t="str" s="70" r="U163">
        <f>R163/X163</f>
        <v>#DIV/0!:divZero</v>
      </c>
      <c t="str" s="70" r="V163">
        <f>Q163/X163</f>
        <v>#DIV/0!:divZero</v>
      </c>
      <c t="s" s="30" r="W163">
        <v>180</v>
      </c>
      <c s="30" r="X163">
        <v>0</v>
      </c>
      <c t="s" s="30" r="Y163">
        <v>181</v>
      </c>
      <c t="s" s="30" r="Z163">
        <v>42</v>
      </c>
      <c s="30" r="AA163">
        <v>0</v>
      </c>
      <c s="30" r="AB163">
        <v>0</v>
      </c>
      <c s="30" r="AC163">
        <v>0</v>
      </c>
      <c s="30" r="AD163">
        <v>0</v>
      </c>
      <c s="30" r="AE163"/>
      <c t="str" s="8" r="AF163">
        <f>(I163+J163)/R163</f>
        <v>#VALUE!:notNumber:NA</v>
      </c>
      <c t="str" s="28" r="AG163">
        <f>G163/$X163</f>
        <v>#DIV/0!:divZero</v>
      </c>
      <c t="str" s="28" r="AH163">
        <f>H163/$X163</f>
        <v>#DIV/0!:divZero</v>
      </c>
      <c t="str" s="28" r="AI163">
        <f>I163/$X163</f>
        <v>#DIV/0!:divZero</v>
      </c>
      <c t="str" s="28" r="AJ163">
        <f>J163/$X163</f>
        <v>#DIV/0!:divZero</v>
      </c>
      <c t="str" s="28" r="AK163">
        <f>K163/$X163</f>
        <v>#DIV/0!:divZero</v>
      </c>
      <c s="30" r="AL163">
        <v>1</v>
      </c>
    </row>
    <row r="164">
      <c s="30" r="A164">
        <v>163</v>
      </c>
      <c t="s" s="30" r="B164">
        <v>38</v>
      </c>
      <c s="62" r="C164">
        <v>41573</v>
      </c>
      <c s="52" r="D164">
        <v>0.999305555555556</v>
      </c>
      <c s="55" r="E164">
        <v>507</v>
      </c>
      <c s="55" r="F164"/>
      <c t="s" s="55" r="G164">
        <v>39</v>
      </c>
      <c t="s" s="55" r="H164">
        <v>39</v>
      </c>
      <c t="s" s="55" r="I164">
        <v>39</v>
      </c>
      <c t="s" s="55" r="J164">
        <v>39</v>
      </c>
      <c t="s" s="55" r="K164">
        <v>39</v>
      </c>
      <c s="80" r="L164">
        <v>141.51</v>
      </c>
      <c s="79" r="M164">
        <v>158.98</v>
      </c>
      <c s="79" r="N164">
        <v>350.79</v>
      </c>
      <c s="32" r="O164">
        <f>SUMIF(Sellables!$A$2:$A$11482, $A164, Sellables!$G$2:$G$11482)</f>
        <v>91.256</v>
      </c>
      <c s="32" r="P164">
        <f>SUMIF(Skills!$A$2:$A$9999, A164, Skills!$F$2:$F$9999)</f>
        <v>12.90492</v>
      </c>
      <c s="14" r="Q164">
        <f>(N164+O164)+P164</f>
        <v>454.95092</v>
      </c>
      <c s="23" r="R164">
        <f>(E164+L164)-M164</f>
        <v>489.53</v>
      </c>
      <c s="70" r="S164">
        <f>Q164-R164</f>
        <v>-34.5790799999999</v>
      </c>
      <c s="29" r="T164">
        <f> (Q164/R164) - 1</f>
        <v>-0.070637305170265</v>
      </c>
      <c t="str" s="70" r="U164">
        <f>R164/X164</f>
        <v>#DIV/0!:divZero</v>
      </c>
      <c t="str" s="70" r="V164">
        <f>Q164/X164</f>
        <v>#DIV/0!:divZero</v>
      </c>
      <c t="s" s="30" r="W164">
        <v>52</v>
      </c>
      <c s="30" r="X164">
        <v>0</v>
      </c>
      <c t="s" s="30" r="Y164">
        <v>53</v>
      </c>
      <c t="s" s="30" r="Z164">
        <v>54</v>
      </c>
      <c s="30" r="AA164">
        <v>0</v>
      </c>
      <c s="30" r="AB164">
        <v>1</v>
      </c>
      <c s="30" r="AC164">
        <v>1</v>
      </c>
      <c s="30" r="AD164">
        <v>0</v>
      </c>
      <c s="30" r="AE164"/>
      <c t="str" s="8" r="AF164">
        <f>(I164+J164)/R164</f>
        <v>#VALUE!:notNumber:NA</v>
      </c>
      <c t="str" s="28" r="AG164">
        <f>G164/$X164</f>
        <v>#DIV/0!:divZero</v>
      </c>
      <c t="str" s="28" r="AH164">
        <f>H164/$X164</f>
        <v>#DIV/0!:divZero</v>
      </c>
      <c t="str" s="28" r="AI164">
        <f>I164/$X164</f>
        <v>#DIV/0!:divZero</v>
      </c>
      <c t="str" s="28" r="AJ164">
        <f>J164/$X164</f>
        <v>#DIV/0!:divZero</v>
      </c>
      <c t="str" s="28" r="AK164">
        <f>K164/$X164</f>
        <v>#DIV/0!:divZero</v>
      </c>
      <c s="30" r="AL164">
        <v>1</v>
      </c>
    </row>
    <row r="165">
      <c s="30" r="A165">
        <v>164</v>
      </c>
      <c t="s" s="30" r="B165">
        <v>38</v>
      </c>
      <c s="62" r="C165">
        <v>41574</v>
      </c>
      <c s="52" r="D165">
        <v>0.541666666666667</v>
      </c>
      <c s="55" r="E165">
        <v>700</v>
      </c>
      <c s="55" r="F165"/>
      <c t="s" s="55" r="G165">
        <v>39</v>
      </c>
      <c t="s" s="55" r="H165">
        <v>39</v>
      </c>
      <c t="s" s="55" r="I165">
        <v>39</v>
      </c>
      <c t="s" s="55" r="J165">
        <v>39</v>
      </c>
      <c t="s" s="55" r="K165">
        <v>39</v>
      </c>
      <c s="80" r="L165">
        <v>103.18</v>
      </c>
      <c s="79" r="M165">
        <v>267.55</v>
      </c>
      <c s="79" r="N165">
        <v>341.14</v>
      </c>
      <c s="32" r="O165">
        <f>SUMIF(Sellables!$A$2:$A$11482, $A165, Sellables!$G$2:$G$11482)</f>
        <v>59.185737</v>
      </c>
      <c s="32" r="P165">
        <f>SUMIF(Skills!$A$2:$A$9999, A165, Skills!$F$2:$F$9999)</f>
        <v>134.027352</v>
      </c>
      <c s="14" r="Q165">
        <f>(N165+O165)+P165</f>
        <v>534.353089</v>
      </c>
      <c s="23" r="R165">
        <f>(E165+L165)-M165</f>
        <v>535.63</v>
      </c>
      <c s="70" r="S165">
        <f>Q165-R165</f>
        <v>-1.27691100000015</v>
      </c>
      <c s="29" r="T165">
        <f> (Q165/R165) - 1</f>
        <v>-0.002383942273585</v>
      </c>
      <c s="70" r="U165">
        <f>R165/X165</f>
        <v>0.925094991364422</v>
      </c>
      <c s="70" r="V165">
        <f>Q165/X165</f>
        <v>0.922889618307426</v>
      </c>
      <c t="s" s="30" r="W165">
        <v>131</v>
      </c>
      <c s="30" r="X165">
        <v>579</v>
      </c>
      <c t="s" s="30" r="Y165">
        <v>132</v>
      </c>
      <c t="s" s="30" r="Z165">
        <v>42</v>
      </c>
      <c s="30" r="AA165">
        <v>0</v>
      </c>
      <c s="30" r="AB165">
        <v>0</v>
      </c>
      <c s="30" r="AC165">
        <v>3</v>
      </c>
      <c s="30" r="AD165">
        <v>0</v>
      </c>
      <c s="30" r="AE165"/>
      <c t="str" s="8" r="AF165">
        <f>(I165+J165)/R165</f>
        <v>#VALUE!:notNumber:NA</v>
      </c>
      <c t="str" s="28" r="AG165">
        <f>G165/$X165</f>
        <v>#VALUE!:notNumber:NA</v>
      </c>
      <c t="str" s="28" r="AH165">
        <f>H165/$X165</f>
        <v>#VALUE!:notNumber:NA</v>
      </c>
      <c t="str" s="28" r="AI165">
        <f>I165/$X165</f>
        <v>#VALUE!:notNumber:NA</v>
      </c>
      <c t="str" s="28" r="AJ165">
        <f>J165/$X165</f>
        <v>#VALUE!:notNumber:NA</v>
      </c>
      <c t="str" s="28" r="AK165">
        <f>K165/$X165</f>
        <v>#VALUE!:notNumber:NA</v>
      </c>
      <c s="30" r="AL165">
        <v>1</v>
      </c>
    </row>
    <row r="166">
      <c s="30" r="A166">
        <v>165</v>
      </c>
      <c t="s" s="30" r="B166">
        <v>55</v>
      </c>
      <c s="62" r="C166">
        <v>41574</v>
      </c>
      <c s="52" r="D166">
        <v>0.666666666666667</v>
      </c>
      <c s="55" r="E166">
        <f>584*0.70</f>
        <v>408.8</v>
      </c>
      <c s="55" r="F166"/>
      <c t="s" s="55" r="G166">
        <v>39</v>
      </c>
      <c t="s" s="55" r="H166">
        <v>39</v>
      </c>
      <c t="s" s="55" r="I166">
        <v>39</v>
      </c>
      <c t="s" s="55" r="J166">
        <v>39</v>
      </c>
      <c t="s" s="55" r="K166">
        <v>39</v>
      </c>
      <c s="80" r="L166">
        <v>0</v>
      </c>
      <c s="79" r="M166">
        <v>0</v>
      </c>
      <c s="79" r="N166">
        <f>321.63-135.30</f>
        <v>186.33</v>
      </c>
      <c s="32" r="O166">
        <f>SUMIF(Sellables!$A$2:$A$11482, $A166, Sellables!$G$2:$G$11482)</f>
        <v>146.17</v>
      </c>
      <c s="32" r="P166">
        <f>SUMIF(Skills!$A$2:$A$9999, A166, Skills!$F$2:$F$9999)</f>
        <v>0</v>
      </c>
      <c s="14" r="Q166">
        <f>(N166+O166)+P166</f>
        <v>332.5</v>
      </c>
      <c s="23" r="R166">
        <f>(E166+L166)-M166</f>
        <v>408.8</v>
      </c>
      <c s="70" r="S166">
        <f>Q166-R166</f>
        <v>-76.3</v>
      </c>
      <c s="29" r="T166">
        <f> (Q166/R166) - 1</f>
        <v>-0.186643835616438</v>
      </c>
      <c t="str" s="70" r="U166">
        <f>R166/X166</f>
        <v>#DIV/0!:divZero</v>
      </c>
      <c t="str" s="70" r="V166">
        <f>Q166/X166</f>
        <v>#DIV/0!:divZero</v>
      </c>
      <c t="s" s="30" r="W166">
        <v>56</v>
      </c>
      <c s="30" r="X166">
        <v>0</v>
      </c>
      <c t="s" s="30" r="Y166">
        <v>182</v>
      </c>
      <c t="s" s="30" r="Z166">
        <v>42</v>
      </c>
      <c s="30" r="AA166">
        <v>0</v>
      </c>
      <c s="30" r="AB166">
        <v>0</v>
      </c>
      <c s="30" r="AC166">
        <v>0</v>
      </c>
      <c s="30" r="AD166">
        <v>0</v>
      </c>
      <c s="30" r="AE166"/>
      <c t="str" s="8" r="AF166">
        <f>(I166+J166)/R166</f>
        <v>#VALUE!:notNumber:NA</v>
      </c>
      <c t="str" s="28" r="AG166">
        <f>G166/$X166</f>
        <v>#DIV/0!:divZero</v>
      </c>
      <c t="str" s="28" r="AH166">
        <f>H166/$X166</f>
        <v>#DIV/0!:divZero</v>
      </c>
      <c t="str" s="28" r="AI166">
        <f>I166/$X166</f>
        <v>#DIV/0!:divZero</v>
      </c>
      <c t="str" s="28" r="AJ166">
        <f>J166/$X166</f>
        <v>#DIV/0!:divZero</v>
      </c>
      <c t="str" s="28" r="AK166">
        <f>K166/$X166</f>
        <v>#DIV/0!:divZero</v>
      </c>
      <c s="30" r="AL166">
        <v>1</v>
      </c>
    </row>
    <row r="167">
      <c s="30" r="A167">
        <v>166</v>
      </c>
      <c t="s" s="30" r="B167">
        <v>55</v>
      </c>
      <c s="62" r="C167">
        <v>41574</v>
      </c>
      <c s="52" r="D167">
        <v>0.697916666666667</v>
      </c>
      <c s="55" r="E167">
        <f>92*1.15</f>
        <v>105.8</v>
      </c>
      <c s="55" r="F167"/>
      <c t="s" s="55" r="G167">
        <v>39</v>
      </c>
      <c t="s" s="55" r="H167">
        <v>39</v>
      </c>
      <c t="s" s="55" r="I167">
        <v>39</v>
      </c>
      <c t="s" s="55" r="J167">
        <v>39</v>
      </c>
      <c t="s" s="55" r="K167">
        <v>39</v>
      </c>
      <c s="80" r="L167">
        <v>0</v>
      </c>
      <c s="79" r="M167">
        <v>0</v>
      </c>
      <c s="79" r="N167">
        <f>97.08-48</f>
        <v>49.08</v>
      </c>
      <c s="32" r="O167">
        <f>SUMIF(Sellables!$A$2:$A$11482, $A167, Sellables!$G$2:$G$11482)</f>
        <v>53.3568</v>
      </c>
      <c s="32" r="P167">
        <f>SUMIF(Skills!$A$2:$A$9999, A167, Skills!$F$2:$F$9999)</f>
        <v>0</v>
      </c>
      <c s="14" r="Q167">
        <f>(N167+O167)+P167</f>
        <v>102.4368</v>
      </c>
      <c s="23" r="R167">
        <f>(E167+L167)-M167</f>
        <v>105.8</v>
      </c>
      <c s="70" r="S167">
        <f>Q167-R167</f>
        <v>-3.36320000000001</v>
      </c>
      <c s="29" r="T167">
        <f> (Q167/R167) - 1</f>
        <v>-0.031788279773157</v>
      </c>
      <c t="str" s="70" r="U167">
        <f>R167/X167</f>
        <v>#DIV/0!:divZero</v>
      </c>
      <c t="str" s="70" r="V167">
        <f>Q167/X167</f>
        <v>#DIV/0!:divZero</v>
      </c>
      <c t="s" s="30" r="W167">
        <v>68</v>
      </c>
      <c s="30" r="X167">
        <v>0</v>
      </c>
      <c t="s" s="30" r="Y167">
        <v>182</v>
      </c>
      <c t="s" s="30" r="Z167">
        <v>42</v>
      </c>
      <c s="30" r="AA167">
        <v>0</v>
      </c>
      <c s="30" r="AB167">
        <v>0</v>
      </c>
      <c s="30" r="AC167">
        <v>0</v>
      </c>
      <c s="30" r="AD167">
        <v>0</v>
      </c>
      <c s="30" r="AE167"/>
      <c t="str" s="8" r="AF167">
        <f>(I167+J167)/R167</f>
        <v>#VALUE!:notNumber:NA</v>
      </c>
      <c t="str" s="28" r="AG167">
        <f>G167/$X167</f>
        <v>#DIV/0!:divZero</v>
      </c>
      <c t="str" s="28" r="AH167">
        <f>H167/$X167</f>
        <v>#DIV/0!:divZero</v>
      </c>
      <c t="str" s="28" r="AI167">
        <f>I167/$X167</f>
        <v>#DIV/0!:divZero</v>
      </c>
      <c t="str" s="28" r="AJ167">
        <f>J167/$X167</f>
        <v>#DIV/0!:divZero</v>
      </c>
      <c t="str" s="28" r="AK167">
        <f>K167/$X167</f>
        <v>#DIV/0!:divZero</v>
      </c>
      <c s="30" r="AL167">
        <v>1</v>
      </c>
    </row>
    <row r="168">
      <c s="30" r="A168">
        <v>167</v>
      </c>
      <c t="s" s="30" r="B168">
        <v>55</v>
      </c>
      <c s="62" r="C168">
        <v>41574</v>
      </c>
      <c s="52" r="D168">
        <v>0.697916666666667</v>
      </c>
      <c s="55" r="E168">
        <f>84*0.31</f>
        <v>26.04</v>
      </c>
      <c s="55" r="F168"/>
      <c t="s" s="55" r="G168">
        <v>39</v>
      </c>
      <c t="s" s="55" r="H168">
        <v>39</v>
      </c>
      <c t="s" s="55" r="I168">
        <v>39</v>
      </c>
      <c t="s" s="55" r="J168">
        <v>39</v>
      </c>
      <c t="s" s="55" r="K168">
        <v>39</v>
      </c>
      <c s="80" r="L168">
        <v>0</v>
      </c>
      <c s="79" r="M168">
        <v>0</v>
      </c>
      <c s="79" r="N168">
        <v>27.88</v>
      </c>
      <c s="32" r="O168">
        <f>SUMIF(Sellables!$A$2:$A$11482, $A168, Sellables!$G$2:$G$11482)</f>
        <v>0</v>
      </c>
      <c s="32" r="P168">
        <f>SUMIF(Skills!$A$2:$A$9999, A168, Skills!$F$2:$F$9999)</f>
        <v>0</v>
      </c>
      <c s="14" r="Q168">
        <f>(N168+O168)+P168</f>
        <v>27.88</v>
      </c>
      <c s="23" r="R168">
        <f>(E168+L168)-M168</f>
        <v>26.04</v>
      </c>
      <c s="70" r="S168">
        <f>Q168-R168</f>
        <v>1.84</v>
      </c>
      <c s="29" r="T168">
        <f> (Q168/R168) - 1</f>
        <v>0.070660522273426</v>
      </c>
      <c t="str" s="70" r="U168">
        <f>R168/X168</f>
        <v>#DIV/0!:divZero</v>
      </c>
      <c t="str" s="70" r="V168">
        <f>Q168/X168</f>
        <v>#DIV/0!:divZero</v>
      </c>
      <c t="s" s="30" r="W168">
        <v>183</v>
      </c>
      <c s="30" r="X168">
        <v>0</v>
      </c>
      <c t="s" s="30" r="Y168">
        <v>182</v>
      </c>
      <c t="s" s="30" r="Z168">
        <v>42</v>
      </c>
      <c s="30" r="AA168">
        <v>0</v>
      </c>
      <c s="30" r="AB168">
        <v>0</v>
      </c>
      <c s="30" r="AC168">
        <v>0</v>
      </c>
      <c s="30" r="AD168">
        <v>0</v>
      </c>
      <c s="30" r="AE168"/>
      <c t="str" s="8" r="AF168">
        <f>(I168+J168)/R168</f>
        <v>#VALUE!:notNumber:NA</v>
      </c>
      <c t="str" s="28" r="AG168">
        <f>G168/$X168</f>
        <v>#DIV/0!:divZero</v>
      </c>
      <c t="str" s="28" r="AH168">
        <f>H168/$X168</f>
        <v>#DIV/0!:divZero</v>
      </c>
      <c t="str" s="28" r="AI168">
        <f>I168/$X168</f>
        <v>#DIV/0!:divZero</v>
      </c>
      <c t="str" s="28" r="AJ168">
        <f>J168/$X168</f>
        <v>#DIV/0!:divZero</v>
      </c>
      <c t="str" s="28" r="AK168">
        <f>K168/$X168</f>
        <v>#DIV/0!:divZero</v>
      </c>
      <c s="30" r="AL168">
        <v>1</v>
      </c>
    </row>
    <row r="169">
      <c s="30" r="A169">
        <v>168</v>
      </c>
      <c t="s" s="30" r="B169">
        <v>55</v>
      </c>
      <c s="62" r="C169">
        <v>41574</v>
      </c>
      <c s="52" r="D169">
        <v>0.697916666666667</v>
      </c>
      <c s="55" r="E169">
        <f>59*0.61</f>
        <v>35.99</v>
      </c>
      <c s="55" r="F169"/>
      <c t="s" s="55" r="G169">
        <v>39</v>
      </c>
      <c t="s" s="55" r="H169">
        <v>39</v>
      </c>
      <c t="s" s="55" r="I169">
        <v>39</v>
      </c>
      <c t="s" s="55" r="J169">
        <v>39</v>
      </c>
      <c t="s" s="55" r="K169">
        <v>39</v>
      </c>
      <c s="80" r="L169">
        <v>0</v>
      </c>
      <c s="79" r="M169">
        <v>0</v>
      </c>
      <c s="79" r="N169">
        <v>22.61</v>
      </c>
      <c s="32" r="O169">
        <f>SUMIF(Sellables!$A$2:$A$11482, $A169, Sellables!$G$2:$G$11482)</f>
        <v>0</v>
      </c>
      <c s="32" r="P169">
        <f>SUMIF(Skills!$A$2:$A$9999, A169, Skills!$F$2:$F$9999)</f>
        <v>0</v>
      </c>
      <c s="14" r="Q169">
        <f>(N169+O169)+P169</f>
        <v>22.61</v>
      </c>
      <c s="23" r="R169">
        <f>(E169+L169)-M169</f>
        <v>35.99</v>
      </c>
      <c s="70" r="S169">
        <f>Q169-R169</f>
        <v>-13.38</v>
      </c>
      <c s="29" r="T169">
        <f> (Q169/R169) - 1</f>
        <v>-0.371769936093359</v>
      </c>
      <c t="str" s="70" r="U169">
        <f>R169/X169</f>
        <v>#DIV/0!:divZero</v>
      </c>
      <c t="str" s="70" r="V169">
        <f>Q169/X169</f>
        <v>#DIV/0!:divZero</v>
      </c>
      <c t="s" s="30" r="W169">
        <v>183</v>
      </c>
      <c s="30" r="X169">
        <v>0</v>
      </c>
      <c t="s" s="30" r="Y169">
        <v>182</v>
      </c>
      <c t="s" s="30" r="Z169">
        <v>42</v>
      </c>
      <c s="30" r="AA169">
        <v>0</v>
      </c>
      <c s="30" r="AB169">
        <v>0</v>
      </c>
      <c s="30" r="AC169">
        <v>0</v>
      </c>
      <c s="30" r="AD169">
        <v>0</v>
      </c>
      <c s="30" r="AE169"/>
      <c t="str" s="8" r="AF169">
        <f>(I169+J169)/R169</f>
        <v>#VALUE!:notNumber:NA</v>
      </c>
      <c t="str" s="28" r="AG169">
        <f>G169/$X169</f>
        <v>#DIV/0!:divZero</v>
      </c>
      <c t="str" s="28" r="AH169">
        <f>H169/$X169</f>
        <v>#DIV/0!:divZero</v>
      </c>
      <c t="str" s="28" r="AI169">
        <f>I169/$X169</f>
        <v>#DIV/0!:divZero</v>
      </c>
      <c t="str" s="28" r="AJ169">
        <f>J169/$X169</f>
        <v>#DIV/0!:divZero</v>
      </c>
      <c t="str" s="28" r="AK169">
        <f>K169/$X169</f>
        <v>#DIV/0!:divZero</v>
      </c>
      <c s="30" r="AL169">
        <v>1</v>
      </c>
    </row>
    <row r="170">
      <c s="30" r="A170">
        <v>169</v>
      </c>
      <c t="s" s="30" r="B170">
        <v>55</v>
      </c>
      <c s="62" r="C170">
        <v>41574</v>
      </c>
      <c s="52" r="D170">
        <v>0.708333333333333</v>
      </c>
      <c s="55" r="E170">
        <f>118*0.76</f>
        <v>89.68</v>
      </c>
      <c s="55" r="F170"/>
      <c t="s" s="55" r="G170">
        <v>39</v>
      </c>
      <c t="s" s="55" r="H170">
        <v>39</v>
      </c>
      <c t="s" s="55" r="I170">
        <v>39</v>
      </c>
      <c t="s" s="55" r="J170">
        <v>39</v>
      </c>
      <c t="s" s="55" r="K170">
        <v>39</v>
      </c>
      <c s="80" r="L170">
        <v>0</v>
      </c>
      <c s="79" r="M170">
        <v>0</v>
      </c>
      <c s="79" r="N170">
        <v>53.96</v>
      </c>
      <c s="32" r="O170">
        <f>SUMIF(Sellables!$A$2:$A$11482, $A170, Sellables!$G$2:$G$11482)</f>
        <v>0</v>
      </c>
      <c s="32" r="P170">
        <f>SUMIF(Skills!$A$2:$A$9999, A170, Skills!$F$2:$F$9999)</f>
        <v>0</v>
      </c>
      <c s="14" r="Q170">
        <f>(N170+O170)+P170</f>
        <v>53.96</v>
      </c>
      <c s="23" r="R170">
        <f>(E170+L170)-M170</f>
        <v>89.68</v>
      </c>
      <c s="70" r="S170">
        <f>Q170-R170</f>
        <v>-35.72</v>
      </c>
      <c s="29" r="T170">
        <f> (Q170/R170) - 1</f>
        <v>-0.398305084745763</v>
      </c>
      <c t="str" s="70" r="U170">
        <f>R170/X170</f>
        <v>#DIV/0!:divZero</v>
      </c>
      <c t="str" s="70" r="V170">
        <f>Q170/X170</f>
        <v>#DIV/0!:divZero</v>
      </c>
      <c t="s" s="30" r="W170">
        <v>184</v>
      </c>
      <c s="30" r="X170">
        <v>0</v>
      </c>
      <c t="s" s="30" r="Y170">
        <v>182</v>
      </c>
      <c t="s" s="30" r="Z170">
        <v>42</v>
      </c>
      <c s="30" r="AA170">
        <v>0</v>
      </c>
      <c s="30" r="AB170">
        <v>0</v>
      </c>
      <c s="30" r="AC170">
        <v>0</v>
      </c>
      <c s="30" r="AD170">
        <v>0</v>
      </c>
      <c s="30" r="AE170"/>
      <c t="str" s="8" r="AF170">
        <f>(I170+J170)/R170</f>
        <v>#VALUE!:notNumber:NA</v>
      </c>
      <c t="str" s="28" r="AG170">
        <f>G170/$X170</f>
        <v>#DIV/0!:divZero</v>
      </c>
      <c t="str" s="28" r="AH170">
        <f>H170/$X170</f>
        <v>#DIV/0!:divZero</v>
      </c>
      <c t="str" s="28" r="AI170">
        <f>I170/$X170</f>
        <v>#DIV/0!:divZero</v>
      </c>
      <c t="str" s="28" r="AJ170">
        <f>J170/$X170</f>
        <v>#DIV/0!:divZero</v>
      </c>
      <c t="str" s="28" r="AK170">
        <f>K170/$X170</f>
        <v>#DIV/0!:divZero</v>
      </c>
      <c s="30" r="AL170">
        <v>1</v>
      </c>
    </row>
    <row r="171">
      <c s="30" r="A171">
        <v>170</v>
      </c>
      <c t="s" s="30" r="B171">
        <v>55</v>
      </c>
      <c s="62" r="C171">
        <v>41574</v>
      </c>
      <c s="52" r="D171">
        <v>0.708333333333333</v>
      </c>
      <c s="55" r="E171">
        <f>51*0.42</f>
        <v>21.42</v>
      </c>
      <c s="55" r="F171"/>
      <c t="s" s="55" r="G171">
        <v>39</v>
      </c>
      <c t="s" s="55" r="H171">
        <v>39</v>
      </c>
      <c t="s" s="55" r="I171">
        <v>39</v>
      </c>
      <c t="s" s="55" r="J171">
        <v>39</v>
      </c>
      <c t="s" s="55" r="K171">
        <v>39</v>
      </c>
      <c s="80" r="L171">
        <v>0</v>
      </c>
      <c s="79" r="M171">
        <v>0</v>
      </c>
      <c s="79" r="N171">
        <v>15.38</v>
      </c>
      <c s="32" r="O171">
        <f>SUMIF(Sellables!$A$2:$A$11482, $A171, Sellables!$G$2:$G$11482)</f>
        <v>0</v>
      </c>
      <c s="32" r="P171">
        <f>SUMIF(Skills!$A$2:$A$9999, A171, Skills!$F$2:$F$9999)</f>
        <v>0</v>
      </c>
      <c s="14" r="Q171">
        <f>(N171+O171)+P171</f>
        <v>15.38</v>
      </c>
      <c s="23" r="R171">
        <f>(E171+L171)-M171</f>
        <v>21.42</v>
      </c>
      <c s="70" r="S171">
        <f>Q171-R171</f>
        <v>-6.04</v>
      </c>
      <c s="29" r="T171">
        <f> (Q171/R171) - 1</f>
        <v>-0.281979458450047</v>
      </c>
      <c t="str" s="70" r="U171">
        <f>R171/X171</f>
        <v>#DIV/0!:divZero</v>
      </c>
      <c t="str" s="70" r="V171">
        <f>Q171/X171</f>
        <v>#DIV/0!:divZero</v>
      </c>
      <c t="s" s="30" r="W171">
        <v>179</v>
      </c>
      <c s="30" r="X171">
        <v>0</v>
      </c>
      <c t="s" s="30" r="Y171">
        <v>182</v>
      </c>
      <c t="s" s="30" r="Z171">
        <v>42</v>
      </c>
      <c s="30" r="AA171">
        <v>0</v>
      </c>
      <c s="30" r="AB171">
        <v>0</v>
      </c>
      <c s="30" r="AC171">
        <v>0</v>
      </c>
      <c s="30" r="AD171">
        <v>0</v>
      </c>
      <c s="30" r="AE171"/>
      <c t="str" s="8" r="AF171">
        <f>(I171+J171)/R171</f>
        <v>#VALUE!:notNumber:NA</v>
      </c>
      <c t="str" s="28" r="AG171">
        <f>G171/$X171</f>
        <v>#DIV/0!:divZero</v>
      </c>
      <c t="str" s="28" r="AH171">
        <f>H171/$X171</f>
        <v>#DIV/0!:divZero</v>
      </c>
      <c t="str" s="28" r="AI171">
        <f>I171/$X171</f>
        <v>#DIV/0!:divZero</v>
      </c>
      <c t="str" s="28" r="AJ171">
        <f>J171/$X171</f>
        <v>#DIV/0!:divZero</v>
      </c>
      <c t="str" s="28" r="AK171">
        <f>K171/$X171</f>
        <v>#DIV/0!:divZero</v>
      </c>
      <c s="30" r="AL171">
        <v>1</v>
      </c>
    </row>
    <row r="172">
      <c s="30" r="A172">
        <v>171</v>
      </c>
      <c t="s" s="30" r="B172">
        <v>55</v>
      </c>
      <c s="62" r="C172">
        <v>41574</v>
      </c>
      <c s="52" r="D172">
        <v>0.708333333333333</v>
      </c>
      <c s="55" r="E172">
        <f>1868*0.07</f>
        <v>130.76</v>
      </c>
      <c s="55" r="F172"/>
      <c t="s" s="55" r="G172">
        <v>39</v>
      </c>
      <c t="s" s="55" r="H172">
        <v>39</v>
      </c>
      <c t="s" s="55" r="I172">
        <v>39</v>
      </c>
      <c t="s" s="55" r="J172">
        <v>39</v>
      </c>
      <c t="s" s="55" r="K172">
        <v>39</v>
      </c>
      <c s="80" r="L172">
        <v>0</v>
      </c>
      <c s="79" r="M172">
        <v>0</v>
      </c>
      <c s="79" r="N172">
        <v>125</v>
      </c>
      <c s="32" r="O172">
        <f>SUMIF(Sellables!$A$2:$A$11482, $A172, Sellables!$G$2:$G$11482)</f>
        <v>0</v>
      </c>
      <c s="32" r="P172">
        <f>SUMIF(Skills!$A$2:$A$9999, A172, Skills!$F$2:$F$9999)</f>
        <v>0</v>
      </c>
      <c s="14" r="Q172">
        <f>(N172+O172)+P172</f>
        <v>125</v>
      </c>
      <c s="23" r="R172">
        <f>(E172+L172)-M172</f>
        <v>130.76</v>
      </c>
      <c s="70" r="S172">
        <f>Q172-R172</f>
        <v>-5.76000000000002</v>
      </c>
      <c s="29" r="T172">
        <f> (Q172/R172) - 1</f>
        <v>-0.044050168247171</v>
      </c>
      <c t="str" s="70" r="U172">
        <f>R172/X172</f>
        <v>#DIV/0!:divZero</v>
      </c>
      <c t="str" s="70" r="V172">
        <f>Q172/X172</f>
        <v>#DIV/0!:divZero</v>
      </c>
      <c t="s" s="30" r="W172">
        <v>185</v>
      </c>
      <c s="30" r="X172">
        <v>0</v>
      </c>
      <c t="s" s="30" r="Y172">
        <v>182</v>
      </c>
      <c t="s" s="30" r="Z172">
        <v>42</v>
      </c>
      <c s="30" r="AA172">
        <v>0</v>
      </c>
      <c s="30" r="AB172">
        <v>0</v>
      </c>
      <c s="30" r="AC172">
        <v>0</v>
      </c>
      <c s="30" r="AD172">
        <v>0</v>
      </c>
      <c s="30" r="AE172"/>
      <c t="str" s="8" r="AF172">
        <f>(I172+J172)/R172</f>
        <v>#VALUE!:notNumber:NA</v>
      </c>
      <c t="str" s="28" r="AG172">
        <f>G172/$X172</f>
        <v>#DIV/0!:divZero</v>
      </c>
      <c t="str" s="28" r="AH172">
        <f>H172/$X172</f>
        <v>#DIV/0!:divZero</v>
      </c>
      <c t="str" s="28" r="AI172">
        <f>I172/$X172</f>
        <v>#DIV/0!:divZero</v>
      </c>
      <c t="str" s="28" r="AJ172">
        <f>J172/$X172</f>
        <v>#DIV/0!:divZero</v>
      </c>
      <c t="str" s="28" r="AK172">
        <f>K172/$X172</f>
        <v>#DIV/0!:divZero</v>
      </c>
      <c s="30" r="AL172">
        <v>1</v>
      </c>
    </row>
    <row r="173">
      <c s="30" r="A173">
        <v>172</v>
      </c>
      <c t="s" s="30" r="B173">
        <v>55</v>
      </c>
      <c s="62" r="C173">
        <v>41574</v>
      </c>
      <c s="52" r="D173">
        <v>0.833333333333333</v>
      </c>
      <c s="55" r="E173">
        <f>225*1.9</f>
        <v>427.5</v>
      </c>
      <c s="55" r="F173"/>
      <c t="s" s="55" r="G173">
        <v>39</v>
      </c>
      <c t="s" s="55" r="H173">
        <v>39</v>
      </c>
      <c t="s" s="55" r="I173">
        <v>39</v>
      </c>
      <c t="s" s="55" r="J173">
        <v>39</v>
      </c>
      <c t="s" s="55" r="K173">
        <v>39</v>
      </c>
      <c s="80" r="L173">
        <v>0</v>
      </c>
      <c s="79" r="M173">
        <v>0</v>
      </c>
      <c s="79" r="N173">
        <f>(592.51-56.40)-291.11</f>
        <v>245</v>
      </c>
      <c s="32" r="O173">
        <f>SUMIF(Sellables!$A$2:$A$11482, $A173, Sellables!$G$2:$G$11482)</f>
        <v>398.1277</v>
      </c>
      <c s="32" r="P173">
        <f>SUMIF(Skills!$A$2:$A$9999, A173, Skills!$F$2:$F$9999)</f>
        <v>0</v>
      </c>
      <c s="14" r="Q173">
        <f>(N173+O173)+P173</f>
        <v>643.1277</v>
      </c>
      <c s="23" r="R173">
        <f>(E173+L173)-M173</f>
        <v>427.5</v>
      </c>
      <c s="70" r="S173">
        <f>Q173-R173</f>
        <v>215.6277</v>
      </c>
      <c s="29" r="T173">
        <f> (Q173/R173) - 1</f>
        <v>0.504392280701754</v>
      </c>
      <c t="str" s="70" r="U173">
        <f>R173/X173</f>
        <v>#DIV/0!:divZero</v>
      </c>
      <c t="str" s="70" r="V173">
        <f>Q173/X173</f>
        <v>#DIV/0!:divZero</v>
      </c>
      <c t="s" s="30" r="W173">
        <v>92</v>
      </c>
      <c s="30" r="X173">
        <v>0</v>
      </c>
      <c t="s" s="30" r="Y173">
        <v>182</v>
      </c>
      <c t="s" s="30" r="Z173">
        <v>42</v>
      </c>
      <c s="30" r="AA173">
        <v>0</v>
      </c>
      <c s="30" r="AB173">
        <v>0</v>
      </c>
      <c s="30" r="AC173">
        <v>1</v>
      </c>
      <c s="30" r="AD173">
        <v>0</v>
      </c>
      <c s="30" r="AE173"/>
      <c t="str" s="8" r="AF173">
        <f>(I173+J173)/R173</f>
        <v>#VALUE!:notNumber:NA</v>
      </c>
      <c t="str" s="28" r="AG173">
        <f>G173/$X173</f>
        <v>#DIV/0!:divZero</v>
      </c>
      <c t="str" s="28" r="AH173">
        <f>H173/$X173</f>
        <v>#DIV/0!:divZero</v>
      </c>
      <c t="str" s="28" r="AI173">
        <f>I173/$X173</f>
        <v>#DIV/0!:divZero</v>
      </c>
      <c t="str" s="28" r="AJ173">
        <f>J173/$X173</f>
        <v>#DIV/0!:divZero</v>
      </c>
      <c t="str" s="28" r="AK173">
        <f>K173/$X173</f>
        <v>#DIV/0!:divZero</v>
      </c>
      <c s="30" r="AL173">
        <v>1</v>
      </c>
    </row>
    <row r="174">
      <c s="30" r="A174">
        <v>173</v>
      </c>
      <c t="s" s="30" r="B174">
        <v>55</v>
      </c>
      <c s="62" r="C174">
        <v>41574</v>
      </c>
      <c s="52" r="D174">
        <v>0.833333333333333</v>
      </c>
      <c s="55" r="E174">
        <f>13*2.1</f>
        <v>27.3</v>
      </c>
      <c s="55" r="F174"/>
      <c t="s" s="55" r="G174">
        <v>39</v>
      </c>
      <c t="s" s="55" r="H174">
        <v>39</v>
      </c>
      <c t="s" s="55" r="I174">
        <v>39</v>
      </c>
      <c t="s" s="55" r="J174">
        <v>39</v>
      </c>
      <c t="s" s="55" r="K174">
        <v>39</v>
      </c>
      <c s="80" r="L174">
        <v>0</v>
      </c>
      <c s="79" r="M174">
        <v>0</v>
      </c>
      <c s="79" r="N174">
        <f>((41.52+36.16)-49.40)-12.80</f>
        <v>15.48</v>
      </c>
      <c s="32" r="O174">
        <f>SUMIF(Sellables!$A$2:$A$11482, $A174, Sellables!$G$2:$G$11482)</f>
        <v>81.4019</v>
      </c>
      <c s="32" r="P174">
        <f>SUMIF(Skills!$A$2:$A$9999, A174, Skills!$F$2:$F$9999)</f>
        <v>0</v>
      </c>
      <c s="14" r="Q174">
        <f>(N174+O174)+P174</f>
        <v>96.8819</v>
      </c>
      <c s="23" r="R174">
        <f>(E174+L174)-M174</f>
        <v>27.3</v>
      </c>
      <c s="70" r="S174">
        <f>Q174-R174</f>
        <v>69.5819</v>
      </c>
      <c s="29" r="T174">
        <f> (Q174/R174) - 1</f>
        <v>2.54878754578755</v>
      </c>
      <c t="str" s="70" r="U174">
        <f>R174/X174</f>
        <v>#DIV/0!:divZero</v>
      </c>
      <c t="str" s="70" r="V174">
        <f>Q174/X174</f>
        <v>#DIV/0!:divZero</v>
      </c>
      <c t="s" s="30" r="W174">
        <v>186</v>
      </c>
      <c s="30" r="X174">
        <v>0</v>
      </c>
      <c t="s" s="30" r="Y174">
        <v>182</v>
      </c>
      <c t="s" s="30" r="Z174">
        <v>42</v>
      </c>
      <c s="30" r="AA174">
        <v>0</v>
      </c>
      <c s="30" r="AB174">
        <v>0</v>
      </c>
      <c s="30" r="AC174">
        <v>0</v>
      </c>
      <c s="30" r="AD174">
        <v>0</v>
      </c>
      <c s="30" r="AE174"/>
      <c t="str" s="8" r="AF174">
        <f>(I174+J174)/R174</f>
        <v>#VALUE!:notNumber:NA</v>
      </c>
      <c t="str" s="28" r="AG174">
        <f>G174/$X174</f>
        <v>#DIV/0!:divZero</v>
      </c>
      <c t="str" s="28" r="AH174">
        <f>H174/$X174</f>
        <v>#DIV/0!:divZero</v>
      </c>
      <c t="str" s="28" r="AI174">
        <f>I174/$X174</f>
        <v>#DIV/0!:divZero</v>
      </c>
      <c t="str" s="28" r="AJ174">
        <f>J174/$X174</f>
        <v>#DIV/0!:divZero</v>
      </c>
      <c t="str" s="28" r="AK174">
        <f>K174/$X174</f>
        <v>#DIV/0!:divZero</v>
      </c>
      <c s="30" r="AL174">
        <v>1</v>
      </c>
    </row>
    <row r="175">
      <c s="30" r="A175">
        <v>174</v>
      </c>
      <c t="s" s="30" r="B175">
        <v>55</v>
      </c>
      <c s="62" r="C175">
        <v>41574</v>
      </c>
      <c s="52" r="D175">
        <v>0.854166666666667</v>
      </c>
      <c s="55" r="E175">
        <f>159*1.9</f>
        <v>302.1</v>
      </c>
      <c s="55" r="F175"/>
      <c t="s" s="55" r="G175">
        <v>39</v>
      </c>
      <c t="s" s="55" r="H175">
        <v>39</v>
      </c>
      <c t="s" s="55" r="I175">
        <v>39</v>
      </c>
      <c t="s" s="55" r="J175">
        <v>39</v>
      </c>
      <c t="s" s="55" r="K175">
        <v>39</v>
      </c>
      <c s="80" r="L175">
        <v>0</v>
      </c>
      <c s="79" r="M175">
        <v>0</v>
      </c>
      <c s="79" r="N175">
        <v>67.3</v>
      </c>
      <c s="32" r="O175">
        <f>SUMIF(Sellables!$A$2:$A$11482, $A175, Sellables!$G$2:$G$11482)</f>
        <v>217.5027</v>
      </c>
      <c s="32" r="P175">
        <f>SUMIF(Skills!$A$2:$A$9999, A175, Skills!$F$2:$F$9999)</f>
        <v>0</v>
      </c>
      <c s="14" r="Q175">
        <f>(N175+O175)+P175</f>
        <v>284.8027</v>
      </c>
      <c s="23" r="R175">
        <f>(E175+L175)-M175</f>
        <v>302.1</v>
      </c>
      <c s="70" r="S175">
        <f>Q175-R175</f>
        <v>-17.2973</v>
      </c>
      <c s="29" r="T175">
        <f> (Q175/R175) - 1</f>
        <v>-0.05725686858656</v>
      </c>
      <c t="str" s="70" r="U175">
        <f>R175/X175</f>
        <v>#DIV/0!:divZero</v>
      </c>
      <c t="str" s="70" r="V175">
        <f>Q175/X175</f>
        <v>#DIV/0!:divZero</v>
      </c>
      <c t="s" s="30" r="W175">
        <v>92</v>
      </c>
      <c s="30" r="X175">
        <v>0</v>
      </c>
      <c t="s" s="30" r="Y175">
        <v>182</v>
      </c>
      <c t="s" s="30" r="Z175">
        <v>42</v>
      </c>
      <c s="30" r="AA175">
        <v>0</v>
      </c>
      <c s="30" r="AB175">
        <v>0</v>
      </c>
      <c s="30" r="AC175">
        <v>0</v>
      </c>
      <c s="30" r="AD175">
        <v>0</v>
      </c>
      <c s="30" r="AE175"/>
      <c t="str" s="8" r="AF175">
        <f>(I175+J175)/R175</f>
        <v>#VALUE!:notNumber:NA</v>
      </c>
      <c t="str" s="28" r="AG175">
        <f>G175/$X175</f>
        <v>#DIV/0!:divZero</v>
      </c>
      <c t="str" s="28" r="AH175">
        <f>H175/$X175</f>
        <v>#DIV/0!:divZero</v>
      </c>
      <c t="str" s="28" r="AI175">
        <f>I175/$X175</f>
        <v>#DIV/0!:divZero</v>
      </c>
      <c t="str" s="28" r="AJ175">
        <f>J175/$X175</f>
        <v>#DIV/0!:divZero</v>
      </c>
      <c t="str" s="28" r="AK175">
        <f>K175/$X175</f>
        <v>#DIV/0!:divZero</v>
      </c>
      <c s="30" r="AL175">
        <v>1</v>
      </c>
    </row>
    <row r="176">
      <c s="30" r="A176">
        <v>175</v>
      </c>
      <c t="s" s="30" r="B176">
        <v>38</v>
      </c>
      <c s="62" r="C176">
        <v>41574</v>
      </c>
      <c s="52" r="D176">
        <v>0.885416666666667</v>
      </c>
      <c s="55" r="E176">
        <v>400</v>
      </c>
      <c s="55" r="F176"/>
      <c t="s" s="55" r="G176">
        <v>39</v>
      </c>
      <c t="s" s="55" r="H176">
        <v>39</v>
      </c>
      <c t="s" s="55" r="I176">
        <v>39</v>
      </c>
      <c t="s" s="55" r="J176">
        <v>39</v>
      </c>
      <c t="s" s="55" r="K176">
        <v>39</v>
      </c>
      <c s="80" r="L176">
        <v>65.93</v>
      </c>
      <c s="79" r="M176">
        <v>387.61</v>
      </c>
      <c s="79" r="N176">
        <v>108.78</v>
      </c>
      <c s="32" r="O176">
        <f>SUMIF(Sellables!$A$2:$A$11482, $A176, Sellables!$G$2:$G$11482)</f>
        <v>0</v>
      </c>
      <c s="32" r="P176">
        <f>SUMIF(Skills!$A$2:$A$9999, A176, Skills!$F$2:$F$9999)</f>
        <v>0</v>
      </c>
      <c s="14" r="Q176">
        <f>(N176+O176)+P176</f>
        <v>108.78</v>
      </c>
      <c s="23" r="R176">
        <f>(E176+L176)-M176</f>
        <v>78.32</v>
      </c>
      <c s="70" r="S176">
        <f>Q176-R176</f>
        <v>30.46</v>
      </c>
      <c s="29" r="T176">
        <f> (Q176/R176) - 1</f>
        <v>0.388917262512768</v>
      </c>
      <c t="str" s="70" r="U176">
        <f>R176/X176</f>
        <v>#DIV/0!:divZero</v>
      </c>
      <c t="str" s="70" r="V176">
        <f>Q176/X176</f>
        <v>#DIV/0!:divZero</v>
      </c>
      <c t="s" s="30" r="W176">
        <v>187</v>
      </c>
      <c s="30" r="X176">
        <v>0</v>
      </c>
      <c t="s" s="30" r="Y176">
        <v>188</v>
      </c>
      <c t="s" s="30" r="Z176">
        <v>42</v>
      </c>
      <c s="30" r="AA176">
        <v>0</v>
      </c>
      <c s="30" r="AB176">
        <v>0</v>
      </c>
      <c s="30" r="AC176">
        <v>2</v>
      </c>
      <c s="30" r="AD176">
        <v>0</v>
      </c>
      <c s="30" r="AE176"/>
      <c t="str" s="8" r="AF176">
        <f>(I176+J176)/R176</f>
        <v>#VALUE!:notNumber:NA</v>
      </c>
      <c t="str" s="28" r="AG176">
        <f>G176/$X176</f>
        <v>#DIV/0!:divZero</v>
      </c>
      <c t="str" s="28" r="AH176">
        <f>H176/$X176</f>
        <v>#DIV/0!:divZero</v>
      </c>
      <c t="str" s="28" r="AI176">
        <f>I176/$X176</f>
        <v>#DIV/0!:divZero</v>
      </c>
      <c t="str" s="28" r="AJ176">
        <f>J176/$X176</f>
        <v>#DIV/0!:divZero</v>
      </c>
      <c t="str" s="28" r="AK176">
        <f>K176/$X176</f>
        <v>#DIV/0!:divZero</v>
      </c>
      <c s="30" r="AL176">
        <v>1</v>
      </c>
    </row>
    <row r="177">
      <c s="30" r="A177">
        <v>176</v>
      </c>
      <c t="s" s="30" r="B177">
        <v>38</v>
      </c>
      <c s="62" r="C177">
        <v>41574</v>
      </c>
      <c s="52" r="D177">
        <v>0.958333333333333</v>
      </c>
      <c s="55" r="E177">
        <v>500</v>
      </c>
      <c s="55" r="F177"/>
      <c t="s" s="55" r="G177">
        <v>39</v>
      </c>
      <c t="s" s="55" r="H177">
        <v>39</v>
      </c>
      <c t="s" s="55" r="I177">
        <v>39</v>
      </c>
      <c t="s" s="55" r="J177">
        <v>39</v>
      </c>
      <c t="s" s="55" r="K177">
        <v>39</v>
      </c>
      <c s="80" r="L177">
        <v>137.39</v>
      </c>
      <c s="79" r="M177">
        <v>186.34</v>
      </c>
      <c s="79" r="N177">
        <v>432.56</v>
      </c>
      <c s="32" r="O177">
        <f>SUMIF(Sellables!$A$2:$A$11482, $A177, Sellables!$G$2:$G$11482)</f>
        <v>0</v>
      </c>
      <c s="32" r="P177">
        <f>SUMIF(Skills!$A$2:$A$9999, A177, Skills!$F$2:$F$9999)</f>
        <v>0</v>
      </c>
      <c s="14" r="Q177">
        <f>(N177+O177)+P177</f>
        <v>432.56</v>
      </c>
      <c s="23" r="R177">
        <f>(E177+L177)-M177</f>
        <v>451.05</v>
      </c>
      <c s="70" r="S177">
        <f>Q177-R177</f>
        <v>-18.49</v>
      </c>
      <c s="29" r="T177">
        <f> (Q177/R177) - 1</f>
        <v>-0.040993238000222</v>
      </c>
      <c s="70" r="U177">
        <f>R177/X177</f>
        <v>5.93486842105263</v>
      </c>
      <c s="70" r="V177">
        <f>Q177/X177</f>
        <v>5.69157894736842</v>
      </c>
      <c t="s" s="30" r="W177">
        <v>52</v>
      </c>
      <c s="30" r="X177">
        <v>76</v>
      </c>
      <c t="s" s="30" r="Y177">
        <v>53</v>
      </c>
      <c t="s" s="30" r="Z177">
        <v>54</v>
      </c>
      <c s="30" r="AA177">
        <v>0</v>
      </c>
      <c s="30" r="AB177">
        <v>0</v>
      </c>
      <c s="30" r="AC177">
        <v>3</v>
      </c>
      <c s="30" r="AD177">
        <v>0</v>
      </c>
      <c s="30" r="AE177"/>
      <c t="str" s="8" r="AF177">
        <f>(I177+J177)/R177</f>
        <v>#VALUE!:notNumber:NA</v>
      </c>
      <c t="str" s="28" r="AG177">
        <f>G177/$X177</f>
        <v>#VALUE!:notNumber:NA</v>
      </c>
      <c t="str" s="28" r="AH177">
        <f>H177/$X177</f>
        <v>#VALUE!:notNumber:NA</v>
      </c>
      <c t="str" s="28" r="AI177">
        <f>I177/$X177</f>
        <v>#VALUE!:notNumber:NA</v>
      </c>
      <c t="str" s="28" r="AJ177">
        <f>J177/$X177</f>
        <v>#VALUE!:notNumber:NA</v>
      </c>
      <c t="str" s="28" r="AK177">
        <f>K177/$X177</f>
        <v>#VALUE!:notNumber:NA</v>
      </c>
      <c s="30" r="AL177">
        <v>1</v>
      </c>
    </row>
    <row r="178">
      <c s="30" r="A178">
        <v>177</v>
      </c>
      <c t="s" s="30" r="B178">
        <v>55</v>
      </c>
      <c s="62" r="C178">
        <v>41575</v>
      </c>
      <c s="52" r="D178">
        <v>0.666666666666667</v>
      </c>
      <c s="55" r="E178">
        <f>97*0.61</f>
        <v>59.17</v>
      </c>
      <c s="55" r="F178"/>
      <c t="s" s="55" r="G178">
        <v>39</v>
      </c>
      <c t="s" s="55" r="H178">
        <v>39</v>
      </c>
      <c t="s" s="55" r="I178">
        <v>39</v>
      </c>
      <c t="s" s="55" r="J178">
        <v>39</v>
      </c>
      <c t="s" s="55" r="K178">
        <v>39</v>
      </c>
      <c s="80" r="L178">
        <v>0</v>
      </c>
      <c s="79" r="M178">
        <v>0</v>
      </c>
      <c s="79" r="N178">
        <f>89.64+22.34</f>
        <v>111.98</v>
      </c>
      <c s="79" r="O178">
        <f>SUMIF(Sellables!$A$2:$A$11482, $A178, Sellables!$G$2:$G$11482)</f>
        <v>0</v>
      </c>
      <c s="32" r="P178">
        <f>SUMIF(Skills!$A$2:$A$9999, A178, Skills!$F$2:$F$9999)</f>
        <v>0</v>
      </c>
      <c s="14" r="Q178">
        <f>(N178+O178)+P178</f>
        <v>111.98</v>
      </c>
      <c s="23" r="R178">
        <f>(E178+L178)-M178</f>
        <v>59.17</v>
      </c>
      <c s="70" r="S178">
        <f>Q178-R178</f>
        <v>52.81</v>
      </c>
      <c s="29" r="T178">
        <f> (Q178/R178) - 1</f>
        <v>0.892513097853642</v>
      </c>
      <c t="str" s="70" r="U178">
        <f>R178/X178</f>
        <v>#DIV/0!:divZero</v>
      </c>
      <c t="str" s="70" r="V178">
        <f>Q178/X178</f>
        <v>#DIV/0!:divZero</v>
      </c>
      <c t="s" s="30" r="W178">
        <v>148</v>
      </c>
      <c s="30" r="X178">
        <v>0</v>
      </c>
      <c t="s" s="30" r="Y178">
        <v>104</v>
      </c>
      <c t="s" s="30" r="Z178">
        <v>42</v>
      </c>
      <c s="30" r="AA178">
        <v>0</v>
      </c>
      <c s="30" r="AB178">
        <v>0</v>
      </c>
      <c s="30" r="AC178">
        <v>1</v>
      </c>
      <c s="30" r="AD178">
        <v>0</v>
      </c>
      <c s="30" r="AE178"/>
      <c t="str" s="8" r="AF178">
        <f>(I178+J178)/R178</f>
        <v>#VALUE!:notNumber:NA</v>
      </c>
      <c t="str" s="28" r="AG178">
        <f>G178/$X178</f>
        <v>#DIV/0!:divZero</v>
      </c>
      <c t="str" s="28" r="AH178">
        <f>H178/$X178</f>
        <v>#DIV/0!:divZero</v>
      </c>
      <c t="str" s="28" r="AI178">
        <f>I178/$X178</f>
        <v>#DIV/0!:divZero</v>
      </c>
      <c t="str" s="28" r="AJ178">
        <f>J178/$X178</f>
        <v>#DIV/0!:divZero</v>
      </c>
      <c t="str" s="28" r="AK178">
        <f>K178/$X178</f>
        <v>#DIV/0!:divZero</v>
      </c>
      <c s="30" r="AL178">
        <v>1</v>
      </c>
    </row>
    <row r="179">
      <c s="30" r="A179">
        <v>178</v>
      </c>
      <c t="s" s="30" r="B179">
        <v>55</v>
      </c>
      <c s="62" r="C179">
        <v>41575</v>
      </c>
      <c s="52" r="D179">
        <v>0.666666666666667</v>
      </c>
      <c s="55" r="E179">
        <f>30*0.76</f>
        <v>22.8</v>
      </c>
      <c s="55" r="F179"/>
      <c t="s" s="55" r="G179">
        <v>39</v>
      </c>
      <c t="s" s="55" r="H179">
        <v>39</v>
      </c>
      <c t="s" s="55" r="I179">
        <v>39</v>
      </c>
      <c t="s" s="55" r="J179">
        <v>39</v>
      </c>
      <c t="s" s="55" r="K179">
        <v>39</v>
      </c>
      <c s="80" r="L179">
        <v>0</v>
      </c>
      <c s="79" r="M179">
        <v>0</v>
      </c>
      <c s="79" r="N179">
        <f>9.91+3.74</f>
        <v>13.65</v>
      </c>
      <c s="32" r="O179">
        <f>SUMIF(Sellables!$A$2:$A$11482, $A179, Sellables!$G$2:$G$11482)</f>
        <v>0</v>
      </c>
      <c s="32" r="P179">
        <f>SUMIF(Skills!$A$2:$A$9999, A179, Skills!$F$2:$F$9999)</f>
        <v>0</v>
      </c>
      <c s="14" r="Q179">
        <f>(N179+O179)+P179</f>
        <v>13.65</v>
      </c>
      <c s="23" r="R179">
        <f>(E179+L179)-M179</f>
        <v>22.8</v>
      </c>
      <c s="70" r="S179">
        <f>Q179-R179</f>
        <v>-9.15</v>
      </c>
      <c s="29" r="T179">
        <f> (Q179/R179) - 1</f>
        <v>-0.401315789473684</v>
      </c>
      <c t="str" s="70" r="U179">
        <f>R179/X179</f>
        <v>#DIV/0!:divZero</v>
      </c>
      <c t="str" s="70" r="V179">
        <f>Q179/X179</f>
        <v>#DIV/0!:divZero</v>
      </c>
      <c t="s" s="30" r="W179">
        <v>189</v>
      </c>
      <c s="30" r="X179">
        <v>0</v>
      </c>
      <c t="s" s="30" r="Y179">
        <v>104</v>
      </c>
      <c t="s" s="30" r="Z179">
        <v>42</v>
      </c>
      <c s="30" r="AA179">
        <v>0</v>
      </c>
      <c s="30" r="AB179">
        <v>0</v>
      </c>
      <c s="30" r="AC179">
        <v>0</v>
      </c>
      <c s="30" r="AD179">
        <v>0</v>
      </c>
      <c s="30" r="AE179"/>
      <c t="str" s="8" r="AF179">
        <f>(I179+J179)/R179</f>
        <v>#VALUE!:notNumber:NA</v>
      </c>
      <c t="str" s="28" r="AG179">
        <f>G179/$X179</f>
        <v>#DIV/0!:divZero</v>
      </c>
      <c t="str" s="28" r="AH179">
        <f>H179/$X179</f>
        <v>#DIV/0!:divZero</v>
      </c>
      <c t="str" s="28" r="AI179">
        <f>I179/$X179</f>
        <v>#DIV/0!:divZero</v>
      </c>
      <c t="str" s="28" r="AJ179">
        <f>J179/$X179</f>
        <v>#DIV/0!:divZero</v>
      </c>
      <c t="str" s="28" r="AK179">
        <f>K179/$X179</f>
        <v>#DIV/0!:divZero</v>
      </c>
      <c s="30" r="AL179">
        <v>1</v>
      </c>
    </row>
    <row r="180">
      <c s="30" r="A180">
        <v>179</v>
      </c>
      <c t="s" s="30" r="B180">
        <v>55</v>
      </c>
      <c s="62" r="C180">
        <v>41575</v>
      </c>
      <c s="52" r="D180">
        <v>0.666666666666667</v>
      </c>
      <c s="55" r="E180">
        <f>24*0.31</f>
        <v>7.44</v>
      </c>
      <c s="55" r="F180"/>
      <c t="s" s="55" r="G180">
        <v>39</v>
      </c>
      <c t="s" s="55" r="H180">
        <v>39</v>
      </c>
      <c t="s" s="55" r="I180">
        <v>39</v>
      </c>
      <c t="s" s="55" r="J180">
        <v>39</v>
      </c>
      <c t="s" s="55" r="K180">
        <v>39</v>
      </c>
      <c s="80" r="L180">
        <v>0</v>
      </c>
      <c s="79" r="M180">
        <v>0</v>
      </c>
      <c s="79" r="N180">
        <v>4.14</v>
      </c>
      <c s="32" r="O180">
        <f>SUMIF(Sellables!$A$2:$A$11482, $A180, Sellables!$G$2:$G$11482)</f>
        <v>0</v>
      </c>
      <c s="32" r="P180">
        <f>SUMIF(Skills!$A$2:$A$9999, A180, Skills!$F$2:$F$9999)</f>
        <v>0</v>
      </c>
      <c s="14" r="Q180">
        <f>(N180+O180)+P180</f>
        <v>4.14</v>
      </c>
      <c s="23" r="R180">
        <f>(E180+L180)-M180</f>
        <v>7.44</v>
      </c>
      <c s="70" r="S180">
        <f>Q180-R180</f>
        <v>-3.3</v>
      </c>
      <c s="29" r="T180">
        <f> (Q180/R180) - 1</f>
        <v>-0.443548387096774</v>
      </c>
      <c t="str" s="70" r="U180">
        <f>R180/X180</f>
        <v>#DIV/0!:divZero</v>
      </c>
      <c t="str" s="70" r="V180">
        <f>Q180/X180</f>
        <v>#DIV/0!:divZero</v>
      </c>
      <c t="s" s="30" r="W180">
        <v>133</v>
      </c>
      <c s="30" r="X180">
        <v>0</v>
      </c>
      <c t="s" s="30" r="Y180">
        <v>104</v>
      </c>
      <c t="s" s="30" r="Z180">
        <v>42</v>
      </c>
      <c s="30" r="AA180">
        <v>0</v>
      </c>
      <c s="30" r="AB180">
        <v>0</v>
      </c>
      <c s="30" r="AC180">
        <v>0</v>
      </c>
      <c s="30" r="AD180">
        <v>0</v>
      </c>
      <c s="30" r="AE180"/>
      <c t="str" s="8" r="AF180">
        <f>(I180+J180)/R180</f>
        <v>#VALUE!:notNumber:NA</v>
      </c>
      <c t="str" s="28" r="AG180">
        <f>G180/$X180</f>
        <v>#DIV/0!:divZero</v>
      </c>
      <c t="str" s="28" r="AH180">
        <f>H180/$X180</f>
        <v>#DIV/0!:divZero</v>
      </c>
      <c t="str" s="28" r="AI180">
        <f>I180/$X180</f>
        <v>#DIV/0!:divZero</v>
      </c>
      <c t="str" s="28" r="AJ180">
        <f>J180/$X180</f>
        <v>#DIV/0!:divZero</v>
      </c>
      <c t="str" s="28" r="AK180">
        <f>K180/$X180</f>
        <v>#DIV/0!:divZero</v>
      </c>
      <c s="30" r="AL180">
        <v>1</v>
      </c>
    </row>
    <row r="181">
      <c s="30" r="A181">
        <v>180</v>
      </c>
      <c t="s" s="30" r="B181">
        <v>55</v>
      </c>
      <c s="62" r="C181">
        <v>41575</v>
      </c>
      <c s="52" r="D181">
        <v>0.666666666666667</v>
      </c>
      <c s="55" r="E181">
        <f>25*0.61</f>
        <v>15.25</v>
      </c>
      <c s="55" r="F181"/>
      <c t="s" s="55" r="G181">
        <v>39</v>
      </c>
      <c t="s" s="55" r="H181">
        <v>39</v>
      </c>
      <c t="s" s="55" r="I181">
        <v>39</v>
      </c>
      <c t="s" s="55" r="J181">
        <v>39</v>
      </c>
      <c t="s" s="55" r="K181">
        <v>39</v>
      </c>
      <c s="80" r="L181">
        <v>0</v>
      </c>
      <c s="79" r="M181">
        <v>0</v>
      </c>
      <c s="79" r="N181">
        <v>10.81</v>
      </c>
      <c s="32" r="O181">
        <f>SUMIF(Sellables!$A$2:$A$11482, $A181, Sellables!$G$2:$G$11482)</f>
        <v>0</v>
      </c>
      <c s="32" r="P181">
        <f>SUMIF(Skills!$A$2:$A$9999, A181, Skills!$F$2:$F$9999)</f>
        <v>0</v>
      </c>
      <c s="14" r="Q181">
        <f>(N181+O181)+P181</f>
        <v>10.81</v>
      </c>
      <c s="23" r="R181">
        <f>(E181+L181)-M181</f>
        <v>15.25</v>
      </c>
      <c s="70" r="S181">
        <f>Q181-R181</f>
        <v>-4.44</v>
      </c>
      <c s="29" r="T181">
        <f> (Q181/R181) - 1</f>
        <v>-0.291147540983606</v>
      </c>
      <c t="str" s="70" r="U181">
        <f>R181/X181</f>
        <v>#DIV/0!:divZero</v>
      </c>
      <c t="str" s="70" r="V181">
        <f>Q181/X181</f>
        <v>#DIV/0!:divZero</v>
      </c>
      <c t="s" s="30" r="W181">
        <v>98</v>
      </c>
      <c s="30" r="X181">
        <v>0</v>
      </c>
      <c t="s" s="30" r="Y181">
        <v>104</v>
      </c>
      <c t="s" s="30" r="Z181">
        <v>42</v>
      </c>
      <c s="30" r="AA181">
        <v>0</v>
      </c>
      <c s="30" r="AB181">
        <v>0</v>
      </c>
      <c s="30" r="AC181">
        <v>0</v>
      </c>
      <c s="30" r="AD181">
        <v>0</v>
      </c>
      <c s="30" r="AE181"/>
      <c t="str" s="8" r="AF181">
        <f>(I181+J181)/R181</f>
        <v>#VALUE!:notNumber:NA</v>
      </c>
      <c t="str" s="28" r="AG181">
        <f>G181/$X181</f>
        <v>#DIV/0!:divZero</v>
      </c>
      <c t="str" s="28" r="AH181">
        <f>H181/$X181</f>
        <v>#DIV/0!:divZero</v>
      </c>
      <c t="str" s="28" r="AI181">
        <f>I181/$X181</f>
        <v>#DIV/0!:divZero</v>
      </c>
      <c t="str" s="28" r="AJ181">
        <f>J181/$X181</f>
        <v>#DIV/0!:divZero</v>
      </c>
      <c t="str" s="28" r="AK181">
        <f>K181/$X181</f>
        <v>#DIV/0!:divZero</v>
      </c>
      <c s="30" r="AL181">
        <v>1</v>
      </c>
    </row>
    <row r="182">
      <c s="30" r="A182">
        <v>181</v>
      </c>
      <c t="s" s="30" r="B182">
        <v>55</v>
      </c>
      <c s="62" r="C182">
        <v>41575</v>
      </c>
      <c s="52" r="D182">
        <v>0.6875</v>
      </c>
      <c s="55" r="E182">
        <f>205*0.70</f>
        <v>143.5</v>
      </c>
      <c s="55" r="F182"/>
      <c t="s" s="55" r="G182">
        <v>39</v>
      </c>
      <c t="s" s="55" r="H182">
        <v>39</v>
      </c>
      <c t="s" s="55" r="I182">
        <v>39</v>
      </c>
      <c t="s" s="55" r="J182">
        <v>39</v>
      </c>
      <c t="s" s="55" r="K182">
        <v>39</v>
      </c>
      <c s="80" r="L182">
        <v>0</v>
      </c>
      <c s="79" r="M182">
        <v>0</v>
      </c>
      <c s="79" r="N182">
        <f>118.84-61.20</f>
        <v>57.64</v>
      </c>
      <c s="32" r="O182">
        <f>SUMIF(Sellables!$A$2:$A$11482, $A182, Sellables!$G$2:$G$11482)</f>
        <v>65.32</v>
      </c>
      <c s="32" r="P182">
        <f>SUMIF(Skills!$A$2:$A$9999, A182, Skills!$F$2:$F$9999)</f>
        <v>0</v>
      </c>
      <c s="14" r="Q182">
        <f>(N182+O182)+P182</f>
        <v>122.96</v>
      </c>
      <c s="23" r="R182">
        <f>(E182+L182)-M182</f>
        <v>143.5</v>
      </c>
      <c s="70" r="S182">
        <f>Q182-R182</f>
        <v>-20.54</v>
      </c>
      <c s="29" r="T182">
        <f> (Q182/R182) - 1</f>
        <v>-0.143135888501742</v>
      </c>
      <c t="str" s="70" r="U182">
        <f>R182/X182</f>
        <v>#DIV/0!:divZero</v>
      </c>
      <c t="str" s="70" r="V182">
        <f>Q182/X182</f>
        <v>#DIV/0!:divZero</v>
      </c>
      <c t="s" s="30" r="W182">
        <v>56</v>
      </c>
      <c s="30" r="X182">
        <v>0</v>
      </c>
      <c t="s" s="30" r="Y182">
        <v>104</v>
      </c>
      <c t="s" s="30" r="Z182">
        <v>42</v>
      </c>
      <c s="30" r="AA182">
        <v>0</v>
      </c>
      <c s="30" r="AB182">
        <v>0</v>
      </c>
      <c s="30" r="AC182">
        <v>0</v>
      </c>
      <c s="30" r="AD182">
        <v>0</v>
      </c>
      <c s="30" r="AE182"/>
      <c t="str" s="8" r="AF182">
        <f>(I182+J182)/R182</f>
        <v>#VALUE!:notNumber:NA</v>
      </c>
      <c t="str" s="28" r="AG182">
        <f>G182/$X182</f>
        <v>#DIV/0!:divZero</v>
      </c>
      <c t="str" s="28" r="AH182">
        <f>H182/$X182</f>
        <v>#DIV/0!:divZero</v>
      </c>
      <c t="str" s="28" r="AI182">
        <f>I182/$X182</f>
        <v>#DIV/0!:divZero</v>
      </c>
      <c t="str" s="28" r="AJ182">
        <f>J182/$X182</f>
        <v>#DIV/0!:divZero</v>
      </c>
      <c t="str" s="28" r="AK182">
        <f>K182/$X182</f>
        <v>#DIV/0!:divZero</v>
      </c>
      <c s="30" r="AL182">
        <v>1</v>
      </c>
    </row>
    <row r="183">
      <c s="30" r="A183">
        <v>182</v>
      </c>
      <c t="s" s="30" r="B183">
        <v>55</v>
      </c>
      <c s="62" r="C183">
        <v>41575</v>
      </c>
      <c s="52" r="D183">
        <v>0.6875</v>
      </c>
      <c s="55" r="E183">
        <f>497*0.07</f>
        <v>34.79</v>
      </c>
      <c s="55" r="F183"/>
      <c t="s" s="55" r="G183">
        <v>39</v>
      </c>
      <c t="s" s="55" r="H183">
        <v>39</v>
      </c>
      <c t="s" s="55" r="I183">
        <v>39</v>
      </c>
      <c t="s" s="55" r="J183">
        <v>39</v>
      </c>
      <c t="s" s="55" r="K183">
        <v>39</v>
      </c>
      <c s="80" r="L183">
        <v>0</v>
      </c>
      <c s="79" r="M183">
        <v>0</v>
      </c>
      <c s="79" r="N183">
        <v>34.92</v>
      </c>
      <c s="32" r="O183">
        <f>SUMIF(Sellables!$A$2:$A$11482, $A183, Sellables!$G$2:$G$11482)</f>
        <v>0</v>
      </c>
      <c s="32" r="P183">
        <f>SUMIF(Skills!$A$2:$A$9999, A183, Skills!$F$2:$F$9999)</f>
        <v>0</v>
      </c>
      <c s="14" r="Q183">
        <f>(N183+O183)+P183</f>
        <v>34.92</v>
      </c>
      <c s="23" r="R183">
        <f>(E183+L183)-M183</f>
        <v>34.79</v>
      </c>
      <c s="70" r="S183">
        <f>Q183-R183</f>
        <v>0.129999999999995</v>
      </c>
      <c s="29" r="T183">
        <f> (Q183/R183) - 1</f>
        <v>0.003736705949986</v>
      </c>
      <c t="str" s="70" r="U183">
        <f>R183/X183</f>
        <v>#DIV/0!:divZero</v>
      </c>
      <c t="str" s="70" r="V183">
        <f>Q183/X183</f>
        <v>#DIV/0!:divZero</v>
      </c>
      <c t="s" s="30" r="W183">
        <v>190</v>
      </c>
      <c s="30" r="X183">
        <v>0</v>
      </c>
      <c t="s" s="30" r="Y183">
        <v>158</v>
      </c>
      <c t="s" s="30" r="Z183">
        <v>65</v>
      </c>
      <c s="30" r="AA183">
        <v>0</v>
      </c>
      <c s="30" r="AB183">
        <v>0</v>
      </c>
      <c s="30" r="AC183">
        <v>0</v>
      </c>
      <c s="30" r="AD183">
        <v>0</v>
      </c>
      <c s="30" r="AE183"/>
      <c t="str" s="8" r="AF183">
        <f>(I183+J183)/R183</f>
        <v>#VALUE!:notNumber:NA</v>
      </c>
      <c t="str" s="28" r="AG183">
        <f>G183/$X183</f>
        <v>#DIV/0!:divZero</v>
      </c>
      <c t="str" s="28" r="AH183">
        <f>H183/$X183</f>
        <v>#DIV/0!:divZero</v>
      </c>
      <c t="str" s="28" r="AI183">
        <f>I183/$X183</f>
        <v>#DIV/0!:divZero</v>
      </c>
      <c t="str" s="28" r="AJ183">
        <f>J183/$X183</f>
        <v>#DIV/0!:divZero</v>
      </c>
      <c t="str" s="28" r="AK183">
        <f>K183/$X183</f>
        <v>#DIV/0!:divZero</v>
      </c>
      <c s="30" r="AL183">
        <v>1</v>
      </c>
    </row>
    <row r="184">
      <c s="30" r="A184">
        <v>183</v>
      </c>
      <c t="s" s="30" r="B184">
        <v>38</v>
      </c>
      <c s="62" r="C184">
        <v>41575</v>
      </c>
      <c s="52" r="D184">
        <v>0.90625</v>
      </c>
      <c s="55" r="E184">
        <v>500</v>
      </c>
      <c s="55" r="F184"/>
      <c t="s" s="55" r="G184">
        <v>39</v>
      </c>
      <c t="s" s="55" r="H184">
        <v>39</v>
      </c>
      <c t="s" s="55" r="I184">
        <v>39</v>
      </c>
      <c t="s" s="55" r="J184">
        <v>39</v>
      </c>
      <c t="s" s="55" r="K184">
        <v>39</v>
      </c>
      <c s="80" r="L184">
        <v>112.59</v>
      </c>
      <c s="79" r="M184">
        <v>188.42</v>
      </c>
      <c s="79" r="N184">
        <v>214.37</v>
      </c>
      <c s="32" r="O184">
        <f>SUMIF(Sellables!$A$2:$A$11482, $A184, Sellables!$G$2:$G$11482)</f>
        <v>0</v>
      </c>
      <c s="32" r="P184">
        <f>SUMIF(Skills!$A$2:$A$9999, A184, Skills!$F$2:$F$9999)</f>
        <v>0</v>
      </c>
      <c s="14" r="Q184">
        <f>(N184+O184)+P184</f>
        <v>214.37</v>
      </c>
      <c s="23" r="R184">
        <f>(E184+L184)-M184</f>
        <v>424.17</v>
      </c>
      <c s="70" r="S184">
        <f>Q184-R184</f>
        <v>-209.8</v>
      </c>
      <c s="29" r="T184">
        <f> (Q184/R184) - 1</f>
        <v>-0.494613008935097</v>
      </c>
      <c t="str" s="70" r="U184">
        <f>R184/X184</f>
        <v>#DIV/0!:divZero</v>
      </c>
      <c t="str" s="70" r="V184">
        <f>Q184/X184</f>
        <v>#DIV/0!:divZero</v>
      </c>
      <c t="s" s="30" r="W184">
        <v>159</v>
      </c>
      <c s="30" r="X184">
        <v>0</v>
      </c>
      <c t="s" s="30" r="Y184">
        <v>67</v>
      </c>
      <c t="s" s="30" r="Z184">
        <v>65</v>
      </c>
      <c s="30" r="AA184">
        <v>0</v>
      </c>
      <c s="30" r="AB184">
        <v>0</v>
      </c>
      <c s="30" r="AC184">
        <v>0</v>
      </c>
      <c s="30" r="AD184">
        <v>0</v>
      </c>
      <c s="30" r="AE184"/>
      <c t="str" s="8" r="AF184">
        <f>(I184+J184)/R184</f>
        <v>#VALUE!:notNumber:NA</v>
      </c>
      <c t="str" s="28" r="AG184">
        <f>G184/$X184</f>
        <v>#DIV/0!:divZero</v>
      </c>
      <c t="str" s="28" r="AH184">
        <f>H184/$X184</f>
        <v>#DIV/0!:divZero</v>
      </c>
      <c t="str" s="28" r="AI184">
        <f>I184/$X184</f>
        <v>#DIV/0!:divZero</v>
      </c>
      <c t="str" s="28" r="AJ184">
        <f>J184/$X184</f>
        <v>#DIV/0!:divZero</v>
      </c>
      <c t="str" s="28" r="AK184">
        <f>K184/$X184</f>
        <v>#DIV/0!:divZero</v>
      </c>
      <c s="30" r="AL184">
        <v>1</v>
      </c>
    </row>
    <row r="185">
      <c s="30" r="A185">
        <v>184</v>
      </c>
      <c t="s" s="30" r="B185">
        <v>55</v>
      </c>
      <c s="62" r="C185">
        <v>41575</v>
      </c>
      <c s="52" r="D185">
        <v>0.90625</v>
      </c>
      <c s="55" r="E185">
        <f>358*0.07</f>
        <v>25.06</v>
      </c>
      <c s="55" r="F185"/>
      <c t="s" s="55" r="G185">
        <v>39</v>
      </c>
      <c t="s" s="55" r="H185">
        <v>39</v>
      </c>
      <c t="s" s="55" r="I185">
        <v>39</v>
      </c>
      <c t="s" s="55" r="J185">
        <v>39</v>
      </c>
      <c t="s" s="55" r="K185">
        <v>39</v>
      </c>
      <c s="80" r="L185">
        <v>0</v>
      </c>
      <c s="79" r="M185">
        <v>0</v>
      </c>
      <c s="79" r="N185">
        <f>21.23-5.03</f>
        <v>16.2</v>
      </c>
      <c s="32" r="O185">
        <f>SUMIF(Sellables!$A$2:$A$11482, $A185, Sellables!$G$2:$G$11482)</f>
        <v>10.26</v>
      </c>
      <c s="32" r="P185">
        <f>SUMIF(Skills!$A$2:$A$9999, A185, Skills!$F$2:$F$9999)</f>
        <v>0</v>
      </c>
      <c s="14" r="Q185">
        <f>(N185+O185)+P185</f>
        <v>26.46</v>
      </c>
      <c s="23" r="R185">
        <f>(E185+L185)-M185</f>
        <v>25.06</v>
      </c>
      <c s="70" r="S185">
        <f>Q185-R185</f>
        <v>1.4</v>
      </c>
      <c s="29" r="T185">
        <f> (Q185/R185) - 1</f>
        <v>0.055865921787709</v>
      </c>
      <c t="str" s="70" r="U185">
        <f>R185/X185</f>
        <v>#DIV/0!:divZero</v>
      </c>
      <c t="str" s="70" r="V185">
        <f>Q185/X185</f>
        <v>#DIV/0!:divZero</v>
      </c>
      <c t="s" s="30" r="W185">
        <v>191</v>
      </c>
      <c s="30" r="X185">
        <v>0</v>
      </c>
      <c t="s" s="30" r="Y185">
        <v>67</v>
      </c>
      <c t="s" s="30" r="Z185">
        <v>65</v>
      </c>
      <c s="30" r="AA185">
        <v>0</v>
      </c>
      <c s="30" r="AB185">
        <v>0</v>
      </c>
      <c s="30" r="AC185">
        <v>0</v>
      </c>
      <c s="30" r="AD185">
        <v>0</v>
      </c>
      <c s="30" r="AE185"/>
      <c t="str" s="8" r="AF185">
        <f>(I185+J185)/R185</f>
        <v>#VALUE!:notNumber:NA</v>
      </c>
      <c t="str" s="28" r="AG185">
        <f>G185/$X185</f>
        <v>#DIV/0!:divZero</v>
      </c>
      <c t="str" s="28" r="AH185">
        <f>H185/$X185</f>
        <v>#DIV/0!:divZero</v>
      </c>
      <c t="str" s="28" r="AI185">
        <f>I185/$X185</f>
        <v>#DIV/0!:divZero</v>
      </c>
      <c t="str" s="28" r="AJ185">
        <f>J185/$X185</f>
        <v>#DIV/0!:divZero</v>
      </c>
      <c t="str" s="28" r="AK185">
        <f>K185/$X185</f>
        <v>#DIV/0!:divZero</v>
      </c>
      <c s="30" r="AL185">
        <v>1</v>
      </c>
    </row>
    <row r="186">
      <c s="30" r="A186">
        <v>185</v>
      </c>
      <c t="s" s="30" r="B186">
        <v>55</v>
      </c>
      <c s="62" r="C186">
        <v>41576</v>
      </c>
      <c s="52" r="D186">
        <v>0.447916666666667</v>
      </c>
      <c s="55" r="E186">
        <f>206*0.07</f>
        <v>14.42</v>
      </c>
      <c s="55" r="F186"/>
      <c t="s" s="55" r="G186">
        <v>39</v>
      </c>
      <c t="s" s="55" r="H186">
        <v>39</v>
      </c>
      <c t="s" s="55" r="I186">
        <v>39</v>
      </c>
      <c t="s" s="55" r="J186">
        <v>39</v>
      </c>
      <c t="s" s="55" r="K186">
        <v>39</v>
      </c>
      <c s="80" r="L186">
        <v>0</v>
      </c>
      <c s="79" r="M186">
        <v>0</v>
      </c>
      <c s="79" r="N186">
        <v>10.74</v>
      </c>
      <c s="32" r="O186">
        <f>SUMIF(Sellables!$A$2:$A$11482, $A186, Sellables!$G$2:$G$11482)</f>
        <v>0</v>
      </c>
      <c s="32" r="P186">
        <f>SUMIF(Skills!$A$2:$A$9999, A186, Skills!$F$2:$F$9999)</f>
        <v>0</v>
      </c>
      <c s="14" r="Q186">
        <f>(N186+O186)+P186</f>
        <v>10.74</v>
      </c>
      <c s="23" r="R186">
        <f>(E186+L186)-M186</f>
        <v>14.42</v>
      </c>
      <c s="70" r="S186">
        <f>Q186-R186</f>
        <v>-3.68</v>
      </c>
      <c s="29" r="T186">
        <f> (Q186/R186) - 1</f>
        <v>-0.255201109570042</v>
      </c>
      <c t="str" s="70" r="U186">
        <f>R186/X186</f>
        <v>#DIV/0!:divZero</v>
      </c>
      <c t="str" s="70" r="V186">
        <f>Q186/X186</f>
        <v>#DIV/0!:divZero</v>
      </c>
      <c t="s" s="30" r="W186">
        <v>190</v>
      </c>
      <c s="30" r="X186">
        <v>0</v>
      </c>
      <c t="s" s="30" r="Y186">
        <v>104</v>
      </c>
      <c t="s" s="30" r="Z186">
        <v>42</v>
      </c>
      <c s="30" r="AA186">
        <v>0</v>
      </c>
      <c s="30" r="AB186">
        <v>0</v>
      </c>
      <c s="30" r="AC186">
        <v>0</v>
      </c>
      <c s="30" r="AD186">
        <v>0</v>
      </c>
      <c s="30" r="AE186"/>
      <c t="str" s="8" r="AF186">
        <f>(I186+J186)/R186</f>
        <v>#VALUE!:notNumber:NA</v>
      </c>
      <c t="str" s="28" r="AG186">
        <f>G186/$X186</f>
        <v>#DIV/0!:divZero</v>
      </c>
      <c t="str" s="28" r="AH186">
        <f>H186/$X186</f>
        <v>#DIV/0!:divZero</v>
      </c>
      <c t="str" s="28" r="AI186">
        <f>I186/$X186</f>
        <v>#DIV/0!:divZero</v>
      </c>
      <c t="str" s="28" r="AJ186">
        <f>J186/$X186</f>
        <v>#DIV/0!:divZero</v>
      </c>
      <c t="str" s="28" r="AK186">
        <f>K186/$X186</f>
        <v>#DIV/0!:divZero</v>
      </c>
      <c s="30" r="AL186">
        <v>1</v>
      </c>
    </row>
    <row r="187">
      <c s="30" r="A187">
        <v>186</v>
      </c>
      <c t="s" s="30" r="B187">
        <v>55</v>
      </c>
      <c s="62" r="C187">
        <v>41576</v>
      </c>
      <c s="52" r="D187">
        <v>0.5</v>
      </c>
      <c s="55" r="E187">
        <f>14*0.31</f>
        <v>4.34</v>
      </c>
      <c s="55" r="F187"/>
      <c t="s" s="55" r="G187">
        <v>39</v>
      </c>
      <c t="s" s="55" r="H187">
        <v>39</v>
      </c>
      <c t="s" s="55" r="I187">
        <v>39</v>
      </c>
      <c t="s" s="55" r="J187">
        <v>39</v>
      </c>
      <c t="s" s="55" r="K187">
        <v>39</v>
      </c>
      <c s="80" r="L187">
        <v>0</v>
      </c>
      <c s="79" r="M187">
        <v>0</v>
      </c>
      <c s="79" r="N187">
        <v>2.5</v>
      </c>
      <c s="32" r="O187">
        <f>SUMIF(Sellables!$A$2:$A$11482, $A187, Sellables!$G$2:$G$11482)</f>
        <v>0</v>
      </c>
      <c s="32" r="P187">
        <f>SUMIF(Skills!$A$2:$A$9999, A187, Skills!$F$2:$F$9999)</f>
        <v>0</v>
      </c>
      <c s="14" r="Q187">
        <f>(N187+O187)+P187</f>
        <v>2.5</v>
      </c>
      <c s="23" r="R187">
        <f>(E187+L187)-M187</f>
        <v>4.34</v>
      </c>
      <c s="70" r="S187">
        <f>Q187-R187</f>
        <v>-1.84</v>
      </c>
      <c s="29" r="T187">
        <f> (Q187/R187) - 1</f>
        <v>-0.423963133640553</v>
      </c>
      <c t="str" s="70" r="U187">
        <f>R187/X187</f>
        <v>#DIV/0!:divZero</v>
      </c>
      <c t="str" s="70" r="V187">
        <f>Q187/X187</f>
        <v>#DIV/0!:divZero</v>
      </c>
      <c t="s" s="30" r="W187">
        <v>133</v>
      </c>
      <c s="30" r="X187">
        <v>0</v>
      </c>
      <c t="s" s="30" r="Y187">
        <v>104</v>
      </c>
      <c t="s" s="30" r="Z187">
        <v>42</v>
      </c>
      <c s="30" r="AA187">
        <v>0</v>
      </c>
      <c s="30" r="AB187">
        <v>0</v>
      </c>
      <c s="30" r="AC187">
        <v>0</v>
      </c>
      <c s="30" r="AD187">
        <v>0</v>
      </c>
      <c s="30" r="AE187"/>
      <c t="str" s="8" r="AF187">
        <f>(I187+J187)/R187</f>
        <v>#VALUE!:notNumber:NA</v>
      </c>
      <c t="str" s="28" r="AG187">
        <f>G187/$X187</f>
        <v>#DIV/0!:divZero</v>
      </c>
      <c t="str" s="28" r="AH187">
        <f>H187/$X187</f>
        <v>#DIV/0!:divZero</v>
      </c>
      <c t="str" s="28" r="AI187">
        <f>I187/$X187</f>
        <v>#DIV/0!:divZero</v>
      </c>
      <c t="str" s="28" r="AJ187">
        <f>J187/$X187</f>
        <v>#DIV/0!:divZero</v>
      </c>
      <c t="str" s="28" r="AK187">
        <f>K187/$X187</f>
        <v>#DIV/0!:divZero</v>
      </c>
      <c s="30" r="AL187">
        <v>1</v>
      </c>
    </row>
    <row r="188">
      <c s="30" r="A188">
        <v>187</v>
      </c>
      <c t="s" s="30" r="B188">
        <v>55</v>
      </c>
      <c s="62" r="C188">
        <v>41576</v>
      </c>
      <c s="52" r="D188">
        <v>0.697916666666667</v>
      </c>
      <c s="55" r="E188">
        <f>6*2</f>
        <v>12</v>
      </c>
      <c s="55" r="F188"/>
      <c t="s" s="55" r="G188">
        <v>39</v>
      </c>
      <c t="s" s="55" r="H188">
        <v>39</v>
      </c>
      <c t="s" s="55" r="I188">
        <v>39</v>
      </c>
      <c t="s" s="55" r="J188">
        <v>39</v>
      </c>
      <c t="s" s="55" r="K188">
        <v>39</v>
      </c>
      <c s="80" r="L188">
        <v>0</v>
      </c>
      <c s="79" r="M188">
        <v>0</v>
      </c>
      <c s="79" r="N188">
        <v>3.14</v>
      </c>
      <c s="32" r="O188">
        <f>SUMIF(Sellables!$A$2:$A$11482, $A188, Sellables!$G$2:$G$11482)</f>
        <v>0</v>
      </c>
      <c s="32" r="P188">
        <f>SUMIF(Skills!$A$2:$A$9999, A188, Skills!$F$2:$F$9999)</f>
        <v>0</v>
      </c>
      <c s="14" r="Q188">
        <f>(N188+O188)+P188</f>
        <v>3.14</v>
      </c>
      <c s="23" r="R188">
        <f>(E188+L188)-M188</f>
        <v>12</v>
      </c>
      <c s="70" r="S188">
        <f>Q188-R188</f>
        <v>-8.86</v>
      </c>
      <c s="29" r="T188">
        <f> (Q188/R188) - 1</f>
        <v>-0.738333333333333</v>
      </c>
      <c t="str" s="70" r="U188">
        <f>R188/X188</f>
        <v>#DIV/0!:divZero</v>
      </c>
      <c t="str" s="70" r="V188">
        <f>Q188/X188</f>
        <v>#DIV/0!:divZero</v>
      </c>
      <c t="s" s="30" r="W188">
        <v>192</v>
      </c>
      <c s="30" r="X188">
        <v>0</v>
      </c>
      <c t="s" s="30" r="Y188">
        <v>182</v>
      </c>
      <c t="s" s="30" r="Z188">
        <v>42</v>
      </c>
      <c s="30" r="AA188">
        <v>0</v>
      </c>
      <c s="30" r="AB188">
        <v>0</v>
      </c>
      <c s="30" r="AC188">
        <v>0</v>
      </c>
      <c s="30" r="AD188">
        <v>0</v>
      </c>
      <c s="30" r="AE188"/>
      <c t="str" s="8" r="AF188">
        <f>(I188+J188)/R188</f>
        <v>#VALUE!:notNumber:NA</v>
      </c>
      <c t="str" s="28" r="AG188">
        <f>G188/$X188</f>
        <v>#DIV/0!:divZero</v>
      </c>
      <c t="str" s="28" r="AH188">
        <f>H188/$X188</f>
        <v>#DIV/0!:divZero</v>
      </c>
      <c t="str" s="28" r="AI188">
        <f>I188/$X188</f>
        <v>#DIV/0!:divZero</v>
      </c>
      <c t="str" s="28" r="AJ188">
        <f>J188/$X188</f>
        <v>#DIV/0!:divZero</v>
      </c>
      <c t="str" s="28" r="AK188">
        <f>K188/$X188</f>
        <v>#DIV/0!:divZero</v>
      </c>
      <c s="30" r="AL188">
        <v>1</v>
      </c>
    </row>
    <row r="189">
      <c s="30" r="A189">
        <v>188</v>
      </c>
      <c t="s" s="30" r="B189">
        <v>55</v>
      </c>
      <c s="62" r="C189">
        <v>41576</v>
      </c>
      <c s="52" r="D189">
        <v>0.708333333333333</v>
      </c>
      <c s="55" r="E189">
        <f>130*1.9</f>
        <v>247</v>
      </c>
      <c s="55" r="F189"/>
      <c t="s" s="55" r="G189">
        <v>39</v>
      </c>
      <c t="s" s="55" r="H189">
        <v>39</v>
      </c>
      <c t="s" s="55" r="I189">
        <v>39</v>
      </c>
      <c t="s" s="55" r="J189">
        <v>39</v>
      </c>
      <c t="s" s="55" r="K189">
        <v>39</v>
      </c>
      <c s="80" r="L189">
        <v>0</v>
      </c>
      <c s="79" r="M189">
        <v>0</v>
      </c>
      <c s="79" r="N189">
        <v>43.31</v>
      </c>
      <c s="32" r="O189">
        <f>SUMIF(Sellables!$A$2:$A$11482, $A189, Sellables!$G$2:$G$11482)</f>
        <v>237.7083</v>
      </c>
      <c s="32" r="P189">
        <f>SUMIF(Skills!$A$2:$A$9999, A189, Skills!$F$2:$F$9999)</f>
        <v>0</v>
      </c>
      <c s="14" r="Q189">
        <f>(N189+O189)+P189</f>
        <v>281.0183</v>
      </c>
      <c s="23" r="R189">
        <f>(E189+L189)-M189</f>
        <v>247</v>
      </c>
      <c s="70" r="S189">
        <f>Q189-R189</f>
        <v>34.0183</v>
      </c>
      <c s="29" r="T189">
        <f> (Q189/R189) - 1</f>
        <v>0.137725910931174</v>
      </c>
      <c t="str" s="70" r="U189">
        <f>R189/X189</f>
        <v>#DIV/0!:divZero</v>
      </c>
      <c t="str" s="70" r="V189">
        <f>Q189/X189</f>
        <v>#DIV/0!:divZero</v>
      </c>
      <c t="s" s="30" r="W189">
        <v>92</v>
      </c>
      <c s="30" r="X189">
        <v>0</v>
      </c>
      <c t="s" s="30" r="Y189">
        <v>182</v>
      </c>
      <c t="s" s="30" r="Z189">
        <v>42</v>
      </c>
      <c s="30" r="AA189">
        <v>0</v>
      </c>
      <c s="30" r="AB189">
        <v>0</v>
      </c>
      <c s="30" r="AC189">
        <v>0</v>
      </c>
      <c s="30" r="AD189">
        <v>0</v>
      </c>
      <c s="30" r="AE189"/>
      <c t="str" s="8" r="AF189">
        <f>(I189+J189)/R189</f>
        <v>#VALUE!:notNumber:NA</v>
      </c>
      <c t="str" s="28" r="AG189">
        <f>G189/$X189</f>
        <v>#DIV/0!:divZero</v>
      </c>
      <c t="str" s="28" r="AH189">
        <f>H189/$X189</f>
        <v>#DIV/0!:divZero</v>
      </c>
      <c t="str" s="28" r="AI189">
        <f>I189/$X189</f>
        <v>#DIV/0!:divZero</v>
      </c>
      <c t="str" s="28" r="AJ189">
        <f>J189/$X189</f>
        <v>#DIV/0!:divZero</v>
      </c>
      <c t="str" s="28" r="AK189">
        <f>K189/$X189</f>
        <v>#DIV/0!:divZero</v>
      </c>
      <c s="30" r="AL189">
        <v>1</v>
      </c>
    </row>
    <row r="190">
      <c s="30" r="A190">
        <v>189</v>
      </c>
      <c t="s" s="30" r="B190">
        <v>55</v>
      </c>
      <c s="62" r="C190">
        <v>41576</v>
      </c>
      <c s="52" r="D190">
        <v>0.708333333333333</v>
      </c>
      <c s="55" r="E190">
        <f>19*2</f>
        <v>38</v>
      </c>
      <c s="55" r="F190"/>
      <c t="s" s="55" r="G190">
        <v>39</v>
      </c>
      <c t="s" s="55" r="H190">
        <v>39</v>
      </c>
      <c t="s" s="55" r="I190">
        <v>39</v>
      </c>
      <c t="s" s="55" r="J190">
        <v>39</v>
      </c>
      <c t="s" s="55" r="K190">
        <v>39</v>
      </c>
      <c s="80" r="L190">
        <v>0</v>
      </c>
      <c s="79" r="M190">
        <v>0</v>
      </c>
      <c s="79" r="N190">
        <v>5.6</v>
      </c>
      <c s="32" r="O190">
        <f>SUMIF(Sellables!$A$2:$A$11482, $A190, Sellables!$G$2:$G$11482)</f>
        <v>23.8403</v>
      </c>
      <c s="32" r="P190">
        <f>SUMIF(Skills!$A$2:$A$9999, A190, Skills!$F$2:$F$9999)</f>
        <v>0</v>
      </c>
      <c s="14" r="Q190">
        <f>(N190+O190)+P190</f>
        <v>29.4403</v>
      </c>
      <c s="23" r="R190">
        <f>(E190+L190)-M190</f>
        <v>38</v>
      </c>
      <c s="70" r="S190">
        <f>Q190-R190</f>
        <v>-8.5597</v>
      </c>
      <c s="29" r="T190">
        <f> (Q190/R190) - 1</f>
        <v>-0.225255263157895</v>
      </c>
      <c t="str" s="70" r="U190">
        <f>R190/X190</f>
        <v>#DIV/0!:divZero</v>
      </c>
      <c t="str" s="70" r="V190">
        <f>Q190/X190</f>
        <v>#DIV/0!:divZero</v>
      </c>
      <c t="s" s="30" r="W190">
        <v>193</v>
      </c>
      <c s="30" r="X190">
        <v>0</v>
      </c>
      <c t="s" s="30" r="Y190">
        <v>182</v>
      </c>
      <c t="s" s="30" r="Z190">
        <v>42</v>
      </c>
      <c s="30" r="AA190">
        <v>0</v>
      </c>
      <c s="30" r="AB190">
        <v>0</v>
      </c>
      <c s="30" r="AC190">
        <v>0</v>
      </c>
      <c s="30" r="AD190">
        <v>0</v>
      </c>
      <c s="30" r="AE190"/>
      <c t="str" s="8" r="AF190">
        <f>(I190+J190)/R190</f>
        <v>#VALUE!:notNumber:NA</v>
      </c>
      <c t="str" s="28" r="AG190">
        <f>G190/$X190</f>
        <v>#DIV/0!:divZero</v>
      </c>
      <c t="str" s="28" r="AH190">
        <f>H190/$X190</f>
        <v>#DIV/0!:divZero</v>
      </c>
      <c t="str" s="28" r="AI190">
        <f>I190/$X190</f>
        <v>#DIV/0!:divZero</v>
      </c>
      <c t="str" s="28" r="AJ190">
        <f>J190/$X190</f>
        <v>#DIV/0!:divZero</v>
      </c>
      <c t="str" s="28" r="AK190">
        <f>K190/$X190</f>
        <v>#DIV/0!:divZero</v>
      </c>
      <c s="30" r="AL190">
        <v>1</v>
      </c>
    </row>
    <row r="191">
      <c s="30" r="A191">
        <v>190</v>
      </c>
      <c t="s" s="30" r="B191">
        <v>38</v>
      </c>
      <c s="62" r="C191">
        <v>41576</v>
      </c>
      <c s="52" r="D191">
        <v>0.8125</v>
      </c>
      <c s="55" r="E191">
        <v>500</v>
      </c>
      <c s="55" r="F191"/>
      <c t="s" s="55" r="G191">
        <v>39</v>
      </c>
      <c t="s" s="55" r="H191">
        <v>39</v>
      </c>
      <c t="s" s="55" r="I191">
        <v>39</v>
      </c>
      <c t="s" s="55" r="J191">
        <v>39</v>
      </c>
      <c t="s" s="55" r="K191">
        <v>39</v>
      </c>
      <c s="80" r="L191">
        <v>161.59</v>
      </c>
      <c s="79" r="M191">
        <v>39.34</v>
      </c>
      <c s="79" r="N191">
        <v>279.66</v>
      </c>
      <c s="32" r="O191">
        <f>SUMIF(Sellables!$A$2:$A$11482, $A191, Sellables!$G$2:$G$11482)</f>
        <v>154.30894</v>
      </c>
      <c s="32" r="P191">
        <f>SUMIF(Skills!$A$2:$A$9999, A191, Skills!$F$2:$F$9999)</f>
        <v>0</v>
      </c>
      <c s="14" r="Q191">
        <f>(N191+O191)+P191</f>
        <v>433.96894</v>
      </c>
      <c s="23" r="R191">
        <f>(E191+L191)-M191</f>
        <v>622.25</v>
      </c>
      <c s="70" r="S191">
        <f>Q191-R191</f>
        <v>-188.28106</v>
      </c>
      <c s="29" r="T191">
        <f> (Q191/R191) - 1</f>
        <v>-0.302581052631579</v>
      </c>
      <c t="str" s="70" r="U191">
        <f>R191/X191</f>
        <v>#DIV/0!:divZero</v>
      </c>
      <c t="str" s="70" r="V191">
        <f>Q191/X191</f>
        <v>#DIV/0!:divZero</v>
      </c>
      <c t="s" s="30" r="W191">
        <v>194</v>
      </c>
      <c s="30" r="X191">
        <v>0</v>
      </c>
      <c t="s" s="30" r="Y191">
        <v>182</v>
      </c>
      <c t="s" s="30" r="Z191">
        <v>42</v>
      </c>
      <c s="30" r="AA191">
        <v>0</v>
      </c>
      <c s="30" r="AB191">
        <v>0</v>
      </c>
      <c s="30" r="AC191">
        <v>1</v>
      </c>
      <c s="30" r="AD191">
        <v>0</v>
      </c>
      <c s="30" r="AE191"/>
      <c t="str" s="8" r="AF191">
        <f>(I191+J191)/R191</f>
        <v>#VALUE!:notNumber:NA</v>
      </c>
      <c t="str" s="28" r="AG191">
        <f>G191/$X191</f>
        <v>#DIV/0!:divZero</v>
      </c>
      <c t="str" s="28" r="AH191">
        <f>H191/$X191</f>
        <v>#DIV/0!:divZero</v>
      </c>
      <c t="str" s="28" r="AI191">
        <f>I191/$X191</f>
        <v>#DIV/0!:divZero</v>
      </c>
      <c t="str" s="28" r="AJ191">
        <f>J191/$X191</f>
        <v>#DIV/0!:divZero</v>
      </c>
      <c t="str" s="28" r="AK191">
        <f>K191/$X191</f>
        <v>#DIV/0!:divZero</v>
      </c>
      <c s="30" r="AL191">
        <v>1</v>
      </c>
    </row>
    <row r="192">
      <c s="30" r="A192">
        <v>191</v>
      </c>
      <c t="s" s="30" r="B192">
        <v>55</v>
      </c>
      <c s="62" r="C192">
        <v>41576</v>
      </c>
      <c s="52" r="D192">
        <v>0.833333333333333</v>
      </c>
      <c s="55" r="E192">
        <f>279*0.21</f>
        <v>58.59</v>
      </c>
      <c s="55" r="F192"/>
      <c t="s" s="55" r="G192">
        <v>39</v>
      </c>
      <c t="s" s="55" r="H192">
        <v>39</v>
      </c>
      <c t="s" s="55" r="I192">
        <v>39</v>
      </c>
      <c t="s" s="55" r="J192">
        <v>39</v>
      </c>
      <c t="s" s="55" r="K192">
        <v>39</v>
      </c>
      <c s="80" r="L192">
        <v>0</v>
      </c>
      <c s="79" r="M192">
        <v>0</v>
      </c>
      <c s="79" r="N192">
        <f>(57.53-14.23)-22.20</f>
        <v>21.1</v>
      </c>
      <c s="32" r="O192">
        <f>SUMIF(Sellables!$A$2:$A$11482, $A192, Sellables!$G$2:$G$11482)</f>
        <v>39.8994</v>
      </c>
      <c s="32" r="P192">
        <f>SUMIF(Skills!$A$2:$A$9999, A192, Skills!$F$2:$F$9999)</f>
        <v>0</v>
      </c>
      <c s="14" r="Q192">
        <f>(N192+O192)+P192</f>
        <v>60.9994</v>
      </c>
      <c s="23" r="R192">
        <f>(E192+L192)-M192</f>
        <v>58.59</v>
      </c>
      <c s="70" r="S192">
        <f>Q192-R192</f>
        <v>2.4094</v>
      </c>
      <c s="29" r="T192">
        <f> (Q192/R192) - 1</f>
        <v>0.041123058542413</v>
      </c>
      <c t="str" s="70" r="U192">
        <f>R192/X192</f>
        <v>#DIV/0!:divZero</v>
      </c>
      <c t="str" s="70" r="V192">
        <f>Q192/X192</f>
        <v>#DIV/0!:divZero</v>
      </c>
      <c t="s" s="30" r="W192">
        <v>103</v>
      </c>
      <c s="30" r="X192">
        <v>0</v>
      </c>
      <c t="s" s="30" r="Y192">
        <v>182</v>
      </c>
      <c t="s" s="30" r="Z192">
        <v>42</v>
      </c>
      <c s="30" r="AA192">
        <v>0</v>
      </c>
      <c s="30" r="AB192">
        <v>0</v>
      </c>
      <c s="30" r="AC192">
        <v>0</v>
      </c>
      <c s="30" r="AD192">
        <v>0</v>
      </c>
      <c s="30" r="AE192"/>
      <c t="str" s="8" r="AF192">
        <f>(I192+J192)/R192</f>
        <v>#VALUE!:notNumber:NA</v>
      </c>
      <c t="str" s="28" r="AG192">
        <f>G192/$X192</f>
        <v>#DIV/0!:divZero</v>
      </c>
      <c t="str" s="28" r="AH192">
        <f>H192/$X192</f>
        <v>#DIV/0!:divZero</v>
      </c>
      <c t="str" s="28" r="AI192">
        <f>I192/$X192</f>
        <v>#DIV/0!:divZero</v>
      </c>
      <c t="str" s="28" r="AJ192">
        <f>J192/$X192</f>
        <v>#DIV/0!:divZero</v>
      </c>
      <c t="str" s="28" r="AK192">
        <f>K192/$X192</f>
        <v>#DIV/0!:divZero</v>
      </c>
      <c s="30" r="AL192">
        <v>1</v>
      </c>
    </row>
    <row r="193">
      <c s="30" r="A193">
        <v>192</v>
      </c>
      <c t="s" s="30" r="B193">
        <v>38</v>
      </c>
      <c s="62" r="C193">
        <v>41576</v>
      </c>
      <c s="52" r="D193">
        <v>0.895833333333333</v>
      </c>
      <c s="55" r="E193">
        <v>500</v>
      </c>
      <c s="55" r="F193"/>
      <c t="s" s="55" r="G193">
        <v>39</v>
      </c>
      <c t="s" s="55" r="H193">
        <v>39</v>
      </c>
      <c t="s" s="55" r="I193">
        <v>39</v>
      </c>
      <c t="s" s="55" r="J193">
        <v>39</v>
      </c>
      <c t="s" s="55" r="K193">
        <v>39</v>
      </c>
      <c s="80" r="L193">
        <v>172.68</v>
      </c>
      <c s="79" r="M193">
        <v>66.53</v>
      </c>
      <c s="79" r="N193">
        <v>441.17</v>
      </c>
      <c s="32" r="O193">
        <f>SUMIF(Sellables!$A$2:$A$11482, $A193, Sellables!$G$2:$G$11482)</f>
        <v>0</v>
      </c>
      <c s="32" r="P193">
        <f>SUMIF(Skills!$A$2:$A$9999, A193, Skills!$F$2:$F$9999)</f>
        <v>0</v>
      </c>
      <c s="14" r="Q193">
        <f>(N193+O193)+P193</f>
        <v>441.17</v>
      </c>
      <c s="23" r="R193">
        <f>(E193+L193)-M193</f>
        <v>606.15</v>
      </c>
      <c s="70" r="S193">
        <f>Q193-R193</f>
        <v>-164.98</v>
      </c>
      <c s="29" r="T193">
        <f> (Q193/R193) - 1</f>
        <v>-0.272176853914048</v>
      </c>
      <c s="70" r="U193">
        <f>R193/X193</f>
        <v>4.55751879699248</v>
      </c>
      <c s="70" r="V193">
        <f>Q193/X193</f>
        <v>3.31706766917293</v>
      </c>
      <c t="s" s="30" r="W193">
        <v>118</v>
      </c>
      <c s="30" r="X193">
        <v>133</v>
      </c>
      <c t="s" s="30" r="Y193">
        <v>195</v>
      </c>
      <c t="s" s="30" r="Z193">
        <v>42</v>
      </c>
      <c s="30" r="AA193">
        <v>0</v>
      </c>
      <c s="30" r="AB193">
        <v>0</v>
      </c>
      <c s="30" r="AC193">
        <v>1</v>
      </c>
      <c s="30" r="AD193">
        <v>0</v>
      </c>
      <c s="30" r="AE193"/>
      <c t="str" s="8" r="AF193">
        <f>(I193+J193)/R193</f>
        <v>#VALUE!:notNumber:NA</v>
      </c>
      <c t="str" s="28" r="AG193">
        <f>G193/$X193</f>
        <v>#VALUE!:notNumber:NA</v>
      </c>
      <c t="str" s="28" r="AH193">
        <f>H193/$X193</f>
        <v>#VALUE!:notNumber:NA</v>
      </c>
      <c t="str" s="28" r="AI193">
        <f>I193/$X193</f>
        <v>#VALUE!:notNumber:NA</v>
      </c>
      <c t="str" s="28" r="AJ193">
        <f>J193/$X193</f>
        <v>#VALUE!:notNumber:NA</v>
      </c>
      <c t="str" s="28" r="AK193">
        <f>K193/$X193</f>
        <v>#VALUE!:notNumber:NA</v>
      </c>
      <c s="30" r="AL193">
        <v>1</v>
      </c>
    </row>
    <row r="194">
      <c s="30" r="A194">
        <v>193</v>
      </c>
      <c t="s" s="30" r="B194">
        <v>38</v>
      </c>
      <c s="62" r="C194">
        <v>41576</v>
      </c>
      <c s="52" r="D194">
        <v>0.916666666666667</v>
      </c>
      <c s="55" r="E194">
        <v>607</v>
      </c>
      <c s="55" r="F194"/>
      <c t="s" s="55" r="G194">
        <v>39</v>
      </c>
      <c t="s" s="55" r="H194">
        <v>39</v>
      </c>
      <c t="s" s="55" r="I194">
        <v>39</v>
      </c>
      <c t="s" s="55" r="J194">
        <v>39</v>
      </c>
      <c t="s" s="55" r="K194">
        <v>39</v>
      </c>
      <c s="80" r="L194">
        <v>191.15</v>
      </c>
      <c s="79" r="M194">
        <v>180.82</v>
      </c>
      <c s="79" r="N194">
        <v>653.9</v>
      </c>
      <c s="32" r="O194">
        <f>SUMIF(Sellables!$A$2:$A$11482, $A194, Sellables!$G$2:$G$11482)</f>
        <v>31.08</v>
      </c>
      <c s="32" r="P194">
        <f>SUMIF(Skills!$A$2:$A$9999, A194, Skills!$F$2:$F$9999)</f>
        <v>0</v>
      </c>
      <c s="14" r="Q194">
        <f>(N194+O194)+P194</f>
        <v>684.98</v>
      </c>
      <c s="23" r="R194">
        <f>(E194+L194)-M194</f>
        <v>617.33</v>
      </c>
      <c s="70" r="S194">
        <f>Q194-R194</f>
        <v>67.6500000000001</v>
      </c>
      <c s="29" r="T194">
        <f> (Q194/R194) - 1</f>
        <v>0.109584824972057</v>
      </c>
      <c s="70" r="U194">
        <f>R194/X194</f>
        <v>5.8238679245283</v>
      </c>
      <c s="70" r="V194">
        <f>Q194/X194</f>
        <v>6.46207547169811</v>
      </c>
      <c t="s" s="30" r="W194">
        <v>52</v>
      </c>
      <c s="30" r="X194">
        <v>106</v>
      </c>
      <c t="s" s="30" r="Y194">
        <v>53</v>
      </c>
      <c t="s" s="30" r="Z194">
        <v>54</v>
      </c>
      <c s="30" r="AA194">
        <v>0</v>
      </c>
      <c s="30" r="AB194">
        <v>0</v>
      </c>
      <c s="30" r="AC194">
        <v>6</v>
      </c>
      <c s="30" r="AD194">
        <v>0</v>
      </c>
      <c s="30" r="AE194"/>
      <c t="str" s="8" r="AF194">
        <f>(I194+J194)/R194</f>
        <v>#VALUE!:notNumber:NA</v>
      </c>
      <c t="str" s="28" r="AG194">
        <f>G194/$X194</f>
        <v>#VALUE!:notNumber:NA</v>
      </c>
      <c t="str" s="28" r="AH194">
        <f>H194/$X194</f>
        <v>#VALUE!:notNumber:NA</v>
      </c>
      <c t="str" s="28" r="AI194">
        <f>I194/$X194</f>
        <v>#VALUE!:notNumber:NA</v>
      </c>
      <c t="str" s="28" r="AJ194">
        <f>J194/$X194</f>
        <v>#VALUE!:notNumber:NA</v>
      </c>
      <c t="str" s="28" r="AK194">
        <f>K194/$X194</f>
        <v>#VALUE!:notNumber:NA</v>
      </c>
      <c s="30" r="AL194">
        <v>1</v>
      </c>
    </row>
    <row r="195">
      <c s="30" r="A195">
        <v>194</v>
      </c>
      <c t="s" s="30" r="B195">
        <v>38</v>
      </c>
      <c s="62" r="C195">
        <v>41577</v>
      </c>
      <c s="52" r="D195">
        <v>0.5</v>
      </c>
      <c s="55" r="E195">
        <v>600</v>
      </c>
      <c s="55" r="F195"/>
      <c t="s" s="55" r="G195">
        <v>39</v>
      </c>
      <c t="s" s="55" r="H195">
        <v>39</v>
      </c>
      <c t="s" s="55" r="I195">
        <v>39</v>
      </c>
      <c t="s" s="55" r="J195">
        <v>39</v>
      </c>
      <c t="s" s="55" r="K195">
        <v>39</v>
      </c>
      <c s="80" r="L195">
        <f>76.66+46.30</f>
        <v>122.96</v>
      </c>
      <c s="79" r="M195">
        <v>276.44</v>
      </c>
      <c s="79" r="N195">
        <v>224.54</v>
      </c>
      <c s="32" r="O195">
        <f>SUMIF(Sellables!$A$2:$A$11482, $A195, Sellables!$G$2:$G$11482)</f>
        <v>0</v>
      </c>
      <c s="32" r="P195">
        <f>SUMIF(Skills!$A$2:$A$9999, A195, Skills!$F$2:$F$9999)</f>
        <v>12.65572</v>
      </c>
      <c s="14" r="Q195">
        <f>(N195+O195)+P195</f>
        <v>237.19572</v>
      </c>
      <c s="23" r="R195">
        <f>(E195+L195)-M195</f>
        <v>446.52</v>
      </c>
      <c s="70" r="S195">
        <f>Q195-R195</f>
        <v>-209.32428</v>
      </c>
      <c s="29" r="T195">
        <f> (Q195/R195) - 1</f>
        <v>-0.468790378930395</v>
      </c>
      <c t="str" s="70" r="U195">
        <f>R195/X195</f>
        <v>#DIV/0!:divZero</v>
      </c>
      <c t="str" s="70" r="V195">
        <f>Q195/X195</f>
        <v>#DIV/0!:divZero</v>
      </c>
      <c t="s" s="30" r="W195">
        <v>196</v>
      </c>
      <c s="30" r="X195">
        <v>0</v>
      </c>
      <c t="s" s="30" r="Y195">
        <v>42</v>
      </c>
      <c t="s" s="30" r="Z195">
        <v>42</v>
      </c>
      <c s="30" r="AA195">
        <v>0</v>
      </c>
      <c s="30" r="AB195">
        <v>0</v>
      </c>
      <c s="30" r="AC195">
        <v>0</v>
      </c>
      <c s="30" r="AD195">
        <v>0</v>
      </c>
      <c s="30" r="AE195"/>
      <c t="str" s="8" r="AF195">
        <f>(I195+J195)/R195</f>
        <v>#VALUE!:notNumber:NA</v>
      </c>
      <c t="str" s="28" r="AG195">
        <f>G195/$X195</f>
        <v>#DIV/0!:divZero</v>
      </c>
      <c t="str" s="28" r="AH195">
        <f>H195/$X195</f>
        <v>#DIV/0!:divZero</v>
      </c>
      <c t="str" s="28" r="AI195">
        <f>I195/$X195</f>
        <v>#DIV/0!:divZero</v>
      </c>
      <c t="str" s="28" r="AJ195">
        <f>J195/$X195</f>
        <v>#DIV/0!:divZero</v>
      </c>
      <c t="str" s="28" r="AK195">
        <f>K195/$X195</f>
        <v>#DIV/0!:divZero</v>
      </c>
      <c s="30" r="AL195">
        <v>1</v>
      </c>
    </row>
    <row r="196">
      <c s="30" r="A196">
        <v>195</v>
      </c>
      <c t="s" s="30" r="B196">
        <v>38</v>
      </c>
      <c s="62" r="C196">
        <v>41577</v>
      </c>
      <c s="52" r="D196">
        <v>0.572916666666667</v>
      </c>
      <c s="55" r="E196">
        <v>350</v>
      </c>
      <c s="55" r="F196"/>
      <c t="s" s="55" r="G196">
        <v>39</v>
      </c>
      <c t="s" s="55" r="H196">
        <v>39</v>
      </c>
      <c t="s" s="55" r="I196">
        <v>39</v>
      </c>
      <c t="s" s="55" r="J196">
        <v>39</v>
      </c>
      <c t="s" s="55" r="K196">
        <v>39</v>
      </c>
      <c s="80" r="L196">
        <v>86.09</v>
      </c>
      <c s="79" r="M196">
        <v>125.55</v>
      </c>
      <c s="79" r="N196">
        <v>319.23</v>
      </c>
      <c s="32" r="O196">
        <f>SUMIF(Sellables!$A$2:$A$11482, $A196, Sellables!$G$2:$G$11482)</f>
        <v>0</v>
      </c>
      <c s="32" r="P196">
        <f>SUMIF(Skills!$A$2:$A$9999, A196, Skills!$F$2:$F$9999)</f>
        <v>0</v>
      </c>
      <c s="14" r="Q196">
        <f>(N196+O196)+P196</f>
        <v>319.23</v>
      </c>
      <c s="23" r="R196">
        <f>(E196+L196)-M196</f>
        <v>310.54</v>
      </c>
      <c s="70" r="S196">
        <f>Q196-R196</f>
        <v>8.69</v>
      </c>
      <c s="29" r="T196">
        <f> (Q196/R196) - 1</f>
        <v>0.027983512590971</v>
      </c>
      <c t="str" s="70" r="U196">
        <f>R196/X196</f>
        <v>#DIV/0!:divZero</v>
      </c>
      <c t="str" s="70" r="V196">
        <f>Q196/X196</f>
        <v>#DIV/0!:divZero</v>
      </c>
      <c t="s" s="30" r="W196">
        <v>197</v>
      </c>
      <c s="30" r="X196">
        <v>0</v>
      </c>
      <c t="s" s="30" r="Y196">
        <v>198</v>
      </c>
      <c t="s" s="30" r="Z196">
        <v>42</v>
      </c>
      <c s="30" r="AA196">
        <v>0</v>
      </c>
      <c s="30" r="AB196">
        <v>0</v>
      </c>
      <c s="30" r="AC196">
        <v>2</v>
      </c>
      <c s="30" r="AD196">
        <v>0</v>
      </c>
      <c s="30" r="AE196"/>
      <c t="str" s="8" r="AF196">
        <f>(I196+J196)/R196</f>
        <v>#VALUE!:notNumber:NA</v>
      </c>
      <c t="str" s="28" r="AG196">
        <f>G196/$X196</f>
        <v>#DIV/0!:divZero</v>
      </c>
      <c t="str" s="28" r="AH196">
        <f>H196/$X196</f>
        <v>#DIV/0!:divZero</v>
      </c>
      <c t="str" s="28" r="AI196">
        <f>I196/$X196</f>
        <v>#DIV/0!:divZero</v>
      </c>
      <c t="str" s="28" r="AJ196">
        <f>J196/$X196</f>
        <v>#DIV/0!:divZero</v>
      </c>
      <c t="str" s="28" r="AK196">
        <f>K196/$X196</f>
        <v>#DIV/0!:divZero</v>
      </c>
      <c s="30" r="AL196">
        <v>1</v>
      </c>
    </row>
    <row r="197">
      <c s="30" r="A197">
        <v>196</v>
      </c>
      <c t="s" s="30" r="B197">
        <v>55</v>
      </c>
      <c s="62" r="C197">
        <v>41577</v>
      </c>
      <c s="52" r="D197">
        <v>0.625</v>
      </c>
      <c s="55" r="E197">
        <f>300*0.61</f>
        <v>183</v>
      </c>
      <c s="55" r="F197"/>
      <c t="s" s="55" r="G197">
        <v>39</v>
      </c>
      <c t="s" s="55" r="H197">
        <v>39</v>
      </c>
      <c t="s" s="55" r="I197">
        <v>39</v>
      </c>
      <c t="s" s="55" r="J197">
        <v>39</v>
      </c>
      <c t="s" s="55" r="K197">
        <v>39</v>
      </c>
      <c s="80" r="L197">
        <v>0</v>
      </c>
      <c s="79" r="M197">
        <v>0</v>
      </c>
      <c s="79" r="N197">
        <f>148.71-32.61</f>
        <v>116.1</v>
      </c>
      <c s="32" r="O197">
        <f>SUMIF(Sellables!$A$2:$A$11482, $A197, Sellables!$G$2:$G$11482)</f>
        <v>35.2188</v>
      </c>
      <c s="32" r="P197">
        <f>SUMIF(Skills!$A$2:$A$9999, A197, Skills!$F$2:$F$9999)</f>
        <v>0</v>
      </c>
      <c s="14" r="Q197">
        <f>(N197+O197)+P197</f>
        <v>151.3188</v>
      </c>
      <c s="23" r="R197">
        <f>(E197+L197)-M197</f>
        <v>183</v>
      </c>
      <c s="70" r="S197">
        <f>Q197-R197</f>
        <v>-31.6812</v>
      </c>
      <c s="29" r="T197">
        <f> (Q197/R197) - 1</f>
        <v>-0.17312131147541</v>
      </c>
      <c t="str" s="70" r="U197">
        <f>R197/X197</f>
        <v>#DIV/0!:divZero</v>
      </c>
      <c t="str" s="70" r="V197">
        <f>Q197/X197</f>
        <v>#DIV/0!:divZero</v>
      </c>
      <c t="s" s="30" r="W197">
        <v>98</v>
      </c>
      <c s="30" r="X197">
        <v>0</v>
      </c>
      <c t="s" s="30" r="Y197">
        <v>182</v>
      </c>
      <c t="s" s="30" r="Z197">
        <v>42</v>
      </c>
      <c s="30" r="AA197">
        <v>0</v>
      </c>
      <c s="30" r="AB197">
        <v>0</v>
      </c>
      <c s="30" r="AC197">
        <v>0</v>
      </c>
      <c s="30" r="AD197">
        <v>0</v>
      </c>
      <c s="30" r="AE197"/>
      <c t="str" s="8" r="AF197">
        <f>(I197+J197)/R197</f>
        <v>#VALUE!:notNumber:NA</v>
      </c>
      <c t="str" s="28" r="AG197">
        <f>G197/$X197</f>
        <v>#DIV/0!:divZero</v>
      </c>
      <c t="str" s="28" r="AH197">
        <f>H197/$X197</f>
        <v>#DIV/0!:divZero</v>
      </c>
      <c t="str" s="28" r="AI197">
        <f>I197/$X197</f>
        <v>#DIV/0!:divZero</v>
      </c>
      <c t="str" s="28" r="AJ197">
        <f>J197/$X197</f>
        <v>#DIV/0!:divZero</v>
      </c>
      <c t="str" s="28" r="AK197">
        <f>K197/$X197</f>
        <v>#DIV/0!:divZero</v>
      </c>
      <c s="30" r="AL197">
        <v>1</v>
      </c>
    </row>
    <row r="198">
      <c s="30" r="A198">
        <v>197</v>
      </c>
      <c t="s" s="30" r="B198">
        <v>55</v>
      </c>
      <c s="62" r="C198">
        <v>41577</v>
      </c>
      <c s="52" r="D198">
        <v>0.65625</v>
      </c>
      <c s="55" r="E198">
        <f>440*0.71</f>
        <v>312.4</v>
      </c>
      <c s="55" r="F198"/>
      <c t="s" s="55" r="G198">
        <v>39</v>
      </c>
      <c t="s" s="55" r="H198">
        <v>39</v>
      </c>
      <c t="s" s="55" r="I198">
        <v>39</v>
      </c>
      <c t="s" s="55" r="J198">
        <v>39</v>
      </c>
      <c t="s" s="55" r="K198">
        <v>39</v>
      </c>
      <c s="80" r="L198">
        <v>0</v>
      </c>
      <c s="79" r="M198">
        <v>0</v>
      </c>
      <c s="79" r="N198">
        <f>242.50-111.60</f>
        <v>130.9</v>
      </c>
      <c s="32" r="O198">
        <f>SUMIF(Sellables!$A$2:$A$11482, $A198, Sellables!$G$2:$G$11482)</f>
        <v>118.575</v>
      </c>
      <c s="32" r="P198">
        <f>SUMIF(Skills!$A$2:$A$9999, A198, Skills!$F$2:$F$9999)</f>
        <v>0</v>
      </c>
      <c s="14" r="Q198">
        <f>(N198+O198)+P198</f>
        <v>249.475</v>
      </c>
      <c s="23" r="R198">
        <f>(E198+L198)-M198</f>
        <v>312.4</v>
      </c>
      <c s="70" r="S198">
        <f>Q198-R198</f>
        <v>-62.925</v>
      </c>
      <c s="29" r="T198">
        <f> (Q198/R198) - 1</f>
        <v>-0.201424455825864</v>
      </c>
      <c t="str" s="70" r="U198">
        <f>R198/X198</f>
        <v>#DIV/0!:divZero</v>
      </c>
      <c t="str" s="70" r="V198">
        <f>Q198/X198</f>
        <v>#DIV/0!:divZero</v>
      </c>
      <c t="s" s="30" r="W198">
        <v>56</v>
      </c>
      <c s="30" r="X198">
        <v>0</v>
      </c>
      <c t="s" s="30" r="Y198">
        <v>182</v>
      </c>
      <c t="s" s="30" r="Z198">
        <v>42</v>
      </c>
      <c s="30" r="AA198">
        <v>0</v>
      </c>
      <c s="30" r="AB198">
        <v>0</v>
      </c>
      <c s="30" r="AC198">
        <v>0</v>
      </c>
      <c s="30" r="AD198">
        <v>0</v>
      </c>
      <c s="30" r="AE198"/>
      <c t="str" s="8" r="AF198">
        <f>(I198+J198)/R198</f>
        <v>#VALUE!:notNumber:NA</v>
      </c>
      <c t="str" s="28" r="AG198">
        <f>G198/$X198</f>
        <v>#DIV/0!:divZero</v>
      </c>
      <c t="str" s="28" r="AH198">
        <f>H198/$X198</f>
        <v>#DIV/0!:divZero</v>
      </c>
      <c t="str" s="28" r="AI198">
        <f>I198/$X198</f>
        <v>#DIV/0!:divZero</v>
      </c>
      <c t="str" s="28" r="AJ198">
        <f>J198/$X198</f>
        <v>#DIV/0!:divZero</v>
      </c>
      <c t="str" s="28" r="AK198">
        <f>K198/$X198</f>
        <v>#DIV/0!:divZero</v>
      </c>
      <c s="30" r="AL198">
        <v>1</v>
      </c>
    </row>
    <row r="199">
      <c s="30" r="A199">
        <v>198</v>
      </c>
      <c t="s" s="30" r="B199">
        <v>38</v>
      </c>
      <c s="62" r="C199">
        <v>41577</v>
      </c>
      <c s="52" r="D199">
        <v>0.666666666666667</v>
      </c>
      <c s="55" r="E199">
        <v>525</v>
      </c>
      <c s="55" r="F199"/>
      <c t="s" s="55" r="G199">
        <v>39</v>
      </c>
      <c t="s" s="55" r="H199">
        <v>39</v>
      </c>
      <c t="s" s="55" r="I199">
        <v>39</v>
      </c>
      <c t="s" s="55" r="J199">
        <v>39</v>
      </c>
      <c t="s" s="55" r="K199">
        <v>39</v>
      </c>
      <c s="80" r="L199">
        <v>61.42</v>
      </c>
      <c s="79" r="M199">
        <v>303.17</v>
      </c>
      <c s="79" r="N199">
        <v>65.35</v>
      </c>
      <c s="32" r="O199">
        <f>SUMIF(Sellables!$A$2:$A$11482, $A199, Sellables!$G$2:$G$11482)</f>
        <v>120.808266</v>
      </c>
      <c s="32" r="P199">
        <f>SUMIF(Skills!$A$2:$A$9999, A199, Skills!$F$2:$F$9999)</f>
        <v>0</v>
      </c>
      <c s="14" r="Q199">
        <f>(N199+O199)+P199</f>
        <v>186.158266</v>
      </c>
      <c s="23" r="R199">
        <f>(E199+L199)-M199</f>
        <v>283.25</v>
      </c>
      <c s="70" r="S199">
        <f>Q199-R199</f>
        <v>-97.091734</v>
      </c>
      <c s="29" r="T199">
        <f> (Q199/R199) - 1</f>
        <v>-0.342777525154457</v>
      </c>
      <c t="str" s="70" r="U199">
        <f>R199/X199</f>
        <v>#DIV/0!:divZero</v>
      </c>
      <c t="str" s="70" r="V199">
        <f>Q199/X199</f>
        <v>#DIV/0!:divZero</v>
      </c>
      <c t="s" s="30" r="W199">
        <v>199</v>
      </c>
      <c s="30" r="X199">
        <v>0</v>
      </c>
      <c t="s" s="30" r="Y199">
        <v>41</v>
      </c>
      <c t="s" s="30" r="Z199">
        <v>42</v>
      </c>
      <c s="30" r="AA199">
        <v>0</v>
      </c>
      <c s="30" r="AB199">
        <v>0</v>
      </c>
      <c s="30" r="AC199">
        <v>0</v>
      </c>
      <c s="30" r="AD199">
        <v>0</v>
      </c>
      <c s="30" r="AE199"/>
      <c t="str" s="8" r="AF199">
        <f>(I199+J199)/R199</f>
        <v>#VALUE!:notNumber:NA</v>
      </c>
      <c t="str" s="28" r="AG199">
        <f>G199/$X199</f>
        <v>#DIV/0!:divZero</v>
      </c>
      <c t="str" s="28" r="AH199">
        <f>H199/$X199</f>
        <v>#DIV/0!:divZero</v>
      </c>
      <c t="str" s="28" r="AI199">
        <f>I199/$X199</f>
        <v>#DIV/0!:divZero</v>
      </c>
      <c t="str" s="28" r="AJ199">
        <f>J199/$X199</f>
        <v>#DIV/0!:divZero</v>
      </c>
      <c t="str" s="28" r="AK199">
        <f>K199/$X199</f>
        <v>#DIV/0!:divZero</v>
      </c>
      <c s="30" r="AL199">
        <v>1</v>
      </c>
    </row>
    <row r="200">
      <c s="30" r="A200">
        <v>199</v>
      </c>
      <c t="s" s="30" r="B200">
        <v>55</v>
      </c>
      <c s="62" r="C200">
        <v>41577</v>
      </c>
      <c s="52" r="D200">
        <v>0.6875</v>
      </c>
      <c s="55" r="E200">
        <f>44*0.76</f>
        <v>33.44</v>
      </c>
      <c s="55" r="F200"/>
      <c t="s" s="55" r="G200">
        <v>39</v>
      </c>
      <c t="s" s="55" r="H200">
        <v>39</v>
      </c>
      <c t="s" s="55" r="I200">
        <v>39</v>
      </c>
      <c t="s" s="55" r="J200">
        <v>39</v>
      </c>
      <c t="s" s="55" r="K200">
        <v>39</v>
      </c>
      <c s="80" r="L200">
        <v>0</v>
      </c>
      <c s="79" r="M200">
        <v>0</v>
      </c>
      <c s="79" r="N200">
        <f>47.98-30.48</f>
        <v>17.5</v>
      </c>
      <c s="32" r="O200">
        <f>SUMIF(Sellables!$A$2:$A$11482, $A200, Sellables!$G$2:$G$11482)</f>
        <v>32.9184</v>
      </c>
      <c s="32" r="P200">
        <f>SUMIF(Skills!$A$2:$A$9999, A200, Skills!$F$2:$F$9999)</f>
        <v>0</v>
      </c>
      <c s="14" r="Q200">
        <f>(N200+O200)+P200</f>
        <v>50.4184</v>
      </c>
      <c s="23" r="R200">
        <f>(E200+L200)-M200</f>
        <v>33.44</v>
      </c>
      <c s="70" r="S200">
        <f>Q200-R200</f>
        <v>16.9784</v>
      </c>
      <c s="29" r="T200">
        <f> (Q200/R200) - 1</f>
        <v>0.507727272727273</v>
      </c>
      <c t="str" s="70" r="U200">
        <f>R200/X200</f>
        <v>#DIV/0!:divZero</v>
      </c>
      <c t="str" s="70" r="V200">
        <f>Q200/X200</f>
        <v>#DIV/0!:divZero</v>
      </c>
      <c t="s" s="30" r="W200">
        <v>189</v>
      </c>
      <c s="30" r="X200">
        <v>0</v>
      </c>
      <c t="s" s="30" r="Y200">
        <v>182</v>
      </c>
      <c t="s" s="30" r="Z200">
        <v>42</v>
      </c>
      <c s="30" r="AA200">
        <v>0</v>
      </c>
      <c s="30" r="AB200">
        <v>0</v>
      </c>
      <c s="30" r="AC200">
        <v>0</v>
      </c>
      <c s="30" r="AD200">
        <v>0</v>
      </c>
      <c s="30" r="AE200"/>
      <c t="str" s="8" r="AF200">
        <f>(I200+J200)/R200</f>
        <v>#VALUE!:notNumber:NA</v>
      </c>
      <c t="str" s="28" r="AG200">
        <f>G200/$X200</f>
        <v>#DIV/0!:divZero</v>
      </c>
      <c t="str" s="28" r="AH200">
        <f>H200/$X200</f>
        <v>#DIV/0!:divZero</v>
      </c>
      <c t="str" s="28" r="AI200">
        <f>I200/$X200</f>
        <v>#DIV/0!:divZero</v>
      </c>
      <c t="str" s="28" r="AJ200">
        <f>J200/$X200</f>
        <v>#DIV/0!:divZero</v>
      </c>
      <c t="str" s="28" r="AK200">
        <f>K200/$X200</f>
        <v>#DIV/0!:divZero</v>
      </c>
      <c s="30" r="AL200">
        <v>1</v>
      </c>
    </row>
    <row r="201">
      <c s="30" r="A201">
        <v>200</v>
      </c>
      <c t="s" s="30" r="B201">
        <v>55</v>
      </c>
      <c s="62" r="C201">
        <v>41577</v>
      </c>
      <c s="52" r="D201">
        <v>0.708333333333333</v>
      </c>
      <c s="55" r="E201">
        <f>479*0.07</f>
        <v>33.53</v>
      </c>
      <c s="55" r="F201"/>
      <c t="s" s="55" r="G201">
        <v>39</v>
      </c>
      <c t="s" s="55" r="H201">
        <v>39</v>
      </c>
      <c t="s" s="55" r="I201">
        <v>39</v>
      </c>
      <c t="s" s="55" r="J201">
        <v>39</v>
      </c>
      <c t="s" s="55" r="K201">
        <v>39</v>
      </c>
      <c s="80" r="L201">
        <v>0</v>
      </c>
      <c s="79" r="M201">
        <v>0</v>
      </c>
      <c s="79" r="N201">
        <f>35.43-4.63</f>
        <v>30.8</v>
      </c>
      <c s="32" r="O201">
        <f>SUMIF(Sellables!$A$2:$A$11482, $A201, Sellables!$G$2:$G$11482)</f>
        <v>5.0004</v>
      </c>
      <c s="32" r="P201">
        <f>SUMIF(Skills!$A$2:$A$9999, A201, Skills!$F$2:$F$9999)</f>
        <v>0</v>
      </c>
      <c s="14" r="Q201">
        <f>(N201+O201)+P201</f>
        <v>35.8004</v>
      </c>
      <c s="23" r="R201">
        <f>(E201+L201)-M201</f>
        <v>33.53</v>
      </c>
      <c s="70" r="S201">
        <f>Q201-R201</f>
        <v>2.2704</v>
      </c>
      <c s="29" r="T201">
        <f> (Q201/R201) - 1</f>
        <v>0.067712496271995</v>
      </c>
      <c t="str" s="70" r="U201">
        <f>R201/X201</f>
        <v>#DIV/0!:divZero</v>
      </c>
      <c t="str" s="70" r="V201">
        <f>Q201/X201</f>
        <v>#DIV/0!:divZero</v>
      </c>
      <c t="s" s="30" r="W201">
        <v>190</v>
      </c>
      <c s="30" r="X201">
        <v>0</v>
      </c>
      <c t="s" s="30" r="Y201">
        <v>182</v>
      </c>
      <c t="s" s="30" r="Z201">
        <v>42</v>
      </c>
      <c s="30" r="AA201">
        <v>0</v>
      </c>
      <c s="30" r="AB201">
        <v>0</v>
      </c>
      <c s="30" r="AC201">
        <v>0</v>
      </c>
      <c s="30" r="AD201">
        <v>0</v>
      </c>
      <c s="30" r="AE201"/>
      <c t="str" s="8" r="AF201">
        <f>(I201+J201)/R201</f>
        <v>#VALUE!:notNumber:NA</v>
      </c>
      <c t="str" s="28" r="AG201">
        <f>G201/$X201</f>
        <v>#DIV/0!:divZero</v>
      </c>
      <c t="str" s="28" r="AH201">
        <f>H201/$X201</f>
        <v>#DIV/0!:divZero</v>
      </c>
      <c t="str" s="28" r="AI201">
        <f>I201/$X201</f>
        <v>#DIV/0!:divZero</v>
      </c>
      <c t="str" s="28" r="AJ201">
        <f>J201/$X201</f>
        <v>#DIV/0!:divZero</v>
      </c>
      <c t="str" s="28" r="AK201">
        <f>K201/$X201</f>
        <v>#DIV/0!:divZero</v>
      </c>
      <c s="30" r="AL201">
        <v>1</v>
      </c>
    </row>
    <row r="202">
      <c s="30" r="A202">
        <v>201</v>
      </c>
      <c t="s" s="30" r="B202">
        <v>55</v>
      </c>
      <c s="62" r="C202">
        <v>41577</v>
      </c>
      <c s="52" r="D202">
        <v>0.8125</v>
      </c>
      <c s="55" r="E202">
        <f>318*0.07</f>
        <v>22.26</v>
      </c>
      <c s="55" r="F202"/>
      <c t="s" s="55" r="G202">
        <v>39</v>
      </c>
      <c t="s" s="55" r="H202">
        <v>39</v>
      </c>
      <c t="s" s="55" r="I202">
        <v>39</v>
      </c>
      <c t="s" s="55" r="J202">
        <v>39</v>
      </c>
      <c t="s" s="55" r="K202">
        <v>39</v>
      </c>
      <c s="80" r="L202">
        <v>0</v>
      </c>
      <c s="79" r="M202">
        <v>0</v>
      </c>
      <c s="79" r="N202">
        <f>31.19-16.62</f>
        <v>14.57</v>
      </c>
      <c s="32" r="O202">
        <f>SUMIF(Sellables!$A$2:$A$11482, $A202, Sellables!$G$2:$G$11482)</f>
        <v>17.9496</v>
      </c>
      <c s="32" r="P202">
        <f>SUMIF(Skills!$A$2:$A$9999, A202, Skills!$F$2:$F$9999)</f>
        <v>0</v>
      </c>
      <c s="14" r="Q202">
        <f>(N202+O202)+P202</f>
        <v>32.5196</v>
      </c>
      <c s="23" r="R202">
        <f>(E202+L202)-M202</f>
        <v>22.26</v>
      </c>
      <c s="70" r="S202">
        <f>Q202-R202</f>
        <v>10.2596</v>
      </c>
      <c s="29" r="T202">
        <f> (Q202/R202) - 1</f>
        <v>0.460898472596586</v>
      </c>
      <c t="str" s="70" r="U202">
        <f>R202/X202</f>
        <v>#DIV/0!:divZero</v>
      </c>
      <c t="str" s="70" r="V202">
        <f>Q202/X202</f>
        <v>#DIV/0!:divZero</v>
      </c>
      <c t="s" s="30" r="W202">
        <v>190</v>
      </c>
      <c s="30" r="X202">
        <v>0</v>
      </c>
      <c t="s" s="30" r="Y202">
        <v>200</v>
      </c>
      <c t="s" s="30" r="Z202">
        <v>42</v>
      </c>
      <c s="30" r="AA202">
        <v>0</v>
      </c>
      <c s="30" r="AB202">
        <v>0</v>
      </c>
      <c s="30" r="AC202">
        <v>0</v>
      </c>
      <c s="30" r="AD202">
        <v>0</v>
      </c>
      <c s="30" r="AE202"/>
      <c t="str" s="8" r="AF202">
        <f>(I202+J202)/R202</f>
        <v>#VALUE!:notNumber:NA</v>
      </c>
      <c t="str" s="28" r="AG202">
        <f>G202/$X202</f>
        <v>#DIV/0!:divZero</v>
      </c>
      <c t="str" s="28" r="AH202">
        <f>H202/$X202</f>
        <v>#DIV/0!:divZero</v>
      </c>
      <c t="str" s="28" r="AI202">
        <f>I202/$X202</f>
        <v>#DIV/0!:divZero</v>
      </c>
      <c t="str" s="28" r="AJ202">
        <f>J202/$X202</f>
        <v>#DIV/0!:divZero</v>
      </c>
      <c t="str" s="28" r="AK202">
        <f>K202/$X202</f>
        <v>#DIV/0!:divZero</v>
      </c>
      <c s="30" r="AL202">
        <v>1</v>
      </c>
    </row>
    <row r="203">
      <c s="30" r="A203">
        <v>202</v>
      </c>
      <c t="s" s="30" r="B203">
        <v>55</v>
      </c>
      <c s="62" r="C203">
        <v>41577</v>
      </c>
      <c s="52" r="D203">
        <v>0.822916666666667</v>
      </c>
      <c s="55" r="E203">
        <f>116*1.15</f>
        <v>133.4</v>
      </c>
      <c s="55" r="F203"/>
      <c t="s" s="55" r="G203">
        <v>39</v>
      </c>
      <c t="s" s="55" r="H203">
        <v>39</v>
      </c>
      <c t="s" s="55" r="I203">
        <v>39</v>
      </c>
      <c t="s" s="55" r="J203">
        <v>39</v>
      </c>
      <c t="s" s="55" r="K203">
        <v>39</v>
      </c>
      <c s="80" r="L203">
        <v>0</v>
      </c>
      <c s="79" r="M203">
        <v>0</v>
      </c>
      <c s="79" r="N203">
        <f>138.38-58</f>
        <v>80.38</v>
      </c>
      <c s="32" r="O203">
        <f>SUMIF(Sellables!$A$2:$A$11482, $A203, Sellables!$G$2:$G$11482)</f>
        <v>63.945</v>
      </c>
      <c s="32" r="P203">
        <f>SUMIF(Skills!$A$2:$A$9999, A203, Skills!$F$2:$F$9999)</f>
        <v>0</v>
      </c>
      <c s="14" r="Q203">
        <f>(N203+O203)+P203</f>
        <v>144.325</v>
      </c>
      <c s="23" r="R203">
        <f>(E203+L203)-M203</f>
        <v>133.4</v>
      </c>
      <c s="70" r="S203">
        <f>Q203-R203</f>
        <v>10.925</v>
      </c>
      <c s="29" r="T203">
        <f> (Q203/R203) - 1</f>
        <v>0.081896551724138</v>
      </c>
      <c t="str" s="70" r="U203">
        <f>R203/X203</f>
        <v>#DIV/0!:divZero</v>
      </c>
      <c t="str" s="70" r="V203">
        <f>Q203/X203</f>
        <v>#DIV/0!:divZero</v>
      </c>
      <c t="s" s="30" r="W203">
        <v>68</v>
      </c>
      <c s="30" r="X203">
        <v>0</v>
      </c>
      <c t="s" s="30" r="Y203">
        <v>200</v>
      </c>
      <c t="s" s="30" r="Z203">
        <v>42</v>
      </c>
      <c s="30" r="AA203">
        <v>0</v>
      </c>
      <c s="30" r="AB203">
        <v>0</v>
      </c>
      <c s="30" r="AC203">
        <v>0</v>
      </c>
      <c s="30" r="AD203">
        <v>0</v>
      </c>
      <c s="30" r="AE203"/>
      <c t="str" s="8" r="AF203">
        <f>(I203+J203)/R203</f>
        <v>#VALUE!:notNumber:NA</v>
      </c>
      <c t="str" s="28" r="AG203">
        <f>G203/$X203</f>
        <v>#DIV/0!:divZero</v>
      </c>
      <c t="str" s="28" r="AH203">
        <f>H203/$X203</f>
        <v>#DIV/0!:divZero</v>
      </c>
      <c t="str" s="28" r="AI203">
        <f>I203/$X203</f>
        <v>#DIV/0!:divZero</v>
      </c>
      <c t="str" s="28" r="AJ203">
        <f>J203/$X203</f>
        <v>#DIV/0!:divZero</v>
      </c>
      <c t="str" s="28" r="AK203">
        <f>K203/$X203</f>
        <v>#DIV/0!:divZero</v>
      </c>
      <c s="30" r="AL203">
        <v>1</v>
      </c>
    </row>
    <row r="204">
      <c s="30" r="A204">
        <v>203</v>
      </c>
      <c t="s" s="30" r="B204">
        <v>55</v>
      </c>
      <c s="62" r="C204">
        <v>41577</v>
      </c>
      <c s="52" r="D204">
        <v>0.833333333333333</v>
      </c>
      <c s="55" r="E204">
        <f>134*0.72</f>
        <v>96.48</v>
      </c>
      <c s="55" r="F204"/>
      <c t="s" s="55" r="G204">
        <v>39</v>
      </c>
      <c t="s" s="55" r="H204">
        <v>39</v>
      </c>
      <c t="s" s="55" r="I204">
        <v>39</v>
      </c>
      <c t="s" s="55" r="J204">
        <v>39</v>
      </c>
      <c t="s" s="55" r="K204">
        <v>39</v>
      </c>
      <c s="80" r="L204">
        <v>0</v>
      </c>
      <c s="79" r="M204">
        <v>0</v>
      </c>
      <c s="79" r="N204">
        <f>88.93-17.31</f>
        <v>71.62</v>
      </c>
      <c s="32" r="O204">
        <f>SUMIF(Sellables!$A$2:$A$11482, $A204, Sellables!$G$2:$G$11482)</f>
        <v>18.6948</v>
      </c>
      <c s="32" r="P204">
        <f>SUMIF(Skills!$A$2:$A$9999, A204, Skills!$F$2:$F$9999)</f>
        <v>0</v>
      </c>
      <c s="14" r="Q204">
        <f>(N204+O204)+P204</f>
        <v>90.3148</v>
      </c>
      <c s="23" r="R204">
        <f>(E204+L204)-M204</f>
        <v>96.48</v>
      </c>
      <c s="70" r="S204">
        <f>Q204-R204</f>
        <v>-6.16519999999998</v>
      </c>
      <c s="29" r="T204">
        <f> (Q204/R204) - 1</f>
        <v>-0.063901326699834</v>
      </c>
      <c t="str" s="70" r="U204">
        <f>R204/X204</f>
        <v>#DIV/0!:divZero</v>
      </c>
      <c t="str" s="70" r="V204">
        <f>Q204/X204</f>
        <v>#DIV/0!:divZero</v>
      </c>
      <c t="s" s="30" r="W204">
        <v>201</v>
      </c>
      <c s="30" r="X204">
        <v>0</v>
      </c>
      <c t="s" s="30" r="Y204">
        <v>200</v>
      </c>
      <c t="s" s="30" r="Z204">
        <v>42</v>
      </c>
      <c s="30" r="AA204">
        <v>0</v>
      </c>
      <c s="30" r="AB204">
        <v>0</v>
      </c>
      <c s="30" r="AC204">
        <v>0</v>
      </c>
      <c s="30" r="AD204">
        <v>0</v>
      </c>
      <c s="30" r="AE204"/>
      <c t="str" s="8" r="AF204">
        <f>(I204+J204)/R204</f>
        <v>#VALUE!:notNumber:NA</v>
      </c>
      <c t="str" s="28" r="AG204">
        <f>G204/$X204</f>
        <v>#DIV/0!:divZero</v>
      </c>
      <c t="str" s="28" r="AH204">
        <f>H204/$X204</f>
        <v>#DIV/0!:divZero</v>
      </c>
      <c t="str" s="28" r="AI204">
        <f>I204/$X204</f>
        <v>#DIV/0!:divZero</v>
      </c>
      <c t="str" s="28" r="AJ204">
        <f>J204/$X204</f>
        <v>#DIV/0!:divZero</v>
      </c>
      <c t="str" s="28" r="AK204">
        <f>K204/$X204</f>
        <v>#DIV/0!:divZero</v>
      </c>
      <c s="30" r="AL204">
        <v>1</v>
      </c>
    </row>
    <row r="205">
      <c s="30" r="A205">
        <v>204</v>
      </c>
      <c t="s" s="30" r="B205">
        <v>38</v>
      </c>
      <c s="62" r="C205">
        <v>41577</v>
      </c>
      <c s="52" r="D205">
        <v>0.895833333333333</v>
      </c>
      <c s="55" r="E205">
        <v>250</v>
      </c>
      <c s="55" r="F205"/>
      <c t="s" s="55" r="G205">
        <v>39</v>
      </c>
      <c t="s" s="55" r="H205">
        <v>39</v>
      </c>
      <c t="s" s="55" r="I205">
        <v>39</v>
      </c>
      <c t="s" s="55" r="J205">
        <v>39</v>
      </c>
      <c t="s" s="55" r="K205">
        <v>39</v>
      </c>
      <c s="80" r="L205">
        <v>49.37</v>
      </c>
      <c s="79" r="M205">
        <v>74.3</v>
      </c>
      <c s="79" r="N205">
        <v>151.42</v>
      </c>
      <c s="32" r="O205">
        <f>SUMIF(Sellables!$A$2:$A$11482, $A205, Sellables!$G$2:$G$11482)</f>
        <v>19.0944</v>
      </c>
      <c s="32" r="P205">
        <f>SUMIF(Skills!$A$2:$A$9999, A205, Skills!$F$2:$F$9999)</f>
        <v>0</v>
      </c>
      <c s="14" r="Q205">
        <f>(N205+O205)+P205</f>
        <v>170.5144</v>
      </c>
      <c s="23" r="R205">
        <f>(E205+L205)-M205</f>
        <v>225.07</v>
      </c>
      <c s="70" r="S205">
        <f>Q205-R205</f>
        <v>-54.5556</v>
      </c>
      <c s="29" r="T205">
        <f> (Q205/R205) - 1</f>
        <v>-0.242393921890967</v>
      </c>
      <c s="70" r="U205">
        <f>R205/X205</f>
        <v>0.949662447257384</v>
      </c>
      <c s="70" r="V205">
        <f>Q205/X205</f>
        <v>0.719470042194093</v>
      </c>
      <c t="s" s="30" r="W205">
        <v>131</v>
      </c>
      <c s="30" r="X205">
        <v>237</v>
      </c>
      <c t="s" s="30" r="Y205">
        <v>132</v>
      </c>
      <c t="s" s="30" r="Z205">
        <v>42</v>
      </c>
      <c s="30" r="AA205">
        <v>0</v>
      </c>
      <c s="30" r="AB205">
        <v>0</v>
      </c>
      <c s="30" r="AC205">
        <v>1</v>
      </c>
      <c s="30" r="AD205">
        <v>0</v>
      </c>
      <c s="30" r="AE205"/>
      <c t="str" s="8" r="AF205">
        <f>(I205+J205)/R205</f>
        <v>#VALUE!:notNumber:NA</v>
      </c>
      <c t="str" s="28" r="AG205">
        <f>G205/$X205</f>
        <v>#VALUE!:notNumber:NA</v>
      </c>
      <c t="str" s="28" r="AH205">
        <f>H205/$X205</f>
        <v>#VALUE!:notNumber:NA</v>
      </c>
      <c t="str" s="28" r="AI205">
        <f>I205/$X205</f>
        <v>#VALUE!:notNumber:NA</v>
      </c>
      <c t="str" s="28" r="AJ205">
        <f>J205/$X205</f>
        <v>#VALUE!:notNumber:NA</v>
      </c>
      <c t="str" s="28" r="AK205">
        <f>K205/$X205</f>
        <v>#VALUE!:notNumber:NA</v>
      </c>
      <c s="30" r="AL205">
        <v>1</v>
      </c>
    </row>
    <row r="206">
      <c s="30" r="A206">
        <v>205</v>
      </c>
      <c t="s" s="30" r="B206">
        <v>38</v>
      </c>
      <c s="62" r="C206">
        <v>41577</v>
      </c>
      <c s="52" r="D206">
        <v>0.975694444444444</v>
      </c>
      <c s="55" r="E206">
        <f>95*2.4</f>
        <v>228</v>
      </c>
      <c s="55" r="F206"/>
      <c t="s" s="55" r="G206">
        <v>39</v>
      </c>
      <c t="s" s="55" r="H206">
        <v>39</v>
      </c>
      <c t="s" s="55" r="I206">
        <v>39</v>
      </c>
      <c t="s" s="55" r="J206">
        <v>39</v>
      </c>
      <c t="s" s="55" r="K206">
        <v>39</v>
      </c>
      <c s="80" r="L206">
        <v>0</v>
      </c>
      <c s="79" r="M206">
        <v>0</v>
      </c>
      <c s="79" r="N206">
        <f>(199.41-101.40)-14.29</f>
        <v>83.72</v>
      </c>
      <c s="32" r="O206">
        <f>SUMIF(Sellables!$A$2:$A$11482, $A206, Sellables!$G$2:$G$11482)</f>
        <v>122.4102</v>
      </c>
      <c s="32" r="P206">
        <f>SUMIF(Skills!$A$2:$A$9999, A206, Skills!$F$2:$F$9999)</f>
        <v>0</v>
      </c>
      <c s="14" r="Q206">
        <f>(N206+O206)+P206</f>
        <v>206.1302</v>
      </c>
      <c s="23" r="R206">
        <f>(E206+L206)-M206</f>
        <v>228</v>
      </c>
      <c s="70" r="S206">
        <f>Q206-R206</f>
        <v>-21.8698</v>
      </c>
      <c s="29" r="T206">
        <f> (Q206/R206) - 1</f>
        <v>-0.095920175438596</v>
      </c>
      <c t="str" s="70" r="U206">
        <f>R206/X206</f>
        <v>#DIV/0!:divZero</v>
      </c>
      <c t="str" s="70" r="V206">
        <f>Q206/X206</f>
        <v>#DIV/0!:divZero</v>
      </c>
      <c t="s" s="30" r="W206">
        <v>88</v>
      </c>
      <c s="30" r="X206">
        <v>0</v>
      </c>
      <c t="s" s="30" r="Y206">
        <v>132</v>
      </c>
      <c t="s" s="30" r="Z206">
        <v>42</v>
      </c>
      <c s="30" r="AA206">
        <v>0</v>
      </c>
      <c s="30" r="AB206">
        <v>0</v>
      </c>
      <c s="30" r="AC206">
        <v>0</v>
      </c>
      <c s="30" r="AD206">
        <v>0</v>
      </c>
      <c s="30" r="AE206"/>
      <c t="str" s="8" r="AF206">
        <f>(I206+J206)/R206</f>
        <v>#VALUE!:notNumber:NA</v>
      </c>
      <c t="str" s="28" r="AG206">
        <f>G206/$X206</f>
        <v>#DIV/0!:divZero</v>
      </c>
      <c t="str" s="28" r="AH206">
        <f>H206/$X206</f>
        <v>#DIV/0!:divZero</v>
      </c>
      <c t="str" s="28" r="AI206">
        <f>I206/$X206</f>
        <v>#DIV/0!:divZero</v>
      </c>
      <c t="str" s="28" r="AJ206">
        <f>J206/$X206</f>
        <v>#DIV/0!:divZero</v>
      </c>
      <c t="str" s="28" r="AK206">
        <f>K206/$X206</f>
        <v>#DIV/0!:divZero</v>
      </c>
      <c s="30" r="AL206">
        <v>1</v>
      </c>
    </row>
    <row r="207">
      <c s="30" r="A207">
        <v>206</v>
      </c>
      <c t="s" s="30" r="B207">
        <v>55</v>
      </c>
      <c s="62" r="C207">
        <v>41578</v>
      </c>
      <c s="52" r="D207">
        <v>0.458333333333333</v>
      </c>
      <c s="55" r="E207">
        <f>269*0.31</f>
        <v>83.39</v>
      </c>
      <c s="55" r="F207"/>
      <c t="s" s="55" r="G207">
        <v>39</v>
      </c>
      <c t="s" s="55" r="H207">
        <v>39</v>
      </c>
      <c t="s" s="55" r="I207">
        <v>39</v>
      </c>
      <c t="s" s="55" r="J207">
        <v>39</v>
      </c>
      <c t="s" s="55" r="K207">
        <v>39</v>
      </c>
      <c s="80" r="L207">
        <v>0</v>
      </c>
      <c s="79" r="M207">
        <v>0</v>
      </c>
      <c s="79" r="N207">
        <f>72.13-15.60</f>
        <v>56.53</v>
      </c>
      <c s="32" r="O207">
        <f>SUMIF(Sellables!$A$2:$A$11482, $A207, Sellables!$G$2:$G$11482)</f>
        <v>16.848</v>
      </c>
      <c s="32" r="P207">
        <f>SUMIF(Skills!$A$2:$A$9999, A207, Skills!$F$2:$F$9999)</f>
        <v>0</v>
      </c>
      <c s="14" r="Q207">
        <f>(N207+O207)+P207</f>
        <v>73.378</v>
      </c>
      <c s="23" r="R207">
        <f>(E207+L207)-M207</f>
        <v>83.39</v>
      </c>
      <c s="70" r="S207">
        <f>Q207-R207</f>
        <v>-10.012</v>
      </c>
      <c s="29" r="T207">
        <f> (Q207/R207) - 1</f>
        <v>-0.120062357596834</v>
      </c>
      <c t="str" s="70" r="U207">
        <f>R207/X207</f>
        <v>#DIV/0!:divZero</v>
      </c>
      <c t="str" s="70" r="V207">
        <f>Q207/X207</f>
        <v>#DIV/0!:divZero</v>
      </c>
      <c t="s" s="30" r="W207">
        <v>133</v>
      </c>
      <c s="30" r="X207">
        <v>0</v>
      </c>
      <c t="s" s="30" r="Y207">
        <v>182</v>
      </c>
      <c t="s" s="30" r="Z207">
        <v>42</v>
      </c>
      <c s="30" r="AA207">
        <v>0</v>
      </c>
      <c s="30" r="AB207">
        <v>0</v>
      </c>
      <c s="30" r="AC207">
        <v>0</v>
      </c>
      <c s="30" r="AD207">
        <v>0</v>
      </c>
      <c s="30" r="AE207"/>
      <c t="str" s="8" r="AF207">
        <f>(I207+J207)/R207</f>
        <v>#VALUE!:notNumber:NA</v>
      </c>
      <c t="str" s="28" r="AG207">
        <f>G207/$X207</f>
        <v>#DIV/0!:divZero</v>
      </c>
      <c t="str" s="28" r="AH207">
        <f>H207/$X207</f>
        <v>#DIV/0!:divZero</v>
      </c>
      <c t="str" s="28" r="AI207">
        <f>I207/$X207</f>
        <v>#DIV/0!:divZero</v>
      </c>
      <c t="str" s="28" r="AJ207">
        <f>J207/$X207</f>
        <v>#DIV/0!:divZero</v>
      </c>
      <c t="str" s="28" r="AK207">
        <f>K207/$X207</f>
        <v>#DIV/0!:divZero</v>
      </c>
      <c s="30" r="AL207">
        <v>1</v>
      </c>
    </row>
    <row r="208">
      <c s="30" r="A208">
        <v>207</v>
      </c>
      <c t="s" s="30" r="B208">
        <v>55</v>
      </c>
      <c s="62" r="C208">
        <v>41578</v>
      </c>
      <c s="52" r="D208">
        <v>0.472222222222222</v>
      </c>
      <c s="55" r="E208">
        <f>(162+282)*0.07</f>
        <v>31.08</v>
      </c>
      <c s="55" r="F208"/>
      <c t="s" s="55" r="G208">
        <v>39</v>
      </c>
      <c t="s" s="55" r="H208">
        <v>39</v>
      </c>
      <c t="s" s="55" r="I208">
        <v>39</v>
      </c>
      <c t="s" s="55" r="J208">
        <v>39</v>
      </c>
      <c t="s" s="55" r="K208">
        <v>39</v>
      </c>
      <c s="80" r="L208">
        <v>0</v>
      </c>
      <c s="79" r="M208">
        <v>0</v>
      </c>
      <c s="79" r="N208">
        <f>((7.23-1.23)+22)-4.66</f>
        <v>23.34</v>
      </c>
      <c s="32" r="O208">
        <f>SUMIF(Sellables!$A$2:$A$11482, $A208, Sellables!$G$2:$G$11482)</f>
        <v>6.3612</v>
      </c>
      <c s="32" r="P208">
        <f>SUMIF(Skills!$A$2:$A$9999, A208, Skills!$F$2:$F$9999)</f>
        <v>0</v>
      </c>
      <c s="14" r="Q208">
        <f>(N208+O208)+P208</f>
        <v>29.7012</v>
      </c>
      <c s="23" r="R208">
        <f>(E208+L208)-M208</f>
        <v>31.08</v>
      </c>
      <c s="70" r="S208">
        <f>Q208-R208</f>
        <v>-1.3788</v>
      </c>
      <c s="29" r="T208">
        <f> (Q208/R208) - 1</f>
        <v>-0.044362934362934</v>
      </c>
      <c t="str" s="70" r="U208">
        <f>R208/X208</f>
        <v>#DIV/0!:divZero</v>
      </c>
      <c t="str" s="70" r="V208">
        <f>Q208/X208</f>
        <v>#DIV/0!:divZero</v>
      </c>
      <c t="s" s="30" r="W208">
        <v>190</v>
      </c>
      <c s="30" r="X208">
        <v>0</v>
      </c>
      <c t="s" s="30" r="Y208">
        <v>182</v>
      </c>
      <c t="s" s="30" r="Z208">
        <v>42</v>
      </c>
      <c s="30" r="AA208">
        <v>0</v>
      </c>
      <c s="30" r="AB208">
        <v>0</v>
      </c>
      <c s="30" r="AC208">
        <v>0</v>
      </c>
      <c s="30" r="AD208">
        <v>0</v>
      </c>
      <c s="30" r="AE208"/>
      <c t="str" s="8" r="AF208">
        <f>(I208+J208)/R208</f>
        <v>#VALUE!:notNumber:NA</v>
      </c>
      <c t="str" s="28" r="AG208">
        <f>G208/$X208</f>
        <v>#DIV/0!:divZero</v>
      </c>
      <c t="str" s="28" r="AH208">
        <f>H208/$X208</f>
        <v>#DIV/0!:divZero</v>
      </c>
      <c t="str" s="28" r="AI208">
        <f>I208/$X208</f>
        <v>#DIV/0!:divZero</v>
      </c>
      <c t="str" s="28" r="AJ208">
        <f>J208/$X208</f>
        <v>#DIV/0!:divZero</v>
      </c>
      <c t="str" s="28" r="AK208">
        <f>K208/$X208</f>
        <v>#DIV/0!:divZero</v>
      </c>
      <c s="30" r="AL208">
        <v>1</v>
      </c>
    </row>
    <row r="209">
      <c s="30" r="A209">
        <v>208</v>
      </c>
      <c t="s" s="30" r="B209">
        <v>55</v>
      </c>
      <c s="62" r="C209">
        <v>41578</v>
      </c>
      <c s="52" r="D209">
        <v>0.496527777777778</v>
      </c>
      <c s="55" r="E209">
        <f>643*0.61</f>
        <v>392.23</v>
      </c>
      <c s="55" r="F209"/>
      <c t="s" s="55" r="G209">
        <v>39</v>
      </c>
      <c t="s" s="55" r="H209">
        <v>39</v>
      </c>
      <c t="s" s="55" r="I209">
        <v>39</v>
      </c>
      <c t="s" s="55" r="J209">
        <v>39</v>
      </c>
      <c t="s" s="55" r="K209">
        <v>39</v>
      </c>
      <c s="80" r="L209">
        <v>0</v>
      </c>
      <c s="79" r="M209">
        <v>0</v>
      </c>
      <c s="79" r="N209">
        <f>148.71-32.61</f>
        <v>116.1</v>
      </c>
      <c s="32" r="O209">
        <f>SUMIF(Sellables!$A$2:$A$11482, $A209, Sellables!$G$2:$G$11482)</f>
        <v>250.592</v>
      </c>
      <c s="32" r="P209">
        <f>SUMIF(Skills!$A$2:$A$9999, A209, Skills!$F$2:$F$9999)</f>
        <v>0</v>
      </c>
      <c s="14" r="Q209">
        <f>(N209+O209)+P209</f>
        <v>366.692</v>
      </c>
      <c s="23" r="R209">
        <f>(E209+L209)-M209</f>
        <v>392.23</v>
      </c>
      <c s="70" r="S209">
        <f>Q209-R209</f>
        <v>-25.538</v>
      </c>
      <c s="29" r="T209">
        <f> (Q209/R209) - 1</f>
        <v>-0.065109757030314</v>
      </c>
      <c t="str" s="70" r="U209">
        <f>R209/X209</f>
        <v>#DIV/0!:divZero</v>
      </c>
      <c t="str" s="70" r="V209">
        <f>Q209/X209</f>
        <v>#DIV/0!:divZero</v>
      </c>
      <c t="s" s="30" r="W209">
        <v>98</v>
      </c>
      <c s="30" r="X209">
        <v>0</v>
      </c>
      <c t="s" s="30" r="Y209">
        <v>182</v>
      </c>
      <c t="s" s="30" r="Z209">
        <v>42</v>
      </c>
      <c s="30" r="AA209">
        <v>0</v>
      </c>
      <c s="30" r="AB209">
        <v>0</v>
      </c>
      <c s="30" r="AC209">
        <v>0</v>
      </c>
      <c s="30" r="AD209">
        <v>0</v>
      </c>
      <c s="30" r="AE209"/>
      <c t="str" s="8" r="AF209">
        <f>(I209+J209)/R209</f>
        <v>#VALUE!:notNumber:NA</v>
      </c>
      <c t="str" s="28" r="AG209">
        <f>G209/$X209</f>
        <v>#DIV/0!:divZero</v>
      </c>
      <c t="str" s="28" r="AH209">
        <f>H209/$X209</f>
        <v>#DIV/0!:divZero</v>
      </c>
      <c t="str" s="28" r="AI209">
        <f>I209/$X209</f>
        <v>#DIV/0!:divZero</v>
      </c>
      <c t="str" s="28" r="AJ209">
        <f>J209/$X209</f>
        <v>#DIV/0!:divZero</v>
      </c>
      <c t="str" s="28" r="AK209">
        <f>K209/$X209</f>
        <v>#DIV/0!:divZero</v>
      </c>
      <c s="30" r="AL209">
        <v>1</v>
      </c>
    </row>
    <row r="210">
      <c s="30" r="A210">
        <v>209</v>
      </c>
      <c t="s" s="30" r="B210">
        <v>55</v>
      </c>
      <c s="62" r="C210">
        <v>41578</v>
      </c>
      <c s="52" r="D210">
        <v>0.534722222222222</v>
      </c>
      <c s="55" r="E210">
        <f>162*0.61</f>
        <v>98.82</v>
      </c>
      <c s="55" r="F210"/>
      <c t="s" s="55" r="G210">
        <v>39</v>
      </c>
      <c t="s" s="55" r="H210">
        <v>39</v>
      </c>
      <c t="s" s="55" r="I210">
        <v>39</v>
      </c>
      <c t="s" s="55" r="J210">
        <v>39</v>
      </c>
      <c t="s" s="55" r="K210">
        <v>39</v>
      </c>
      <c s="80" r="L210">
        <v>0</v>
      </c>
      <c s="79" r="M210">
        <v>0</v>
      </c>
      <c s="79" r="N210">
        <f>78.40-10.41</f>
        <v>67.99</v>
      </c>
      <c s="32" r="O210">
        <f>SUMIF(Sellables!$A$2:$A$11482, $A210, Sellables!$G$2:$G$11482)</f>
        <v>11.2428</v>
      </c>
      <c s="32" r="P210">
        <f>SUMIF(Skills!$A$2:$A$9999, A210, Skills!$F$2:$F$9999)</f>
        <v>0</v>
      </c>
      <c s="14" r="Q210">
        <f>(N210+O210)+P210</f>
        <v>79.2328</v>
      </c>
      <c s="23" r="R210">
        <f>(E210+L210)-M210</f>
        <v>98.82</v>
      </c>
      <c s="70" r="S210">
        <f>Q210-R210</f>
        <v>-19.5872</v>
      </c>
      <c s="29" r="T210">
        <f> (Q210/R210) - 1</f>
        <v>-0.198210888484112</v>
      </c>
      <c t="str" s="70" r="U210">
        <f>R210/X210</f>
        <v>#DIV/0!:divZero</v>
      </c>
      <c t="str" s="70" r="V210">
        <f>Q210/X210</f>
        <v>#DIV/0!:divZero</v>
      </c>
      <c t="s" s="30" r="W210">
        <v>148</v>
      </c>
      <c s="30" r="X210">
        <v>0</v>
      </c>
      <c t="s" s="30" r="Y210">
        <v>182</v>
      </c>
      <c t="s" s="30" r="Z210">
        <v>42</v>
      </c>
      <c s="30" r="AA210">
        <v>0</v>
      </c>
      <c s="30" r="AB210">
        <v>0</v>
      </c>
      <c s="30" r="AC210">
        <v>0</v>
      </c>
      <c s="30" r="AD210">
        <v>0</v>
      </c>
      <c s="30" r="AE210"/>
      <c t="str" s="8" r="AF210">
        <f>(I210+J210)/R210</f>
        <v>#VALUE!:notNumber:NA</v>
      </c>
      <c t="str" s="28" r="AG210">
        <f>G210/$X210</f>
        <v>#DIV/0!:divZero</v>
      </c>
      <c t="str" s="28" r="AH210">
        <f>H210/$X210</f>
        <v>#DIV/0!:divZero</v>
      </c>
      <c t="str" s="28" r="AI210">
        <f>I210/$X210</f>
        <v>#DIV/0!:divZero</v>
      </c>
      <c t="str" s="28" r="AJ210">
        <f>J210/$X210</f>
        <v>#DIV/0!:divZero</v>
      </c>
      <c t="str" s="28" r="AK210">
        <f>K210/$X210</f>
        <v>#DIV/0!:divZero</v>
      </c>
      <c s="30" r="AL210">
        <v>1</v>
      </c>
    </row>
    <row r="211">
      <c s="30" r="A211">
        <v>210</v>
      </c>
      <c t="s" s="30" r="B211">
        <v>55</v>
      </c>
      <c s="62" r="C211">
        <v>41578</v>
      </c>
      <c s="52" r="D211">
        <v>0.545138888888889</v>
      </c>
      <c s="55" r="E211">
        <f>961*0.61</f>
        <v>586.21</v>
      </c>
      <c s="55" r="F211"/>
      <c t="s" s="55" r="G211">
        <v>39</v>
      </c>
      <c t="s" s="55" r="H211">
        <v>39</v>
      </c>
      <c t="s" s="55" r="I211">
        <v>39</v>
      </c>
      <c t="s" s="55" r="J211">
        <v>39</v>
      </c>
      <c t="s" s="55" r="K211">
        <v>39</v>
      </c>
      <c s="80" r="L211">
        <v>0</v>
      </c>
      <c s="79" r="M211">
        <v>0</v>
      </c>
      <c s="79" r="N211">
        <f>(483.58-114.72)-261.50</f>
        <v>107.36</v>
      </c>
      <c s="32" r="O211">
        <f>SUMIF(Sellables!$A$2:$A$11482, $A211, Sellables!$G$2:$G$11482)</f>
        <v>385.3976</v>
      </c>
      <c s="32" r="P211">
        <f>SUMIF(Skills!$A$2:$A$9999, A211, Skills!$F$2:$F$9999)</f>
        <v>0</v>
      </c>
      <c s="14" r="Q211">
        <f>(N211+O211)+P211</f>
        <v>492.7576</v>
      </c>
      <c s="23" r="R211">
        <f>(E211+L211)-M211</f>
        <v>586.21</v>
      </c>
      <c s="70" r="S211">
        <f>Q211-R211</f>
        <v>-93.4524</v>
      </c>
      <c s="29" r="T211">
        <f> (Q211/R211) - 1</f>
        <v>-0.159417956022586</v>
      </c>
      <c t="str" s="70" r="U211">
        <f>R211/X211</f>
        <v>#DIV/0!:divZero</v>
      </c>
      <c t="str" s="70" r="V211">
        <f>Q211/X211</f>
        <v>#DIV/0!:divZero</v>
      </c>
      <c t="s" s="30" r="W211">
        <v>98</v>
      </c>
      <c s="30" r="X211">
        <v>0</v>
      </c>
      <c t="s" s="30" r="Y211">
        <v>182</v>
      </c>
      <c t="s" s="30" r="Z211">
        <v>42</v>
      </c>
      <c s="30" r="AA211">
        <v>0</v>
      </c>
      <c s="30" r="AB211">
        <v>1</v>
      </c>
      <c s="30" r="AC211">
        <v>0</v>
      </c>
      <c s="30" r="AD211">
        <v>0</v>
      </c>
      <c s="30" r="AE211"/>
      <c t="str" s="8" r="AF211">
        <f>(I211+J211)/R211</f>
        <v>#VALUE!:notNumber:NA</v>
      </c>
      <c t="str" s="28" r="AG211">
        <f>G211/$X211</f>
        <v>#DIV/0!:divZero</v>
      </c>
      <c t="str" s="28" r="AH211">
        <f>H211/$X211</f>
        <v>#DIV/0!:divZero</v>
      </c>
      <c t="str" s="28" r="AI211">
        <f>I211/$X211</f>
        <v>#DIV/0!:divZero</v>
      </c>
      <c t="str" s="28" r="AJ211">
        <f>J211/$X211</f>
        <v>#DIV/0!:divZero</v>
      </c>
      <c t="str" s="28" r="AK211">
        <f>K211/$X211</f>
        <v>#DIV/0!:divZero</v>
      </c>
      <c s="30" r="AL211">
        <v>1</v>
      </c>
    </row>
    <row r="212">
      <c s="30" r="A212">
        <v>211</v>
      </c>
      <c t="s" s="30" r="B212">
        <v>55</v>
      </c>
      <c s="62" r="C212">
        <v>41578</v>
      </c>
      <c s="52" r="D212">
        <v>0.604166666666667</v>
      </c>
      <c s="55" r="E212">
        <f>32*0.91</f>
        <v>29.12</v>
      </c>
      <c s="55" r="F212"/>
      <c t="s" s="55" r="G212">
        <v>39</v>
      </c>
      <c t="s" s="55" r="H212">
        <v>39</v>
      </c>
      <c t="s" s="55" r="I212">
        <v>39</v>
      </c>
      <c t="s" s="55" r="J212">
        <v>39</v>
      </c>
      <c t="s" s="55" r="K212">
        <v>39</v>
      </c>
      <c s="80" r="L212">
        <v>0</v>
      </c>
      <c s="79" r="M212">
        <v>0</v>
      </c>
      <c s="79" r="N212">
        <v>15.15</v>
      </c>
      <c s="32" r="O212">
        <f>SUMIF(Sellables!$A$2:$A$11482, $A212, Sellables!$G$2:$G$11482)</f>
        <v>0</v>
      </c>
      <c s="32" r="P212">
        <f>SUMIF(Skills!$A$2:$A$9999, A212, Skills!$F$2:$F$9999)</f>
        <v>0</v>
      </c>
      <c s="14" r="Q212">
        <f>(N212+O212)+P212</f>
        <v>15.15</v>
      </c>
      <c s="23" r="R212">
        <f>(E212+L212)-M212</f>
        <v>29.12</v>
      </c>
      <c s="70" r="S212">
        <f>Q212-R212</f>
        <v>-13.97</v>
      </c>
      <c s="29" r="T212">
        <f> (Q212/R212) - 1</f>
        <v>-0.479739010989011</v>
      </c>
      <c t="str" s="70" r="U212">
        <f>R212/X212</f>
        <v>#DIV/0!:divZero</v>
      </c>
      <c t="str" s="70" r="V212">
        <f>Q212/X212</f>
        <v>#DIV/0!:divZero</v>
      </c>
      <c t="s" s="30" r="W212">
        <v>98</v>
      </c>
      <c s="30" r="X212">
        <v>0</v>
      </c>
      <c t="s" s="30" r="Y212">
        <v>182</v>
      </c>
      <c t="s" s="30" r="Z212">
        <v>42</v>
      </c>
      <c s="30" r="AA212">
        <v>0</v>
      </c>
      <c s="30" r="AB212">
        <v>0</v>
      </c>
      <c s="30" r="AC212">
        <v>0</v>
      </c>
      <c s="30" r="AD212">
        <v>0</v>
      </c>
      <c s="30" r="AE212"/>
      <c t="str" s="8" r="AF212">
        <f>(I212+J212)/R212</f>
        <v>#VALUE!:notNumber:NA</v>
      </c>
      <c t="str" s="28" r="AG212">
        <f>G212/$X212</f>
        <v>#DIV/0!:divZero</v>
      </c>
      <c t="str" s="28" r="AH212">
        <f>H212/$X212</f>
        <v>#DIV/0!:divZero</v>
      </c>
      <c t="str" s="28" r="AI212">
        <f>I212/$X212</f>
        <v>#DIV/0!:divZero</v>
      </c>
      <c t="str" s="28" r="AJ212">
        <f>J212/$X212</f>
        <v>#DIV/0!:divZero</v>
      </c>
      <c t="str" s="28" r="AK212">
        <f>K212/$X212</f>
        <v>#DIV/0!:divZero</v>
      </c>
      <c s="30" r="AL212">
        <v>1</v>
      </c>
    </row>
    <row r="213">
      <c s="30" r="A213">
        <v>212</v>
      </c>
      <c t="s" s="30" r="B213">
        <v>38</v>
      </c>
      <c s="62" r="C213">
        <v>41578</v>
      </c>
      <c s="52" r="D213">
        <v>0.614583333333333</v>
      </c>
      <c s="55" r="E213">
        <v>700</v>
      </c>
      <c s="55" r="F213"/>
      <c t="s" s="55" r="G213">
        <v>39</v>
      </c>
      <c t="s" s="55" r="H213">
        <v>39</v>
      </c>
      <c t="s" s="55" r="I213">
        <v>39</v>
      </c>
      <c t="s" s="55" r="J213">
        <v>39</v>
      </c>
      <c t="s" s="55" r="K213">
        <v>39</v>
      </c>
      <c s="80" r="L213">
        <v>27.53</v>
      </c>
      <c s="79" r="M213">
        <v>617.07</v>
      </c>
      <c s="79" r="N213">
        <v>34.68</v>
      </c>
      <c s="32" r="O213">
        <f>SUMIF(Sellables!$A$2:$A$11482, $A213, Sellables!$G$2:$G$11482)</f>
        <v>0</v>
      </c>
      <c s="32" r="P213">
        <f>SUMIF(Skills!$A$2:$A$9999, A213, Skills!$F$2:$F$9999)</f>
        <v>0</v>
      </c>
      <c s="14" r="Q213">
        <f>(N213+O213)+P213</f>
        <v>34.68</v>
      </c>
      <c s="23" r="R213">
        <f>(E213+L213)-M213</f>
        <v>110.46</v>
      </c>
      <c s="70" r="S213">
        <f>Q213-R213</f>
        <v>-75.7799999999999</v>
      </c>
      <c s="29" r="T213">
        <f> (Q213/R213) - 1</f>
        <v>-0.686040195545899</v>
      </c>
      <c t="str" s="70" r="U213">
        <f>R213/X213</f>
        <v>#DIV/0!:divZero</v>
      </c>
      <c t="str" s="70" r="V213">
        <f>Q213/X213</f>
        <v>#DIV/0!:divZero</v>
      </c>
      <c t="s" s="30" r="W213">
        <v>202</v>
      </c>
      <c s="30" r="X213">
        <v>0</v>
      </c>
      <c t="s" s="30" r="Y213">
        <v>203</v>
      </c>
      <c t="s" s="30" r="Z213">
        <v>42</v>
      </c>
      <c s="30" r="AA213">
        <v>0</v>
      </c>
      <c s="30" r="AB213">
        <v>0</v>
      </c>
      <c s="30" r="AC213">
        <v>0</v>
      </c>
      <c s="30" r="AD213">
        <v>0</v>
      </c>
      <c s="30" r="AE213"/>
      <c t="str" s="8" r="AF213">
        <f>(I213+J213)/R213</f>
        <v>#VALUE!:notNumber:NA</v>
      </c>
      <c t="str" s="28" r="AG213">
        <f>G213/$X213</f>
        <v>#DIV/0!:divZero</v>
      </c>
      <c t="str" s="28" r="AH213">
        <f>H213/$X213</f>
        <v>#DIV/0!:divZero</v>
      </c>
      <c t="str" s="28" r="AI213">
        <f>I213/$X213</f>
        <v>#DIV/0!:divZero</v>
      </c>
      <c t="str" s="28" r="AJ213">
        <f>J213/$X213</f>
        <v>#DIV/0!:divZero</v>
      </c>
      <c t="str" s="28" r="AK213">
        <f>K213/$X213</f>
        <v>#DIV/0!:divZero</v>
      </c>
      <c s="30" r="AL213">
        <v>1</v>
      </c>
    </row>
    <row r="214">
      <c s="30" r="A214">
        <v>213</v>
      </c>
      <c t="s" s="30" r="B214">
        <v>55</v>
      </c>
      <c s="62" r="C214">
        <v>41578</v>
      </c>
      <c s="52" r="D214">
        <v>0.684027777777778</v>
      </c>
      <c s="55" r="E214">
        <f>80*1.9</f>
        <v>152</v>
      </c>
      <c s="55" r="F214"/>
      <c t="s" s="55" r="G214">
        <v>39</v>
      </c>
      <c t="s" s="55" r="H214">
        <v>39</v>
      </c>
      <c t="s" s="55" r="I214">
        <v>39</v>
      </c>
      <c t="s" s="55" r="J214">
        <v>39</v>
      </c>
      <c t="s" s="55" r="K214">
        <v>39</v>
      </c>
      <c s="80" r="L214">
        <v>0</v>
      </c>
      <c s="79" r="M214">
        <v>0</v>
      </c>
      <c s="79" r="N214">
        <f>((117.74-46.68)-34.56)-10.80</f>
        <v>25.7</v>
      </c>
      <c s="32" r="O214">
        <f>SUMIF(Sellables!$A$2:$A$11482, $A214, Sellables!$G$2:$G$11482)</f>
        <v>113.1192</v>
      </c>
      <c s="32" r="P214">
        <f>SUMIF(Skills!$A$2:$A$9999, A214, Skills!$F$2:$F$9999)</f>
        <v>0</v>
      </c>
      <c s="14" r="Q214">
        <f>(N214+O214)+P214</f>
        <v>138.8192</v>
      </c>
      <c s="23" r="R214">
        <f>(E214+L214)-M214</f>
        <v>152</v>
      </c>
      <c s="70" r="S214">
        <f>Q214-R214</f>
        <v>-13.1808</v>
      </c>
      <c s="29" r="T214">
        <f> (Q214/R214) - 1</f>
        <v>-0.086715789473684</v>
      </c>
      <c t="str" s="70" r="U214">
        <f>R214/X214</f>
        <v>#DIV/0!:divZero</v>
      </c>
      <c t="str" s="70" r="V214">
        <f>Q214/X214</f>
        <v>#DIV/0!:divZero</v>
      </c>
      <c t="s" s="30" r="W214">
        <v>150</v>
      </c>
      <c s="30" r="X214">
        <v>0</v>
      </c>
      <c t="s" s="30" r="Y214">
        <v>182</v>
      </c>
      <c t="s" s="30" r="Z214">
        <v>42</v>
      </c>
      <c s="30" r="AA214">
        <v>0</v>
      </c>
      <c s="30" r="AB214">
        <v>0</v>
      </c>
      <c s="30" r="AC214">
        <v>0</v>
      </c>
      <c s="30" r="AD214">
        <v>0</v>
      </c>
      <c s="30" r="AE214"/>
      <c t="str" s="8" r="AF214">
        <f>(I214+J214)/R214</f>
        <v>#VALUE!:notNumber:NA</v>
      </c>
      <c t="str" s="28" r="AG214">
        <f>G214/$X214</f>
        <v>#DIV/0!:divZero</v>
      </c>
      <c t="str" s="28" r="AH214">
        <f>H214/$X214</f>
        <v>#DIV/0!:divZero</v>
      </c>
      <c t="str" s="28" r="AI214">
        <f>I214/$X214</f>
        <v>#DIV/0!:divZero</v>
      </c>
      <c t="str" s="28" r="AJ214">
        <f>J214/$X214</f>
        <v>#DIV/0!:divZero</v>
      </c>
      <c t="str" s="28" r="AK214">
        <f>K214/$X214</f>
        <v>#DIV/0!:divZero</v>
      </c>
      <c s="30" r="AL214">
        <v>1</v>
      </c>
    </row>
    <row r="215">
      <c s="30" r="A215">
        <v>214</v>
      </c>
      <c t="s" s="30" r="B215">
        <v>55</v>
      </c>
      <c s="62" r="C215">
        <v>41578</v>
      </c>
      <c s="52" r="D215">
        <v>0.684027777777778</v>
      </c>
      <c s="55" r="E215">
        <f>68*1.9</f>
        <v>129.2</v>
      </c>
      <c s="55" r="F215"/>
      <c t="s" s="55" r="G215">
        <v>39</v>
      </c>
      <c t="s" s="55" r="H215">
        <v>39</v>
      </c>
      <c t="s" s="55" r="I215">
        <v>39</v>
      </c>
      <c t="s" s="55" r="J215">
        <v>39</v>
      </c>
      <c t="s" s="55" r="K215">
        <v>39</v>
      </c>
      <c s="80" r="L215">
        <v>0</v>
      </c>
      <c s="79" r="M215">
        <v>0</v>
      </c>
      <c s="79" r="N215">
        <f>((117.74-46.68)-34.56)-10.80</f>
        <v>25.7</v>
      </c>
      <c s="32" r="O215">
        <f>SUMIF(Sellables!$A$2:$A$11482, $A215, Sellables!$G$2:$G$11482)</f>
        <v>95.9472</v>
      </c>
      <c s="32" r="P215">
        <f>SUMIF(Skills!$A$2:$A$9999, A215, Skills!$F$2:$F$9999)</f>
        <v>0</v>
      </c>
      <c s="14" r="Q215">
        <f>(N215+O215)+P215</f>
        <v>121.6472</v>
      </c>
      <c s="23" r="R215">
        <f>(E215+L215)-M215</f>
        <v>129.2</v>
      </c>
      <c s="70" r="S215">
        <f>Q215-R215</f>
        <v>-7.55279999999998</v>
      </c>
      <c s="29" r="T215">
        <f> (Q215/R215) - 1</f>
        <v>-0.058458204334365</v>
      </c>
      <c t="str" s="70" r="U215">
        <f>R215/X215</f>
        <v>#DIV/0!:divZero</v>
      </c>
      <c t="str" s="70" r="V215">
        <f>Q215/X215</f>
        <v>#DIV/0!:divZero</v>
      </c>
      <c t="s" s="30" r="W215">
        <v>92</v>
      </c>
      <c s="30" r="X215">
        <v>0</v>
      </c>
      <c t="s" s="30" r="Y215">
        <v>182</v>
      </c>
      <c t="s" s="30" r="Z215">
        <v>42</v>
      </c>
      <c s="30" r="AA215">
        <v>0</v>
      </c>
      <c s="30" r="AB215">
        <v>0</v>
      </c>
      <c s="30" r="AC215">
        <v>0</v>
      </c>
      <c s="30" r="AD215">
        <v>0</v>
      </c>
      <c s="30" r="AE215"/>
      <c t="str" s="8" r="AF215">
        <f>(I215+J215)/R215</f>
        <v>#VALUE!:notNumber:NA</v>
      </c>
      <c t="str" s="28" r="AG215">
        <f>G215/$X215</f>
        <v>#DIV/0!:divZero</v>
      </c>
      <c t="str" s="28" r="AH215">
        <f>H215/$X215</f>
        <v>#DIV/0!:divZero</v>
      </c>
      <c t="str" s="28" r="AI215">
        <f>I215/$X215</f>
        <v>#DIV/0!:divZero</v>
      </c>
      <c t="str" s="28" r="AJ215">
        <f>J215/$X215</f>
        <v>#DIV/0!:divZero</v>
      </c>
      <c t="str" s="28" r="AK215">
        <f>K215/$X215</f>
        <v>#DIV/0!:divZero</v>
      </c>
      <c s="30" r="AL215">
        <v>1</v>
      </c>
    </row>
    <row r="216">
      <c s="30" r="A216">
        <v>215</v>
      </c>
      <c t="s" s="30" r="B216">
        <v>55</v>
      </c>
      <c s="62" r="C216">
        <v>41578</v>
      </c>
      <c s="52" r="D216">
        <v>0.684027777777778</v>
      </c>
      <c s="55" r="E216">
        <f>115*1.9</f>
        <v>218.5</v>
      </c>
      <c s="55" r="F216"/>
      <c t="s" s="55" r="G216">
        <v>39</v>
      </c>
      <c t="s" s="55" r="H216">
        <v>39</v>
      </c>
      <c t="s" s="55" r="I216">
        <v>39</v>
      </c>
      <c t="s" s="55" r="J216">
        <v>39</v>
      </c>
      <c t="s" s="55" r="K216">
        <v>39</v>
      </c>
      <c s="80" r="L216">
        <v>0</v>
      </c>
      <c s="79" r="M216">
        <v>0</v>
      </c>
      <c s="79" r="N216">
        <f>((147.08-23.51)-71.77)-14.40</f>
        <v>37.4</v>
      </c>
      <c s="32" r="O216">
        <f>SUMIF(Sellables!$A$2:$A$11482, $A216, Sellables!$G$2:$G$11482)</f>
        <v>153.3024</v>
      </c>
      <c s="32" r="P216">
        <f>SUMIF(Skills!$A$2:$A$9999, A216, Skills!$F$2:$F$9999)</f>
        <v>0</v>
      </c>
      <c s="14" r="Q216">
        <f>(N216+O216)+P216</f>
        <v>190.7024</v>
      </c>
      <c s="23" r="R216">
        <f>(E216+L216)-M216</f>
        <v>218.5</v>
      </c>
      <c s="70" r="S216">
        <f>Q216-R216</f>
        <v>-27.7976</v>
      </c>
      <c s="29" r="T216">
        <f> (Q216/R216) - 1</f>
        <v>-0.127220137299771</v>
      </c>
      <c t="str" s="70" r="U216">
        <f>R216/X216</f>
        <v>#DIV/0!:divZero</v>
      </c>
      <c t="str" s="70" r="V216">
        <f>Q216/X216</f>
        <v>#DIV/0!:divZero</v>
      </c>
      <c t="s" s="30" r="W216">
        <v>204</v>
      </c>
      <c s="30" r="X216">
        <v>0</v>
      </c>
      <c t="s" s="30" r="Y216">
        <v>182</v>
      </c>
      <c t="s" s="30" r="Z216">
        <v>42</v>
      </c>
      <c s="30" r="AA216">
        <v>0</v>
      </c>
      <c s="30" r="AB216">
        <v>0</v>
      </c>
      <c s="30" r="AC216">
        <v>0</v>
      </c>
      <c s="30" r="AD216">
        <v>0</v>
      </c>
      <c s="30" r="AE216"/>
      <c t="str" s="8" r="AF216">
        <f>(I216+J216)/R216</f>
        <v>#VALUE!:notNumber:NA</v>
      </c>
      <c t="str" s="28" r="AG216">
        <f>G216/$X216</f>
        <v>#DIV/0!:divZero</v>
      </c>
      <c t="str" s="28" r="AH216">
        <f>H216/$X216</f>
        <v>#DIV/0!:divZero</v>
      </c>
      <c t="str" s="28" r="AI216">
        <f>I216/$X216</f>
        <v>#DIV/0!:divZero</v>
      </c>
      <c t="str" s="28" r="AJ216">
        <f>J216/$X216</f>
        <v>#DIV/0!:divZero</v>
      </c>
      <c t="str" s="28" r="AK216">
        <f>K216/$X216</f>
        <v>#DIV/0!:divZero</v>
      </c>
      <c s="30" r="AL216">
        <v>1</v>
      </c>
    </row>
    <row r="217">
      <c s="30" r="A217">
        <v>216</v>
      </c>
      <c t="s" s="30" r="B217">
        <v>38</v>
      </c>
      <c s="62" r="C217">
        <v>41578</v>
      </c>
      <c s="52" r="D217">
        <v>0.791666666666667</v>
      </c>
      <c s="55" r="E217">
        <v>500</v>
      </c>
      <c s="55" r="F217"/>
      <c t="s" s="55" r="G217">
        <v>39</v>
      </c>
      <c t="s" s="55" r="H217">
        <v>39</v>
      </c>
      <c t="s" s="55" r="I217">
        <v>39</v>
      </c>
      <c t="s" s="55" r="J217">
        <v>39</v>
      </c>
      <c t="s" s="55" r="K217">
        <v>39</v>
      </c>
      <c s="80" r="L217">
        <v>125.41</v>
      </c>
      <c s="79" r="M217">
        <v>207.4</v>
      </c>
      <c s="79" r="N217">
        <v>189.88</v>
      </c>
      <c s="32" r="O217">
        <f>SUMIF(Sellables!$A$2:$A$11482, $A217, Sellables!$G$2:$G$11482)</f>
        <v>0</v>
      </c>
      <c s="32" r="P217">
        <f>SUMIF(Skills!$A$2:$A$9999, A217, Skills!$F$2:$F$9999)</f>
        <v>0</v>
      </c>
      <c s="14" r="Q217">
        <f>(N217+O217)+P217</f>
        <v>189.88</v>
      </c>
      <c s="14" r="R217">
        <f>(E217+L217)-M217</f>
        <v>418.01</v>
      </c>
      <c s="70" r="S217">
        <f>Q217-R217</f>
        <v>-228.13</v>
      </c>
      <c s="29" r="T217">
        <f> (Q217/R217) - 1</f>
        <v>-0.545752493959475</v>
      </c>
      <c t="str" s="70" r="U217">
        <f>R217/X217</f>
        <v>#DIV/0!:divZero</v>
      </c>
      <c t="str" s="70" r="V217">
        <f>Q217/X217</f>
        <v>#DIV/0!:divZero</v>
      </c>
      <c t="s" s="30" r="W217">
        <v>205</v>
      </c>
      <c s="30" r="X217">
        <v>0</v>
      </c>
      <c t="s" s="30" r="Y217">
        <v>198</v>
      </c>
      <c t="s" s="30" r="Z217">
        <v>42</v>
      </c>
      <c s="30" r="AA217">
        <v>0</v>
      </c>
      <c s="30" r="AB217">
        <v>0</v>
      </c>
      <c s="30" r="AC217">
        <v>0</v>
      </c>
      <c s="30" r="AD217">
        <v>0</v>
      </c>
      <c s="30" r="AE217"/>
      <c t="str" s="8" r="AF217">
        <f>(I217+J217)/R217</f>
        <v>#VALUE!:notNumber:NA</v>
      </c>
      <c t="str" s="28" r="AG217">
        <f>G217/$X217</f>
        <v>#DIV/0!:divZero</v>
      </c>
      <c t="str" s="28" r="AH217">
        <f>H217/$X217</f>
        <v>#DIV/0!:divZero</v>
      </c>
      <c t="str" s="28" r="AI217">
        <f>I217/$X217</f>
        <v>#DIV/0!:divZero</v>
      </c>
      <c t="str" s="28" r="AJ217">
        <f>J217/$X217</f>
        <v>#DIV/0!:divZero</v>
      </c>
      <c t="str" s="28" r="AK217">
        <f>K217/$X217</f>
        <v>#DIV/0!:divZero</v>
      </c>
      <c s="30" r="AL217">
        <v>1</v>
      </c>
    </row>
    <row r="218">
      <c s="30" r="A218">
        <v>217</v>
      </c>
      <c t="s" s="30" r="B218">
        <v>38</v>
      </c>
      <c s="62" r="C218">
        <v>41578</v>
      </c>
      <c s="52" r="D218">
        <v>0.822916666666667</v>
      </c>
      <c s="55" r="E218">
        <v>500</v>
      </c>
      <c s="55" r="F218"/>
      <c t="s" s="55" r="G218">
        <v>39</v>
      </c>
      <c t="s" s="55" r="H218">
        <v>39</v>
      </c>
      <c t="s" s="55" r="I218">
        <v>39</v>
      </c>
      <c t="s" s="55" r="J218">
        <v>39</v>
      </c>
      <c t="s" s="55" r="K218">
        <v>39</v>
      </c>
      <c s="80" r="L218">
        <v>36.86</v>
      </c>
      <c s="79" r="M218">
        <v>392.67</v>
      </c>
      <c s="79" r="N218">
        <v>24.23</v>
      </c>
      <c s="32" r="O218">
        <f>SUMIF(Sellables!$A$2:$A$11482, $A218, Sellables!$G$2:$G$11482)</f>
        <v>60.044508</v>
      </c>
      <c s="32" r="P218">
        <f>SUMIF(Skills!$A$2:$A$9999, A218, Skills!$F$2:$F$9999)</f>
        <v>0</v>
      </c>
      <c s="14" r="Q218">
        <f>(N218+O218)+P218</f>
        <v>84.274508</v>
      </c>
      <c s="14" r="R218">
        <f>(E218+L218)-M218</f>
        <v>144.19</v>
      </c>
      <c s="70" r="S218">
        <f>Q218-R218</f>
        <v>-59.915492</v>
      </c>
      <c s="29" r="T218">
        <f> (Q218/R218) - 1</f>
        <v>-0.415531534780498</v>
      </c>
      <c t="str" s="70" r="U218">
        <f>R218/X218</f>
        <v>#DIV/0!:divZero</v>
      </c>
      <c t="str" s="70" r="V218">
        <f>Q218/X218</f>
        <v>#DIV/0!:divZero</v>
      </c>
      <c t="s" s="30" r="W218">
        <v>99</v>
      </c>
      <c s="30" r="X218">
        <v>0</v>
      </c>
      <c t="s" s="30" r="Y218">
        <v>41</v>
      </c>
      <c t="s" s="30" r="Z218">
        <v>42</v>
      </c>
      <c s="30" r="AA218">
        <v>0</v>
      </c>
      <c s="30" r="AB218">
        <v>0</v>
      </c>
      <c s="30" r="AC218">
        <v>0</v>
      </c>
      <c s="30" r="AD218">
        <v>0</v>
      </c>
      <c s="30" r="AE218"/>
      <c t="str" s="8" r="AF218">
        <f>(I218+J218)/R218</f>
        <v>#VALUE!:notNumber:NA</v>
      </c>
      <c t="str" s="28" r="AG218">
        <f>G218/$X218</f>
        <v>#DIV/0!:divZero</v>
      </c>
      <c t="str" s="28" r="AH218">
        <f>H218/$X218</f>
        <v>#DIV/0!:divZero</v>
      </c>
      <c t="str" s="28" r="AI218">
        <f>I218/$X218</f>
        <v>#DIV/0!:divZero</v>
      </c>
      <c t="str" s="28" r="AJ218">
        <f>J218/$X218</f>
        <v>#DIV/0!:divZero</v>
      </c>
      <c t="str" s="28" r="AK218">
        <f>K218/$X218</f>
        <v>#DIV/0!:divZero</v>
      </c>
      <c s="30" r="AL218">
        <v>1</v>
      </c>
    </row>
    <row r="219">
      <c s="30" r="A219">
        <v>218</v>
      </c>
      <c t="s" s="30" r="B219">
        <v>38</v>
      </c>
      <c s="62" r="C219">
        <v>41578</v>
      </c>
      <c s="52" r="D219">
        <v>0.822916666666667</v>
      </c>
      <c s="55" r="E219">
        <v>500</v>
      </c>
      <c s="55" r="F219"/>
      <c t="s" s="55" r="G219">
        <v>39</v>
      </c>
      <c t="s" s="55" r="H219">
        <v>39</v>
      </c>
      <c t="s" s="55" r="I219">
        <v>39</v>
      </c>
      <c t="s" s="55" r="J219">
        <v>39</v>
      </c>
      <c t="s" s="55" r="K219">
        <v>39</v>
      </c>
      <c s="80" r="L219">
        <v>25.99</v>
      </c>
      <c s="79" r="M219">
        <v>437.39</v>
      </c>
      <c s="79" r="N219">
        <v>37.6</v>
      </c>
      <c s="32" r="O219">
        <f>SUMIF(Sellables!$A$2:$A$11482, $A219, Sellables!$G$2:$G$11482)</f>
        <v>0</v>
      </c>
      <c s="32" r="P219">
        <f>SUMIF(Skills!$A$2:$A$9999, A219, Skills!$F$2:$F$9999)</f>
        <v>0</v>
      </c>
      <c s="14" r="Q219">
        <f>(N219+O219)+P219</f>
        <v>37.6</v>
      </c>
      <c s="14" r="R219">
        <f>(E219+L219)-M219</f>
        <v>88.6</v>
      </c>
      <c s="70" r="S219">
        <f>Q219-R219</f>
        <v>-51</v>
      </c>
      <c s="29" r="T219">
        <f> (Q219/R219) - 1</f>
        <v>-0.575620767494357</v>
      </c>
      <c s="70" r="U219">
        <f>R219/X219</f>
        <v>3.69166666666667</v>
      </c>
      <c s="70" r="V219">
        <f>Q219/X219</f>
        <v>1.56666666666667</v>
      </c>
      <c t="s" s="30" r="W219">
        <v>118</v>
      </c>
      <c s="30" r="X219">
        <v>24</v>
      </c>
      <c t="s" s="30" r="Y219">
        <v>206</v>
      </c>
      <c t="s" s="30" r="Z219">
        <v>42</v>
      </c>
      <c s="30" r="AA219">
        <v>0</v>
      </c>
      <c s="30" r="AB219">
        <v>0</v>
      </c>
      <c s="30" r="AC219">
        <v>0</v>
      </c>
      <c s="30" r="AD219">
        <v>0</v>
      </c>
      <c s="30" r="AE219"/>
      <c t="str" s="8" r="AF219">
        <f>(I219+J219)/R219</f>
        <v>#VALUE!:notNumber:NA</v>
      </c>
      <c t="str" s="28" r="AG219">
        <f>G219/$X219</f>
        <v>#VALUE!:notNumber:NA</v>
      </c>
      <c t="str" s="28" r="AH219">
        <f>H219/$X219</f>
        <v>#VALUE!:notNumber:NA</v>
      </c>
      <c t="str" s="28" r="AI219">
        <f>I219/$X219</f>
        <v>#VALUE!:notNumber:NA</v>
      </c>
      <c t="str" s="28" r="AJ219">
        <f>J219/$X219</f>
        <v>#VALUE!:notNumber:NA</v>
      </c>
      <c t="str" s="28" r="AK219">
        <f>K219/$X219</f>
        <v>#VALUE!:notNumber:NA</v>
      </c>
      <c s="30" r="AL219">
        <v>1</v>
      </c>
    </row>
    <row r="220">
      <c s="30" r="A220">
        <v>219</v>
      </c>
      <c t="s" s="30" r="B220">
        <v>38</v>
      </c>
      <c s="62" r="C220">
        <v>41578</v>
      </c>
      <c s="52" r="D220">
        <v>0.875</v>
      </c>
      <c s="55" r="E220">
        <v>0</v>
      </c>
      <c s="55" r="F220"/>
      <c t="s" s="55" r="G220">
        <v>39</v>
      </c>
      <c t="s" s="55" r="H220">
        <v>39</v>
      </c>
      <c t="s" s="55" r="I220">
        <v>39</v>
      </c>
      <c t="s" s="55" r="J220">
        <v>39</v>
      </c>
      <c t="s" s="55" r="K220">
        <v>39</v>
      </c>
      <c s="80" r="L220">
        <v>3.32</v>
      </c>
      <c s="79" r="M220">
        <v>0.15</v>
      </c>
      <c s="79" r="N220">
        <v>1.92</v>
      </c>
      <c s="32" r="O220">
        <f>SUMIF(Sellables!$A$2:$A$11482, $A220, Sellables!$G$2:$G$11482)</f>
        <v>1.207872</v>
      </c>
      <c s="32" r="P220">
        <f>SUMIF(Skills!$A$2:$A$9999, A220, Skills!$F$2:$F$9999)</f>
        <v>0</v>
      </c>
      <c s="14" r="Q220">
        <f>(N220+O220)+P220</f>
        <v>3.127872</v>
      </c>
      <c s="14" r="R220">
        <f>(E220+L220)-M220</f>
        <v>3.17</v>
      </c>
      <c s="70" r="S220">
        <f>Q220-R220</f>
        <v>-0.042128</v>
      </c>
      <c s="29" r="T220">
        <f> (Q220/R220) - 1</f>
        <v>-0.013289589905363</v>
      </c>
      <c t="str" s="70" r="U220">
        <f>R220/X220</f>
        <v>#DIV/0!:divZero</v>
      </c>
      <c t="str" s="70" r="V220">
        <f>Q220/X220</f>
        <v>#DIV/0!:divZero</v>
      </c>
      <c t="s" s="30" r="W220">
        <v>207</v>
      </c>
      <c s="30" r="X220">
        <v>0</v>
      </c>
      <c t="s" s="30" r="Y220">
        <v>208</v>
      </c>
      <c t="s" s="30" r="Z220">
        <v>42</v>
      </c>
      <c s="30" r="AA220">
        <v>0</v>
      </c>
      <c s="30" r="AB220">
        <v>0</v>
      </c>
      <c s="30" r="AC220">
        <v>0</v>
      </c>
      <c s="30" r="AD220">
        <v>0</v>
      </c>
      <c s="30" r="AE220"/>
      <c t="str" s="8" r="AF220">
        <f>(I220+J220)/R220</f>
        <v>#VALUE!:notNumber:NA</v>
      </c>
      <c t="str" s="28" r="AG220">
        <f>G220/$X220</f>
        <v>#DIV/0!:divZero</v>
      </c>
      <c t="str" s="28" r="AH220">
        <f>H220/$X220</f>
        <v>#DIV/0!:divZero</v>
      </c>
      <c t="str" s="28" r="AI220">
        <f>I220/$X220</f>
        <v>#DIV/0!:divZero</v>
      </c>
      <c t="str" s="28" r="AJ220">
        <f>J220/$X220</f>
        <v>#DIV/0!:divZero</v>
      </c>
      <c t="str" s="28" r="AK220">
        <f>K220/$X220</f>
        <v>#DIV/0!:divZero</v>
      </c>
      <c s="30" r="AL220">
        <v>1</v>
      </c>
    </row>
    <row r="221">
      <c s="30" r="A221">
        <v>220</v>
      </c>
      <c t="s" s="30" r="B221">
        <v>38</v>
      </c>
      <c s="62" r="C221">
        <v>41578</v>
      </c>
      <c s="52" r="D221">
        <v>0.90625</v>
      </c>
      <c s="55" r="E221">
        <v>500</v>
      </c>
      <c s="55" r="F221"/>
      <c t="s" s="55" r="G221">
        <v>39</v>
      </c>
      <c t="s" s="55" r="H221">
        <v>39</v>
      </c>
      <c t="s" s="55" r="I221">
        <v>39</v>
      </c>
      <c t="s" s="55" r="J221">
        <v>39</v>
      </c>
      <c t="s" s="55" r="K221">
        <v>39</v>
      </c>
      <c s="80" r="L221">
        <v>13.62</v>
      </c>
      <c s="79" r="M221">
        <v>456.89</v>
      </c>
      <c s="79" r="N221">
        <v>113.55</v>
      </c>
      <c s="32" r="O221">
        <f>SUMIF(Sellables!$A$2:$A$11482, $A221, Sellables!$G$2:$G$11482)</f>
        <v>0</v>
      </c>
      <c s="32" r="P221">
        <f>SUMIF(Skills!$A$2:$A$9999, A221, Skills!$F$2:$F$9999)</f>
        <v>0</v>
      </c>
      <c s="14" r="Q221">
        <f>(N221+O221)+P221</f>
        <v>113.55</v>
      </c>
      <c s="14" r="R221">
        <f>(E221+L221)-M221</f>
        <v>56.73</v>
      </c>
      <c s="70" r="S221">
        <f>Q221-R221</f>
        <v>56.82</v>
      </c>
      <c s="29" r="T221">
        <f> (Q221/R221) - 1</f>
        <v>1.00158646218932</v>
      </c>
      <c t="str" s="70" r="U221">
        <f>R221/X221</f>
        <v>#DIV/0!:divZero</v>
      </c>
      <c t="str" s="70" r="V221">
        <f>Q221/X221</f>
        <v>#DIV/0!:divZero</v>
      </c>
      <c t="s" s="30" r="W221">
        <v>202</v>
      </c>
      <c s="30" r="X221">
        <v>0</v>
      </c>
      <c t="s" s="30" r="Y221">
        <v>203</v>
      </c>
      <c t="s" s="30" r="Z221">
        <v>42</v>
      </c>
      <c s="30" r="AA221">
        <v>0</v>
      </c>
      <c s="30" r="AB221">
        <v>0</v>
      </c>
      <c s="30" r="AC221">
        <v>1</v>
      </c>
      <c s="30" r="AD221">
        <v>0</v>
      </c>
      <c s="30" r="AE221"/>
      <c t="str" s="8" r="AF221">
        <f>(I221+J221)/R221</f>
        <v>#VALUE!:notNumber:NA</v>
      </c>
      <c t="str" s="28" r="AG221">
        <f>G221/$X221</f>
        <v>#DIV/0!:divZero</v>
      </c>
      <c t="str" s="28" r="AH221">
        <f>H221/$X221</f>
        <v>#DIV/0!:divZero</v>
      </c>
      <c t="str" s="28" r="AI221">
        <f>I221/$X221</f>
        <v>#DIV/0!:divZero</v>
      </c>
      <c t="str" s="28" r="AJ221">
        <f>J221/$X221</f>
        <v>#DIV/0!:divZero</v>
      </c>
      <c t="str" s="28" r="AK221">
        <f>K221/$X221</f>
        <v>#DIV/0!:divZero</v>
      </c>
      <c s="30" r="AL221">
        <v>1</v>
      </c>
    </row>
    <row r="222">
      <c s="30" r="A222">
        <v>221</v>
      </c>
      <c t="s" s="30" r="B222">
        <v>38</v>
      </c>
      <c s="62" r="C222">
        <v>41578</v>
      </c>
      <c s="52" r="D222">
        <v>0.9375</v>
      </c>
      <c s="55" r="E222">
        <v>507</v>
      </c>
      <c s="55" r="F222"/>
      <c t="s" s="55" r="G222">
        <v>39</v>
      </c>
      <c t="s" s="55" r="H222">
        <v>39</v>
      </c>
      <c t="s" s="55" r="I222">
        <v>39</v>
      </c>
      <c t="s" s="55" r="J222">
        <v>39</v>
      </c>
      <c t="s" s="55" r="K222">
        <v>39</v>
      </c>
      <c s="80" r="L222">
        <v>79.53</v>
      </c>
      <c s="79" r="M222">
        <v>335.64</v>
      </c>
      <c s="79" r="N222">
        <v>178.24</v>
      </c>
      <c s="32" r="O222">
        <f>SUMIF(Sellables!$A$2:$A$11482, $A222, Sellables!$G$2:$G$11482)</f>
        <v>4.0052</v>
      </c>
      <c s="32" r="P222">
        <f>SUMIF(Skills!$A$2:$A$9999, A222, Skills!$F$2:$F$9999)</f>
        <v>0</v>
      </c>
      <c s="14" r="Q222">
        <f>(N222+O222)+P222</f>
        <v>182.2452</v>
      </c>
      <c s="14" r="R222">
        <f>(E222+L222)-M222</f>
        <v>250.89</v>
      </c>
      <c s="70" r="S222">
        <f>Q222-R222</f>
        <v>-68.6448</v>
      </c>
      <c s="29" r="T222">
        <f> (Q222/R222) - 1</f>
        <v>-0.273605165610427</v>
      </c>
      <c s="70" r="U222">
        <f>R222/X222</f>
        <v>5.8346511627907</v>
      </c>
      <c s="70" r="V222">
        <f>Q222/X222</f>
        <v>4.23826046511628</v>
      </c>
      <c t="s" s="30" r="W222">
        <v>52</v>
      </c>
      <c s="30" r="X222">
        <v>43</v>
      </c>
      <c t="s" s="30" r="Y222">
        <v>53</v>
      </c>
      <c t="s" s="30" r="Z222">
        <v>54</v>
      </c>
      <c s="30" r="AA222">
        <v>0</v>
      </c>
      <c s="30" r="AB222">
        <v>0</v>
      </c>
      <c s="30" r="AC222">
        <v>1</v>
      </c>
      <c s="30" r="AD222">
        <v>0</v>
      </c>
      <c s="30" r="AE222"/>
      <c t="str" s="8" r="AF222">
        <f>(I222+J222)/R222</f>
        <v>#VALUE!:notNumber:NA</v>
      </c>
      <c t="str" s="28" r="AG222">
        <f>G222/$X222</f>
        <v>#VALUE!:notNumber:NA</v>
      </c>
      <c t="str" s="28" r="AH222">
        <f>H222/$X222</f>
        <v>#VALUE!:notNumber:NA</v>
      </c>
      <c t="str" s="28" r="AI222">
        <f>I222/$X222</f>
        <v>#VALUE!:notNumber:NA</v>
      </c>
      <c t="str" s="28" r="AJ222">
        <f>J222/$X222</f>
        <v>#VALUE!:notNumber:NA</v>
      </c>
      <c t="str" s="28" r="AK222">
        <f>K222/$X222</f>
        <v>#VALUE!:notNumber:NA</v>
      </c>
      <c s="30" r="AL222">
        <v>1</v>
      </c>
    </row>
    <row r="223">
      <c s="30" r="A223">
        <v>222</v>
      </c>
      <c t="s" s="30" r="B223">
        <v>55</v>
      </c>
      <c s="62" r="C223">
        <v>41578</v>
      </c>
      <c s="52" r="D223">
        <v>0.979166666666667</v>
      </c>
      <c s="55" r="E223">
        <f>190*0.91</f>
        <v>172.9</v>
      </c>
      <c s="55" r="F223"/>
      <c t="s" s="55" r="G223">
        <v>39</v>
      </c>
      <c t="s" s="55" r="H223">
        <v>39</v>
      </c>
      <c t="s" s="55" r="I223">
        <v>39</v>
      </c>
      <c t="s" s="55" r="J223">
        <v>39</v>
      </c>
      <c t="s" s="55" r="K223">
        <v>39</v>
      </c>
      <c s="80" r="L223">
        <v>0</v>
      </c>
      <c s="79" r="M223">
        <v>0</v>
      </c>
      <c s="79" r="N223">
        <f>130.48-62.80</f>
        <v>67.68</v>
      </c>
      <c s="32" r="O223">
        <f>SUMIF(Sellables!$A$2:$A$11482, $A223, Sellables!$G$2:$G$11482)</f>
        <v>66.882</v>
      </c>
      <c s="32" r="P223">
        <f>SUMIF(Skills!$A$2:$A$9999, A223, Skills!$F$2:$F$9999)</f>
        <v>0</v>
      </c>
      <c s="14" r="Q223">
        <f>(N223+O223)+P223</f>
        <v>134.562</v>
      </c>
      <c s="23" r="R223">
        <f>(E223+L223)-M223</f>
        <v>172.9</v>
      </c>
      <c s="70" r="S223">
        <f>Q223-R223</f>
        <v>-38.338</v>
      </c>
      <c s="29" r="T223">
        <f> (Q223/R223) - 1</f>
        <v>-0.221735106998265</v>
      </c>
      <c t="str" s="70" r="U223">
        <f>R223/X223</f>
        <v>#DIV/0!:divZero</v>
      </c>
      <c t="str" s="70" r="V223">
        <f>Q223/X223</f>
        <v>#DIV/0!:divZero</v>
      </c>
      <c t="s" s="30" r="W223">
        <v>139</v>
      </c>
      <c s="30" r="X223">
        <v>0</v>
      </c>
      <c t="s" s="30" r="Y223">
        <v>104</v>
      </c>
      <c t="s" s="30" r="Z223">
        <v>42</v>
      </c>
      <c s="30" r="AA223">
        <v>0</v>
      </c>
      <c s="30" r="AB223">
        <v>0</v>
      </c>
      <c s="30" r="AC223">
        <v>0</v>
      </c>
      <c s="30" r="AD223">
        <v>0</v>
      </c>
      <c s="30" r="AE223"/>
      <c t="str" s="8" r="AF223">
        <f>(I223+J223)/R223</f>
        <v>#VALUE!:notNumber:NA</v>
      </c>
      <c t="str" s="28" r="AG223">
        <f>G223/$X223</f>
        <v>#DIV/0!:divZero</v>
      </c>
      <c t="str" s="28" r="AH223">
        <f>H223/$X223</f>
        <v>#DIV/0!:divZero</v>
      </c>
      <c t="str" s="28" r="AI223">
        <f>I223/$X223</f>
        <v>#DIV/0!:divZero</v>
      </c>
      <c t="str" s="28" r="AJ223">
        <f>J223/$X223</f>
        <v>#DIV/0!:divZero</v>
      </c>
      <c t="str" s="28" r="AK223">
        <f>K223/$X223</f>
        <v>#DIV/0!:divZero</v>
      </c>
      <c s="30" r="AL223">
        <v>1</v>
      </c>
    </row>
    <row r="224">
      <c s="30" r="A224">
        <v>223</v>
      </c>
      <c t="s" s="30" r="B224">
        <v>55</v>
      </c>
      <c s="62" r="C224">
        <v>41579</v>
      </c>
      <c s="52" r="D224">
        <v>0.666666666666667</v>
      </c>
      <c s="55" r="E224">
        <f>104*0.21</f>
        <v>21.84</v>
      </c>
      <c s="55" r="F224"/>
      <c t="s" s="55" r="G224">
        <v>39</v>
      </c>
      <c t="s" s="55" r="H224">
        <v>39</v>
      </c>
      <c t="s" s="55" r="I224">
        <v>39</v>
      </c>
      <c t="s" s="55" r="J224">
        <v>39</v>
      </c>
      <c t="s" s="55" r="K224">
        <v>39</v>
      </c>
      <c s="80" r="L224">
        <v>0</v>
      </c>
      <c s="79" r="M224">
        <v>0</v>
      </c>
      <c s="79" r="N224">
        <f>(16.86-3.31)-4.60</f>
        <v>8.95</v>
      </c>
      <c s="32" r="O224">
        <f>SUMIF(Sellables!$A$2:$A$11482, $A224, Sellables!$G$2:$G$11482)</f>
        <v>8.6578</v>
      </c>
      <c s="32" r="P224">
        <f>SUMIF(Skills!$A$2:$A$9999, A224, Skills!$F$2:$F$9999)</f>
        <v>0</v>
      </c>
      <c s="14" r="Q224">
        <f>(N224+O224)+P224</f>
        <v>17.6078</v>
      </c>
      <c s="23" r="R224">
        <f>(E224+L224)-M224</f>
        <v>21.84</v>
      </c>
      <c s="70" r="S224">
        <f>Q224-R224</f>
        <v>-4.2322</v>
      </c>
      <c s="29" r="T224">
        <f> (Q224/R224) - 1</f>
        <v>-0.193782051282051</v>
      </c>
      <c t="str" s="70" r="U224">
        <f>R224/X224</f>
        <v>#DIV/0!:divZero</v>
      </c>
      <c t="str" s="70" r="V224">
        <f>Q224/X224</f>
        <v>#DIV/0!:divZero</v>
      </c>
      <c t="s" s="30" r="W224">
        <v>170</v>
      </c>
      <c s="30" r="X224">
        <v>0</v>
      </c>
      <c t="s" s="30" r="Y224">
        <v>200</v>
      </c>
      <c t="s" s="30" r="Z224">
        <v>42</v>
      </c>
      <c s="30" r="AA224">
        <v>0</v>
      </c>
      <c s="30" r="AB224">
        <v>0</v>
      </c>
      <c s="30" r="AC224">
        <v>0</v>
      </c>
      <c s="30" r="AD224">
        <v>0</v>
      </c>
      <c s="30" r="AE224"/>
      <c t="str" s="8" r="AF224">
        <f>(I224+J224)/R224</f>
        <v>#VALUE!:notNumber:NA</v>
      </c>
      <c t="str" s="28" r="AG224">
        <f>G224/$X224</f>
        <v>#DIV/0!:divZero</v>
      </c>
      <c t="str" s="28" r="AH224">
        <f>H224/$X224</f>
        <v>#DIV/0!:divZero</v>
      </c>
      <c t="str" s="28" r="AI224">
        <f>I224/$X224</f>
        <v>#DIV/0!:divZero</v>
      </c>
      <c t="str" s="28" r="AJ224">
        <f>J224/$X224</f>
        <v>#DIV/0!:divZero</v>
      </c>
      <c t="str" s="28" r="AK224">
        <f>K224/$X224</f>
        <v>#DIV/0!:divZero</v>
      </c>
      <c s="30" r="AL224">
        <v>1</v>
      </c>
    </row>
    <row r="225">
      <c s="30" r="A225">
        <v>224</v>
      </c>
      <c t="s" s="30" r="B225">
        <v>38</v>
      </c>
      <c s="62" r="C225">
        <v>41579</v>
      </c>
      <c s="52" r="D225">
        <v>0.763888888888889</v>
      </c>
      <c s="55" r="E225">
        <v>300</v>
      </c>
      <c s="55" r="F225"/>
      <c t="s" s="55" r="G225">
        <v>39</v>
      </c>
      <c t="s" s="55" r="H225">
        <v>39</v>
      </c>
      <c t="s" s="55" r="I225">
        <v>39</v>
      </c>
      <c t="s" s="55" r="J225">
        <v>39</v>
      </c>
      <c t="s" s="55" r="K225">
        <v>39</v>
      </c>
      <c s="80" r="L225">
        <v>34.77</v>
      </c>
      <c s="79" r="M225">
        <v>221.91</v>
      </c>
      <c s="79" r="N225">
        <v>120.08</v>
      </c>
      <c s="32" r="O225">
        <f>SUMIF(Sellables!$A$2:$A$11482, $A225, Sellables!$G$2:$G$11482)</f>
        <v>0</v>
      </c>
      <c s="32" r="P225">
        <f>SUMIF(Skills!$A$2:$A$9999, A225, Skills!$F$2:$F$9999)</f>
        <v>0</v>
      </c>
      <c s="14" r="Q225">
        <f>(N225+O225)+P225</f>
        <v>120.08</v>
      </c>
      <c s="14" r="R225">
        <f>(E225+L225)-M225</f>
        <v>112.86</v>
      </c>
      <c s="70" r="S225">
        <f>Q225-R225</f>
        <v>7.22000000000001</v>
      </c>
      <c s="29" r="T225">
        <f> (Q225/R225) - 1</f>
        <v>0.063973063973064</v>
      </c>
      <c s="70" r="U225">
        <f>R225/X225</f>
        <v>3.31941176470588</v>
      </c>
      <c s="70" r="V225">
        <f>Q225/X225</f>
        <v>3.53176470588235</v>
      </c>
      <c t="s" s="30" r="W225">
        <v>118</v>
      </c>
      <c s="30" r="X225">
        <v>34</v>
      </c>
      <c t="s" s="30" r="Y225">
        <v>206</v>
      </c>
      <c t="s" s="30" r="Z225">
        <v>42</v>
      </c>
      <c s="30" r="AA225">
        <v>0</v>
      </c>
      <c s="30" r="AB225">
        <v>0</v>
      </c>
      <c s="30" r="AC225">
        <v>0</v>
      </c>
      <c s="30" r="AD225">
        <v>0</v>
      </c>
      <c s="30" r="AE225"/>
      <c t="str" s="8" r="AF225">
        <f>(I225+J225)/R225</f>
        <v>#VALUE!:notNumber:NA</v>
      </c>
      <c t="str" s="28" r="AG225">
        <f>G225/$X225</f>
        <v>#VALUE!:notNumber:NA</v>
      </c>
      <c t="str" s="28" r="AH225">
        <f>H225/$X225</f>
        <v>#VALUE!:notNumber:NA</v>
      </c>
      <c t="str" s="28" r="AI225">
        <f>I225/$X225</f>
        <v>#VALUE!:notNumber:NA</v>
      </c>
      <c t="str" s="28" r="AJ225">
        <f>J225/$X225</f>
        <v>#VALUE!:notNumber:NA</v>
      </c>
      <c t="str" s="28" r="AK225">
        <f>K225/$X225</f>
        <v>#VALUE!:notNumber:NA</v>
      </c>
      <c s="30" r="AL225">
        <v>1</v>
      </c>
    </row>
    <row r="226">
      <c s="30" r="A226">
        <v>225</v>
      </c>
      <c t="s" s="30" r="B226">
        <v>38</v>
      </c>
      <c s="62" r="C226">
        <v>41579</v>
      </c>
      <c s="52" r="D226">
        <v>0.791666666666667</v>
      </c>
      <c s="55" r="E226">
        <v>1050</v>
      </c>
      <c s="55" r="F226"/>
      <c t="s" s="55" r="G226">
        <v>39</v>
      </c>
      <c t="s" s="55" r="H226">
        <v>39</v>
      </c>
      <c t="s" s="55" r="I226">
        <v>39</v>
      </c>
      <c t="s" s="55" r="J226">
        <v>39</v>
      </c>
      <c t="s" s="55" r="K226">
        <v>39</v>
      </c>
      <c s="80" r="L226">
        <v>170.63</v>
      </c>
      <c s="79" r="M226">
        <f>510.2+211.85</f>
        <v>722.05</v>
      </c>
      <c s="79" r="N226">
        <v>776.44</v>
      </c>
      <c s="32" r="O226">
        <f>SUMIF(Sellables!$A$2:$A$11482, $A226, Sellables!$G$2:$G$11482)</f>
        <v>0</v>
      </c>
      <c s="32" r="P226">
        <f>SUMIF(Skills!$A$2:$A$9999, A226, Skills!$F$2:$F$9999)</f>
        <v>0</v>
      </c>
      <c s="14" r="Q226">
        <f>(N226+O226)+P226</f>
        <v>776.44</v>
      </c>
      <c s="14" r="R226">
        <f>(E226+L226)-M226</f>
        <v>498.58</v>
      </c>
      <c s="70" r="S226">
        <f>Q226-R226</f>
        <v>277.86</v>
      </c>
      <c s="29" r="T226">
        <f> (Q226/R226) - 1</f>
        <v>0.557302739780978</v>
      </c>
      <c s="70" r="U226">
        <f>R226/X226</f>
        <v>4.33547826086957</v>
      </c>
      <c s="70" r="V226">
        <f>Q226/X226</f>
        <v>6.75165217391304</v>
      </c>
      <c t="s" s="30" r="W226">
        <v>118</v>
      </c>
      <c s="30" r="X226">
        <v>115</v>
      </c>
      <c t="s" s="30" r="Y226">
        <v>195</v>
      </c>
      <c t="s" s="30" r="Z226">
        <v>42</v>
      </c>
      <c s="30" r="AA226">
        <v>0</v>
      </c>
      <c s="30" r="AB226">
        <v>0</v>
      </c>
      <c s="30" r="AC226">
        <v>5</v>
      </c>
      <c s="30" r="AD226">
        <v>0</v>
      </c>
      <c s="30" r="AE226"/>
      <c t="str" s="8" r="AF226">
        <f>(I226+J226)/R226</f>
        <v>#VALUE!:notNumber:NA</v>
      </c>
      <c t="str" s="28" r="AG226">
        <f>G226/$X226</f>
        <v>#VALUE!:notNumber:NA</v>
      </c>
      <c t="str" s="28" r="AH226">
        <f>H226/$X226</f>
        <v>#VALUE!:notNumber:NA</v>
      </c>
      <c t="str" s="28" r="AI226">
        <f>I226/$X226</f>
        <v>#VALUE!:notNumber:NA</v>
      </c>
      <c t="str" s="28" r="AJ226">
        <f>J226/$X226</f>
        <v>#VALUE!:notNumber:NA</v>
      </c>
      <c t="str" s="28" r="AK226">
        <f>K226/$X226</f>
        <v>#VALUE!:notNumber:NA</v>
      </c>
      <c s="30" r="AL226">
        <v>1</v>
      </c>
    </row>
    <row r="227">
      <c s="30" r="A227">
        <v>226</v>
      </c>
      <c t="s" s="30" r="B227">
        <v>38</v>
      </c>
      <c s="62" r="C227">
        <v>41579</v>
      </c>
      <c s="52" r="D227">
        <v>0.864583333333333</v>
      </c>
      <c s="55" r="E227">
        <v>300</v>
      </c>
      <c s="55" r="F227"/>
      <c t="s" s="55" r="G227">
        <v>39</v>
      </c>
      <c t="s" s="55" r="H227">
        <v>39</v>
      </c>
      <c t="s" s="55" r="I227">
        <v>39</v>
      </c>
      <c t="s" s="55" r="J227">
        <v>39</v>
      </c>
      <c t="s" s="55" r="K227">
        <v>39</v>
      </c>
      <c s="80" r="L227">
        <v>20.07</v>
      </c>
      <c s="79" r="M227">
        <v>238.71</v>
      </c>
      <c s="79" r="N227">
        <v>34.01</v>
      </c>
      <c s="32" r="O227">
        <f>SUMIF(Sellables!$A$2:$A$11482, $A227, Sellables!$G$2:$G$11482)</f>
        <v>0</v>
      </c>
      <c s="32" r="P227">
        <f>SUMIF(Skills!$A$2:$A$9999, A227, Skills!$F$2:$F$9999)</f>
        <v>0</v>
      </c>
      <c s="14" r="Q227">
        <f>(N227+O227)+P227</f>
        <v>34.01</v>
      </c>
      <c s="14" r="R227">
        <f>(E227+L227)-M227</f>
        <v>81.36</v>
      </c>
      <c s="70" r="S227">
        <f>Q227-R227</f>
        <v>-47.35</v>
      </c>
      <c s="29" r="T227">
        <f> (Q227/R227) - 1</f>
        <v>-0.581981317600787</v>
      </c>
      <c s="70" r="U227">
        <f>R227/X227</f>
        <v>4.068</v>
      </c>
      <c s="70" r="V227">
        <f>Q227/X227</f>
        <v>1.7005</v>
      </c>
      <c t="s" s="30" r="W227">
        <v>100</v>
      </c>
      <c s="30" r="X227">
        <v>20</v>
      </c>
      <c t="s" s="30" r="Y227">
        <v>101</v>
      </c>
      <c t="s" s="30" r="Z227">
        <v>42</v>
      </c>
      <c s="30" r="AA227">
        <v>0</v>
      </c>
      <c s="30" r="AB227">
        <v>0</v>
      </c>
      <c s="30" r="AC227">
        <v>0</v>
      </c>
      <c s="30" r="AD227">
        <v>0</v>
      </c>
      <c s="30" r="AE227"/>
      <c t="str" s="8" r="AF227">
        <f>(I227+J227)/R227</f>
        <v>#VALUE!:notNumber:NA</v>
      </c>
      <c t="str" s="28" r="AG227">
        <f>G227/$X227</f>
        <v>#VALUE!:notNumber:NA</v>
      </c>
      <c t="str" s="28" r="AH227">
        <f>H227/$X227</f>
        <v>#VALUE!:notNumber:NA</v>
      </c>
      <c t="str" s="28" r="AI227">
        <f>I227/$X227</f>
        <v>#VALUE!:notNumber:NA</v>
      </c>
      <c t="str" s="28" r="AJ227">
        <f>J227/$X227</f>
        <v>#VALUE!:notNumber:NA</v>
      </c>
      <c t="str" s="28" r="AK227">
        <f>K227/$X227</f>
        <v>#VALUE!:notNumber:NA</v>
      </c>
      <c s="30" r="AL227">
        <v>1</v>
      </c>
    </row>
    <row r="228">
      <c s="30" r="A228">
        <v>227</v>
      </c>
      <c t="s" s="30" r="B228">
        <v>38</v>
      </c>
      <c s="62" r="C228">
        <v>41579</v>
      </c>
      <c s="52" r="D228">
        <v>0.885416666666667</v>
      </c>
      <c s="55" r="E228">
        <v>300</v>
      </c>
      <c s="55" r="F228"/>
      <c t="s" s="55" r="G228">
        <v>39</v>
      </c>
      <c t="s" s="55" r="H228">
        <v>39</v>
      </c>
      <c t="s" s="55" r="I228">
        <v>39</v>
      </c>
      <c t="s" s="55" r="J228">
        <v>39</v>
      </c>
      <c t="s" s="55" r="K228">
        <v>39</v>
      </c>
      <c s="80" r="L228">
        <v>30.33</v>
      </c>
      <c s="79" r="M228">
        <v>215.66</v>
      </c>
      <c s="79" r="N228">
        <v>59.26</v>
      </c>
      <c s="32" r="O228">
        <f>SUMIF(Sellables!$A$2:$A$11482, $A228, Sellables!$G$2:$G$11482)</f>
        <v>40.38684</v>
      </c>
      <c s="32" r="P228">
        <f>SUMIF(Skills!$A$2:$A$9999, A228, Skills!$F$2:$F$9999)</f>
        <v>16.296</v>
      </c>
      <c s="14" r="Q228">
        <f>(N228+O228)+P228</f>
        <v>115.94284</v>
      </c>
      <c s="14" r="R228">
        <f>(E228+L228)-M228</f>
        <v>114.67</v>
      </c>
      <c s="70" r="S228">
        <f>Q228-R228</f>
        <v>1.27284</v>
      </c>
      <c s="29" r="T228">
        <f> (Q228/R228) - 1</f>
        <v>0.01110002616203</v>
      </c>
      <c t="str" s="70" r="U228">
        <f>R228/X228</f>
        <v>#DIV/0!:divZero</v>
      </c>
      <c t="str" s="70" r="V228">
        <f>Q228/X228</f>
        <v>#DIV/0!:divZero</v>
      </c>
      <c t="s" s="30" r="W228">
        <v>99</v>
      </c>
      <c s="30" r="X228">
        <v>0</v>
      </c>
      <c t="s" s="30" r="Y228">
        <v>41</v>
      </c>
      <c t="s" s="30" r="Z228">
        <v>42</v>
      </c>
      <c s="30" r="AA228">
        <v>0</v>
      </c>
      <c s="30" r="AB228">
        <v>0</v>
      </c>
      <c s="30" r="AC228">
        <v>0</v>
      </c>
      <c s="30" r="AD228">
        <v>0</v>
      </c>
      <c s="30" r="AE228"/>
      <c t="str" s="8" r="AF228">
        <f>(I228+J228)/R228</f>
        <v>#VALUE!:notNumber:NA</v>
      </c>
      <c t="str" s="28" r="AG228">
        <f>G228/$X228</f>
        <v>#DIV/0!:divZero</v>
      </c>
      <c t="str" s="28" r="AH228">
        <f>H228/$X228</f>
        <v>#DIV/0!:divZero</v>
      </c>
      <c t="str" s="28" r="AI228">
        <f>I228/$X228</f>
        <v>#DIV/0!:divZero</v>
      </c>
      <c t="str" s="28" r="AJ228">
        <f>J228/$X228</f>
        <v>#DIV/0!:divZero</v>
      </c>
      <c t="str" s="28" r="AK228">
        <f>K228/$X228</f>
        <v>#DIV/0!:divZero</v>
      </c>
      <c s="30" r="AL228">
        <v>1</v>
      </c>
    </row>
    <row r="229">
      <c s="30" r="A229">
        <v>228</v>
      </c>
      <c t="s" s="30" r="B229">
        <v>38</v>
      </c>
      <c s="62" r="C229">
        <v>41579</v>
      </c>
      <c s="52" r="D229">
        <v>0.913194444444444</v>
      </c>
      <c s="55" r="E229">
        <v>307</v>
      </c>
      <c s="55" r="F229"/>
      <c t="s" s="55" r="G229">
        <v>39</v>
      </c>
      <c t="s" s="55" r="H229">
        <v>39</v>
      </c>
      <c t="s" s="55" r="I229">
        <v>39</v>
      </c>
      <c t="s" s="55" r="J229">
        <v>39</v>
      </c>
      <c t="s" s="55" r="K229">
        <v>39</v>
      </c>
      <c s="80" r="L229">
        <v>58.81</v>
      </c>
      <c s="79" r="M229">
        <v>192.63</v>
      </c>
      <c s="79" r="N229">
        <v>208.08</v>
      </c>
      <c s="32" r="O229">
        <f>SUMIF(Sellables!$A$2:$A$11482, $A229, Sellables!$G$2:$G$11482)</f>
        <v>2.584</v>
      </c>
      <c s="32" r="P229">
        <f>SUMIF(Skills!$A$2:$A$9999, A229, Skills!$F$2:$F$9999)</f>
        <v>0</v>
      </c>
      <c s="14" r="Q229">
        <f>(N229+O229)+P229</f>
        <v>210.664</v>
      </c>
      <c s="14" r="R229">
        <f>(E229+L229)-M229</f>
        <v>173.18</v>
      </c>
      <c s="70" r="S229">
        <f>Q229-R229</f>
        <v>37.484</v>
      </c>
      <c s="29" r="T229">
        <f> (Q229/R229) - 1</f>
        <v>0.216445317011202</v>
      </c>
      <c s="70" r="U229">
        <f>R229/X229</f>
        <v>6.185</v>
      </c>
      <c s="70" r="V229">
        <f>Q229/X229</f>
        <v>7.52371428571429</v>
      </c>
      <c t="s" s="30" r="W229">
        <v>52</v>
      </c>
      <c s="30" r="X229">
        <v>28</v>
      </c>
      <c t="s" s="30" r="Y229">
        <v>53</v>
      </c>
      <c t="s" s="30" r="Z229">
        <v>54</v>
      </c>
      <c s="30" r="AA229">
        <v>0</v>
      </c>
      <c s="30" r="AB229">
        <v>0</v>
      </c>
      <c s="30" r="AC229">
        <v>1</v>
      </c>
      <c s="30" r="AD229">
        <v>0</v>
      </c>
      <c s="30" r="AE229"/>
      <c t="str" s="8" r="AF229">
        <f>(I229+J229)/R229</f>
        <v>#VALUE!:notNumber:NA</v>
      </c>
      <c t="str" s="28" r="AG229">
        <f>G229/$X229</f>
        <v>#VALUE!:notNumber:NA</v>
      </c>
      <c t="str" s="28" r="AH229">
        <f>H229/$X229</f>
        <v>#VALUE!:notNumber:NA</v>
      </c>
      <c t="str" s="28" r="AI229">
        <f>I229/$X229</f>
        <v>#VALUE!:notNumber:NA</v>
      </c>
      <c t="str" s="28" r="AJ229">
        <f>J229/$X229</f>
        <v>#VALUE!:notNumber:NA</v>
      </c>
      <c t="str" s="28" r="AK229">
        <f>K229/$X229</f>
        <v>#VALUE!:notNumber:NA</v>
      </c>
      <c s="30" r="AL229">
        <v>1</v>
      </c>
    </row>
    <row r="230">
      <c s="30" r="A230">
        <v>229</v>
      </c>
      <c t="s" s="30" r="B230">
        <v>38</v>
      </c>
      <c s="62" r="C230">
        <v>41579</v>
      </c>
      <c s="52" r="D230">
        <v>0.958333333333333</v>
      </c>
      <c s="55" r="E230">
        <v>300</v>
      </c>
      <c s="55" r="F230"/>
      <c t="s" s="55" r="G230">
        <v>39</v>
      </c>
      <c t="s" s="55" r="H230">
        <v>39</v>
      </c>
      <c t="s" s="55" r="I230">
        <v>39</v>
      </c>
      <c t="s" s="55" r="J230">
        <v>39</v>
      </c>
      <c t="s" s="55" r="K230">
        <v>39</v>
      </c>
      <c s="80" r="L230">
        <v>37.21</v>
      </c>
      <c s="79" r="M230">
        <v>202.88</v>
      </c>
      <c s="79" r="N230">
        <v>69.62</v>
      </c>
      <c s="32" r="O230">
        <f>SUMIF(Sellables!$A$2:$A$11482, $A230, Sellables!$G$2:$G$11482)</f>
        <v>0</v>
      </c>
      <c s="32" r="P230">
        <f>SUMIF(Skills!$A$2:$A$9999, A230, Skills!$F$2:$F$9999)</f>
        <v>0</v>
      </c>
      <c s="14" r="Q230">
        <f>(N230+O230)+P230</f>
        <v>69.62</v>
      </c>
      <c s="14" r="R230">
        <f>(E230+L230)-M230</f>
        <v>134.33</v>
      </c>
      <c s="70" r="S230">
        <f>Q230-R230</f>
        <v>-64.71</v>
      </c>
      <c s="29" r="T230">
        <f> (Q230/R230) - 1</f>
        <v>-0.48172411226085</v>
      </c>
      <c s="70" r="U230">
        <f>R230/X230</f>
        <v>3.838</v>
      </c>
      <c s="70" r="V230">
        <f>Q230/X230</f>
        <v>1.98914285714286</v>
      </c>
      <c t="s" s="30" r="W230">
        <v>118</v>
      </c>
      <c s="30" r="X230">
        <v>35</v>
      </c>
      <c t="s" s="30" r="Y230">
        <v>209</v>
      </c>
      <c t="s" s="30" r="Z230">
        <v>42</v>
      </c>
      <c s="30" r="AA230">
        <v>0</v>
      </c>
      <c s="30" r="AB230">
        <v>0</v>
      </c>
      <c s="30" r="AC230">
        <v>0</v>
      </c>
      <c s="30" r="AD230">
        <v>0</v>
      </c>
      <c s="30" r="AE230"/>
      <c t="str" s="8" r="AF230">
        <f>(I230+J230)/R230</f>
        <v>#VALUE!:notNumber:NA</v>
      </c>
      <c t="str" s="28" r="AG230">
        <f>G230/$X230</f>
        <v>#VALUE!:notNumber:NA</v>
      </c>
      <c t="str" s="28" r="AH230">
        <f>H230/$X230</f>
        <v>#VALUE!:notNumber:NA</v>
      </c>
      <c t="str" s="28" r="AI230">
        <f>I230/$X230</f>
        <v>#VALUE!:notNumber:NA</v>
      </c>
      <c t="str" s="28" r="AJ230">
        <f>J230/$X230</f>
        <v>#VALUE!:notNumber:NA</v>
      </c>
      <c t="str" s="28" r="AK230">
        <f>K230/$X230</f>
        <v>#VALUE!:notNumber:NA</v>
      </c>
      <c s="30" r="AL230">
        <v>1</v>
      </c>
    </row>
    <row r="231">
      <c s="30" r="A231">
        <v>230</v>
      </c>
      <c t="s" s="30" r="B231">
        <v>38</v>
      </c>
      <c s="62" r="C231">
        <v>41580</v>
      </c>
      <c s="52" r="D231">
        <v>0.0125</v>
      </c>
      <c s="55" r="E231">
        <v>300</v>
      </c>
      <c s="55" r="F231"/>
      <c t="s" s="55" r="G231">
        <v>39</v>
      </c>
      <c t="s" s="55" r="H231">
        <v>39</v>
      </c>
      <c t="s" s="55" r="I231">
        <v>39</v>
      </c>
      <c t="s" s="55" r="J231">
        <v>39</v>
      </c>
      <c t="s" s="55" r="K231">
        <v>39</v>
      </c>
      <c s="80" r="L231">
        <v>38.7</v>
      </c>
      <c s="79" r="M231">
        <v>205.49</v>
      </c>
      <c s="79" r="N231">
        <v>115.65</v>
      </c>
      <c s="32" r="O231">
        <f>SUMIF(Sellables!$A$2:$A$11482, $A231, Sellables!$G$2:$G$11482)</f>
        <v>0</v>
      </c>
      <c s="32" r="P231">
        <f>SUMIF(Skills!$A$2:$A$9999, A231, Skills!$F$2:$F$9999)</f>
        <v>0</v>
      </c>
      <c s="14" r="Q231">
        <f>(N231+O231)+P231</f>
        <v>115.65</v>
      </c>
      <c s="14" r="R231">
        <f>(E231+L231)-M231</f>
        <v>133.21</v>
      </c>
      <c s="70" r="S231">
        <f>Q231-R231</f>
        <v>-17.56</v>
      </c>
      <c s="29" r="T231">
        <f> (Q231/R231) - 1</f>
        <v>-0.131821935290143</v>
      </c>
      <c s="70" r="U231">
        <f>R231/X231</f>
        <v>5.79173913043478</v>
      </c>
      <c s="70" r="V231">
        <f>Q231/X231</f>
        <v>5.02826086956522</v>
      </c>
      <c t="s" s="30" r="W231">
        <v>159</v>
      </c>
      <c s="30" r="X231">
        <v>23</v>
      </c>
      <c t="s" s="30" r="Y231">
        <v>67</v>
      </c>
      <c t="s" s="30" r="Z231">
        <v>65</v>
      </c>
      <c s="30" r="AA231">
        <v>0</v>
      </c>
      <c s="30" r="AB231">
        <v>0</v>
      </c>
      <c s="30" r="AC231">
        <v>1</v>
      </c>
      <c s="30" r="AD231">
        <v>0</v>
      </c>
      <c s="30" r="AE231"/>
      <c t="str" s="8" r="AF231">
        <f>(I231+J231)/R231</f>
        <v>#VALUE!:notNumber:NA</v>
      </c>
      <c t="str" s="28" r="AG231">
        <f>G231/$X231</f>
        <v>#VALUE!:notNumber:NA</v>
      </c>
      <c t="str" s="28" r="AH231">
        <f>H231/$X231</f>
        <v>#VALUE!:notNumber:NA</v>
      </c>
      <c t="str" s="28" r="AI231">
        <f>I231/$X231</f>
        <v>#VALUE!:notNumber:NA</v>
      </c>
      <c t="str" s="28" r="AJ231">
        <f>J231/$X231</f>
        <v>#VALUE!:notNumber:NA</v>
      </c>
      <c t="str" s="28" r="AK231">
        <f>K231/$X231</f>
        <v>#VALUE!:notNumber:NA</v>
      </c>
      <c s="30" r="AL231">
        <v>1</v>
      </c>
    </row>
    <row r="232">
      <c s="30" r="A232">
        <v>231</v>
      </c>
      <c t="s" s="30" r="B232">
        <v>55</v>
      </c>
      <c s="62" r="C232">
        <v>41580</v>
      </c>
      <c s="52" r="D232">
        <v>0.541666666666667</v>
      </c>
      <c s="55" r="E232">
        <f>470*0.31</f>
        <v>145.7</v>
      </c>
      <c s="55" r="F232"/>
      <c t="s" s="55" r="G232">
        <v>39</v>
      </c>
      <c t="s" s="55" r="H232">
        <v>39</v>
      </c>
      <c t="s" s="55" r="I232">
        <v>39</v>
      </c>
      <c t="s" s="55" r="J232">
        <v>39</v>
      </c>
      <c t="s" s="55" r="K232">
        <v>39</v>
      </c>
      <c s="80" r="L232">
        <v>0</v>
      </c>
      <c s="79" r="M232">
        <v>0</v>
      </c>
      <c s="79" r="N232">
        <f>((24.68-6.51)+106.14)-51.91</f>
        <v>72.4</v>
      </c>
      <c s="32" r="O232">
        <f>SUMIF(Sellables!$A$2:$A$11482, $A232, Sellables!$G$2:$G$11482)</f>
        <v>63.0936</v>
      </c>
      <c s="32" r="P232">
        <f>SUMIF(Skills!$A$2:$A$9999, A232, Skills!$F$2:$F$9999)</f>
        <v>0</v>
      </c>
      <c s="14" r="Q232">
        <f>(N232+O232)+P232</f>
        <v>135.4936</v>
      </c>
      <c s="14" r="R232">
        <f>(E232+L232)-M232</f>
        <v>145.7</v>
      </c>
      <c s="70" r="S232">
        <f>Q232-R232</f>
        <v>-10.2064</v>
      </c>
      <c s="29" r="T232">
        <f> (Q232/R232) - 1</f>
        <v>-0.070050789293068</v>
      </c>
      <c t="str" s="70" r="U232">
        <f>R232/X232</f>
        <v>#DIV/0!:divZero</v>
      </c>
      <c t="str" s="70" r="V232">
        <f>Q232/X232</f>
        <v>#DIV/0!:divZero</v>
      </c>
      <c t="s" s="30" r="W232">
        <v>210</v>
      </c>
      <c s="30" r="X232">
        <v>0</v>
      </c>
      <c t="s" s="30" r="Y232">
        <v>67</v>
      </c>
      <c t="s" s="30" r="Z232">
        <v>65</v>
      </c>
      <c s="30" r="AA232">
        <v>0</v>
      </c>
      <c s="30" r="AB232">
        <v>0</v>
      </c>
      <c s="30" r="AC232">
        <v>0</v>
      </c>
      <c s="30" r="AD232">
        <v>0</v>
      </c>
      <c s="30" r="AE232"/>
      <c t="str" s="8" r="AF232">
        <f>(I232+J232)/R232</f>
        <v>#VALUE!:notNumber:NA</v>
      </c>
      <c t="str" s="28" r="AG232">
        <f>G232/$X232</f>
        <v>#DIV/0!:divZero</v>
      </c>
      <c t="str" s="28" r="AH232">
        <f>H232/$X232</f>
        <v>#DIV/0!:divZero</v>
      </c>
      <c t="str" s="28" r="AI232">
        <f>I232/$X232</f>
        <v>#DIV/0!:divZero</v>
      </c>
      <c t="str" s="28" r="AJ232">
        <f>J232/$X232</f>
        <v>#DIV/0!:divZero</v>
      </c>
      <c t="str" s="28" r="AK232">
        <f>K232/$X232</f>
        <v>#DIV/0!:divZero</v>
      </c>
      <c s="30" r="AL232">
        <v>1</v>
      </c>
    </row>
    <row r="233">
      <c s="30" r="A233">
        <v>232</v>
      </c>
      <c t="s" s="30" r="B233">
        <v>55</v>
      </c>
      <c s="62" r="C233">
        <v>41580</v>
      </c>
      <c s="52" r="D233">
        <v>0.5625</v>
      </c>
      <c s="55" r="E233">
        <f>133*0.21</f>
        <v>27.93</v>
      </c>
      <c s="55" r="F233"/>
      <c t="s" s="55" r="G233">
        <v>39</v>
      </c>
      <c t="s" s="55" r="H233">
        <v>39</v>
      </c>
      <c t="s" s="55" r="I233">
        <v>39</v>
      </c>
      <c t="s" s="55" r="J233">
        <v>39</v>
      </c>
      <c t="s" s="55" r="K233">
        <v>39</v>
      </c>
      <c s="80" r="L233">
        <v>0</v>
      </c>
      <c s="79" r="M233">
        <v>0</v>
      </c>
      <c s="79" r="N233">
        <f>9.28-2.43</f>
        <v>6.85</v>
      </c>
      <c s="32" r="O233">
        <f>SUMIF(Sellables!$A$2:$A$11482, $A233, Sellables!$G$2:$G$11482)</f>
        <v>2.6244</v>
      </c>
      <c s="32" r="P233">
        <f>SUMIF(Skills!$A$2:$A$9999, A233, Skills!$F$2:$F$9999)</f>
        <v>0</v>
      </c>
      <c s="14" r="Q233">
        <f>(N233+O233)+P233</f>
        <v>9.4744</v>
      </c>
      <c s="14" r="R233">
        <f>(E233+L233)-M233</f>
        <v>27.93</v>
      </c>
      <c s="70" r="S233">
        <f>Q233-R233</f>
        <v>-18.4556</v>
      </c>
      <c s="29" r="T233">
        <f> (Q233/R233) - 1</f>
        <v>-0.66078052273541</v>
      </c>
      <c t="str" s="70" r="U233">
        <f>R233/X233</f>
        <v>#DIV/0!:divZero</v>
      </c>
      <c t="str" s="70" r="V233">
        <f>Q233/X233</f>
        <v>#DIV/0!:divZero</v>
      </c>
      <c t="s" s="30" r="W233">
        <v>91</v>
      </c>
      <c s="30" r="X233">
        <v>0</v>
      </c>
      <c t="s" s="30" r="Y233">
        <v>67</v>
      </c>
      <c t="s" s="30" r="Z233">
        <v>65</v>
      </c>
      <c s="30" r="AA233">
        <v>0</v>
      </c>
      <c s="30" r="AB233">
        <v>0</v>
      </c>
      <c s="30" r="AC233">
        <v>0</v>
      </c>
      <c s="30" r="AD233">
        <v>0</v>
      </c>
      <c s="30" r="AE233"/>
      <c t="str" s="8" r="AF233">
        <f>(I233+J233)/R233</f>
        <v>#VALUE!:notNumber:NA</v>
      </c>
      <c t="str" s="28" r="AG233">
        <f>G233/$X233</f>
        <v>#DIV/0!:divZero</v>
      </c>
      <c t="str" s="28" r="AH233">
        <f>H233/$X233</f>
        <v>#DIV/0!:divZero</v>
      </c>
      <c t="str" s="28" r="AI233">
        <f>I233/$X233</f>
        <v>#DIV/0!:divZero</v>
      </c>
      <c t="str" s="28" r="AJ233">
        <f>J233/$X233</f>
        <v>#DIV/0!:divZero</v>
      </c>
      <c t="str" s="28" r="AK233">
        <f>K233/$X233</f>
        <v>#DIV/0!:divZero</v>
      </c>
      <c s="30" r="AL233">
        <v>1</v>
      </c>
    </row>
    <row r="234">
      <c s="30" r="A234">
        <v>233</v>
      </c>
      <c t="s" s="30" r="B234">
        <v>38</v>
      </c>
      <c s="62" r="C234">
        <v>41580</v>
      </c>
      <c s="52" r="D234">
        <v>0.625</v>
      </c>
      <c s="55" r="E234">
        <v>300</v>
      </c>
      <c s="55" r="F234"/>
      <c t="s" s="55" r="G234">
        <v>39</v>
      </c>
      <c t="s" s="55" r="H234">
        <v>39</v>
      </c>
      <c t="s" s="55" r="I234">
        <v>39</v>
      </c>
      <c t="s" s="55" r="J234">
        <v>39</v>
      </c>
      <c t="s" s="55" r="K234">
        <v>39</v>
      </c>
      <c s="80" r="L234">
        <v>75.78</v>
      </c>
      <c s="79" r="M234">
        <v>114.21</v>
      </c>
      <c s="79" r="N234">
        <f>294.28-122.15</f>
        <v>172.13</v>
      </c>
      <c s="32" r="O234">
        <f>SUMIF(Sellables!$A$2:$A$11482, $A234, Sellables!$G$2:$G$11482)</f>
        <v>128.86825</v>
      </c>
      <c s="32" r="P234">
        <f>SUMIF(Skills!$A$2:$A$9999, A234, Skills!$F$2:$F$9999)</f>
        <v>0</v>
      </c>
      <c s="14" r="Q234">
        <f>(N234+O234)+P234</f>
        <v>300.99825</v>
      </c>
      <c s="14" r="R234">
        <f>(E234+L234)-M234</f>
        <v>261.57</v>
      </c>
      <c s="70" r="S234">
        <f>Q234-R234</f>
        <v>39.42825</v>
      </c>
      <c s="29" r="T234">
        <f> (Q234/R234) - 1</f>
        <v>0.150736896433077</v>
      </c>
      <c s="70" r="U234">
        <f>R234/X234</f>
        <v>5.56531914893617</v>
      </c>
      <c s="70" r="V234">
        <f>Q234/X234</f>
        <v>6.40421808510638</v>
      </c>
      <c t="s" s="30" r="W234">
        <v>161</v>
      </c>
      <c s="30" r="X234">
        <v>47</v>
      </c>
      <c t="s" s="30" r="Y234">
        <v>211</v>
      </c>
      <c t="s" s="30" r="Z234">
        <v>65</v>
      </c>
      <c s="30" r="AA234">
        <v>0</v>
      </c>
      <c s="30" r="AB234">
        <v>0</v>
      </c>
      <c s="30" r="AC234">
        <v>1</v>
      </c>
      <c s="30" r="AD234">
        <v>0</v>
      </c>
      <c s="30" r="AE234"/>
      <c t="str" s="8" r="AF234">
        <f>(I234+J234)/R234</f>
        <v>#VALUE!:notNumber:NA</v>
      </c>
      <c t="str" s="28" r="AG234">
        <f>G234/$X234</f>
        <v>#VALUE!:notNumber:NA</v>
      </c>
      <c t="str" s="28" r="AH234">
        <f>H234/$X234</f>
        <v>#VALUE!:notNumber:NA</v>
      </c>
      <c t="str" s="28" r="AI234">
        <f>I234/$X234</f>
        <v>#VALUE!:notNumber:NA</v>
      </c>
      <c t="str" s="28" r="AJ234">
        <f>J234/$X234</f>
        <v>#VALUE!:notNumber:NA</v>
      </c>
      <c t="str" s="28" r="AK234">
        <f>K234/$X234</f>
        <v>#VALUE!:notNumber:NA</v>
      </c>
      <c s="30" r="AL234">
        <v>1</v>
      </c>
    </row>
    <row r="235">
      <c s="30" r="A235">
        <v>234</v>
      </c>
      <c t="s" s="30" r="B235">
        <v>38</v>
      </c>
      <c s="62" r="C235">
        <v>41580</v>
      </c>
      <c s="52" r="D235">
        <v>0.739583333333333</v>
      </c>
      <c s="55" r="E235">
        <v>300</v>
      </c>
      <c s="55" r="F235"/>
      <c t="s" s="55" r="G235">
        <v>39</v>
      </c>
      <c t="s" s="55" r="H235">
        <v>39</v>
      </c>
      <c t="s" s="55" r="I235">
        <v>39</v>
      </c>
      <c t="s" s="55" r="J235">
        <v>39</v>
      </c>
      <c t="s" s="55" r="K235">
        <v>39</v>
      </c>
      <c s="80" r="L235">
        <v>24.36</v>
      </c>
      <c s="79" r="M235">
        <v>253.67</v>
      </c>
      <c s="79" r="N235">
        <v>51.3</v>
      </c>
      <c s="32" r="O235">
        <f>SUMIF(Sellables!$A$2:$A$11482, $A235, Sellables!$G$2:$G$11482)</f>
        <v>0</v>
      </c>
      <c s="32" r="P235">
        <f>SUMIF(Skills!$A$2:$A$9999, A235, Skills!$F$2:$F$9999)</f>
        <v>0</v>
      </c>
      <c s="14" r="Q235">
        <f>(N235+O235)+P235</f>
        <v>51.3</v>
      </c>
      <c s="14" r="R235">
        <f>(E235+L235)-M235</f>
        <v>70.69</v>
      </c>
      <c s="70" r="S235">
        <f>Q235-R235</f>
        <v>-19.39</v>
      </c>
      <c s="29" r="T235">
        <f> (Q235/R235) - 1</f>
        <v>-0.274296222945254</v>
      </c>
      <c t="str" s="70" r="U235">
        <f>R235/X235</f>
        <v>#DIV/0!:divZero</v>
      </c>
      <c t="str" s="70" r="V235">
        <f>Q235/X235</f>
        <v>#DIV/0!:divZero</v>
      </c>
      <c t="s" s="30" r="W235">
        <v>212</v>
      </c>
      <c s="30" r="X235">
        <v>0</v>
      </c>
      <c t="s" s="30" r="Y235">
        <v>61</v>
      </c>
      <c t="s" s="30" r="Z235">
        <v>61</v>
      </c>
      <c s="30" r="AA235">
        <v>0</v>
      </c>
      <c s="30" r="AB235">
        <v>0</v>
      </c>
      <c s="30" r="AC235">
        <v>1</v>
      </c>
      <c s="30" r="AD235">
        <v>0</v>
      </c>
      <c s="30" r="AE235"/>
      <c t="str" s="8" r="AF235">
        <f>(I235+J235)/R235</f>
        <v>#VALUE!:notNumber:NA</v>
      </c>
      <c t="str" s="28" r="AG235">
        <f>G235/$X235</f>
        <v>#DIV/0!:divZero</v>
      </c>
      <c t="str" s="28" r="AH235">
        <f>H235/$X235</f>
        <v>#DIV/0!:divZero</v>
      </c>
      <c t="str" s="28" r="AI235">
        <f>I235/$X235</f>
        <v>#DIV/0!:divZero</v>
      </c>
      <c t="str" s="28" r="AJ235">
        <f>J235/$X235</f>
        <v>#DIV/0!:divZero</v>
      </c>
      <c t="str" s="28" r="AK235">
        <f>K235/$X235</f>
        <v>#DIV/0!:divZero</v>
      </c>
      <c s="30" r="AL235">
        <v>1</v>
      </c>
    </row>
    <row r="236">
      <c s="30" r="A236">
        <v>235</v>
      </c>
      <c t="s" s="30" r="B236">
        <v>38</v>
      </c>
      <c s="62" r="C236">
        <v>41580</v>
      </c>
      <c s="52" r="D236">
        <v>0.854166666666667</v>
      </c>
      <c s="55" r="E236">
        <v>300</v>
      </c>
      <c s="55" r="F236"/>
      <c t="s" s="55" r="G236">
        <v>39</v>
      </c>
      <c t="s" s="55" r="H236">
        <v>39</v>
      </c>
      <c t="s" s="55" r="I236">
        <v>39</v>
      </c>
      <c t="s" s="55" r="J236">
        <v>39</v>
      </c>
      <c t="s" s="55" r="K236">
        <v>39</v>
      </c>
      <c s="80" r="L236">
        <v>22.71</v>
      </c>
      <c s="79" r="M236">
        <v>242.95</v>
      </c>
      <c s="79" r="N236">
        <v>33.4</v>
      </c>
      <c s="32" r="O236">
        <f>SUMIF(Sellables!$A$2:$A$11482, $A236, Sellables!$G$2:$G$11482)</f>
        <v>0</v>
      </c>
      <c s="32" r="P236">
        <f>SUMIF(Skills!$A$2:$A$9999, A236, Skills!$F$2:$F$9999)</f>
        <v>0</v>
      </c>
      <c s="14" r="Q236">
        <f>(N236+O236)+P236</f>
        <v>33.4</v>
      </c>
      <c s="14" r="R236">
        <f>(E236+L236)-M236</f>
        <v>79.76</v>
      </c>
      <c s="70" r="S236">
        <f>Q236-R236</f>
        <v>-46.36</v>
      </c>
      <c s="29" r="T236">
        <f> (Q236/R236) - 1</f>
        <v>-0.581243731193581</v>
      </c>
      <c t="str" s="70" r="U236">
        <f>R236/X236</f>
        <v>#DIV/0!:divZero</v>
      </c>
      <c t="str" s="70" r="V236">
        <f>Q236/X236</f>
        <v>#DIV/0!:divZero</v>
      </c>
      <c t="s" s="30" r="W236">
        <v>213</v>
      </c>
      <c s="30" r="X236">
        <v>0</v>
      </c>
      <c t="s" s="30" r="Y236">
        <v>214</v>
      </c>
      <c t="s" s="30" r="Z236">
        <v>42</v>
      </c>
      <c s="30" r="AA236">
        <v>0</v>
      </c>
      <c s="30" r="AB236">
        <v>0</v>
      </c>
      <c s="30" r="AC236">
        <v>0</v>
      </c>
      <c s="30" r="AD236">
        <v>0</v>
      </c>
      <c s="30" r="AE236"/>
      <c t="str" s="8" r="AF236">
        <f>(I236+J236)/R236</f>
        <v>#VALUE!:notNumber:NA</v>
      </c>
      <c t="str" s="28" r="AG236">
        <f>G236/$X236</f>
        <v>#DIV/0!:divZero</v>
      </c>
      <c t="str" s="28" r="AH236">
        <f>H236/$X236</f>
        <v>#DIV/0!:divZero</v>
      </c>
      <c t="str" s="28" r="AI236">
        <f>I236/$X236</f>
        <v>#DIV/0!:divZero</v>
      </c>
      <c t="str" s="28" r="AJ236">
        <f>J236/$X236</f>
        <v>#DIV/0!:divZero</v>
      </c>
      <c t="str" s="28" r="AK236">
        <f>K236/$X236</f>
        <v>#DIV/0!:divZero</v>
      </c>
      <c s="30" r="AL236">
        <v>1</v>
      </c>
    </row>
    <row r="237">
      <c s="30" r="A237">
        <v>236</v>
      </c>
      <c t="s" s="30" r="B237">
        <v>38</v>
      </c>
      <c s="62" r="C237">
        <v>41580</v>
      </c>
      <c s="52" r="D237">
        <v>0.895833333333333</v>
      </c>
      <c s="55" r="E237">
        <v>300</v>
      </c>
      <c s="55" r="F237"/>
      <c t="s" s="55" r="G237">
        <v>39</v>
      </c>
      <c t="s" s="55" r="H237">
        <v>39</v>
      </c>
      <c t="s" s="55" r="I237">
        <v>39</v>
      </c>
      <c t="s" s="55" r="J237">
        <v>39</v>
      </c>
      <c t="s" s="55" r="K237">
        <v>39</v>
      </c>
      <c s="80" r="L237">
        <v>20.28</v>
      </c>
      <c s="79" r="M237">
        <v>253.62</v>
      </c>
      <c s="79" r="N237">
        <v>54.45</v>
      </c>
      <c s="32" r="O237">
        <f>SUMIF(Sellables!$A$2:$A$11482, $A237, Sellables!$G$2:$G$11482)</f>
        <v>0</v>
      </c>
      <c s="32" r="P237">
        <f>SUMIF(Skills!$A$2:$A$9999, A237, Skills!$F$2:$F$9999)</f>
        <v>0</v>
      </c>
      <c s="14" r="Q237">
        <f>(N237+O237)+P237</f>
        <v>54.45</v>
      </c>
      <c s="14" r="R237">
        <f>(E237+L237)-M237</f>
        <v>66.66</v>
      </c>
      <c s="70" r="S237">
        <f>Q237-R237</f>
        <v>-12.21</v>
      </c>
      <c s="29" r="T237">
        <f> (Q237/R237) - 1</f>
        <v>-0.183168316831683</v>
      </c>
      <c t="str" s="70" r="U237">
        <f>R237/X237</f>
        <v>#DIV/0!:divZero</v>
      </c>
      <c t="str" s="70" r="V237">
        <f>Q237/X237</f>
        <v>#DIV/0!:divZero</v>
      </c>
      <c t="s" s="30" r="W237">
        <v>215</v>
      </c>
      <c s="30" r="X237">
        <v>0</v>
      </c>
      <c t="s" s="30" r="Y237">
        <v>216</v>
      </c>
      <c t="s" s="30" r="Z237">
        <v>42</v>
      </c>
      <c s="30" r="AA237">
        <v>0</v>
      </c>
      <c s="30" r="AB237">
        <v>0</v>
      </c>
      <c s="30" r="AC237">
        <v>0</v>
      </c>
      <c s="30" r="AD237">
        <v>0</v>
      </c>
      <c s="30" r="AE237"/>
      <c t="str" s="8" r="AF237">
        <f>(I237+J237)/R237</f>
        <v>#VALUE!:notNumber:NA</v>
      </c>
      <c t="str" s="28" r="AG237">
        <f>G237/$X237</f>
        <v>#DIV/0!:divZero</v>
      </c>
      <c t="str" s="28" r="AH237">
        <f>H237/$X237</f>
        <v>#DIV/0!:divZero</v>
      </c>
      <c t="str" s="28" r="AI237">
        <f>I237/$X237</f>
        <v>#DIV/0!:divZero</v>
      </c>
      <c t="str" s="28" r="AJ237">
        <f>J237/$X237</f>
        <v>#DIV/0!:divZero</v>
      </c>
      <c t="str" s="28" r="AK237">
        <f>K237/$X237</f>
        <v>#DIV/0!:divZero</v>
      </c>
      <c s="30" r="AL237">
        <v>1</v>
      </c>
    </row>
    <row r="238">
      <c s="30" r="A238">
        <v>237</v>
      </c>
      <c t="s" s="30" r="B238">
        <v>38</v>
      </c>
      <c s="62" r="C238">
        <v>41580</v>
      </c>
      <c s="52" r="D238">
        <v>0.895833333333333</v>
      </c>
      <c s="55" r="E238">
        <v>300</v>
      </c>
      <c s="55" r="F238"/>
      <c t="s" s="55" r="G238">
        <v>39</v>
      </c>
      <c t="s" s="55" r="H238">
        <v>39</v>
      </c>
      <c t="s" s="55" r="I238">
        <v>39</v>
      </c>
      <c t="s" s="55" r="J238">
        <v>39</v>
      </c>
      <c t="s" s="55" r="K238">
        <v>39</v>
      </c>
      <c s="80" r="L238">
        <v>17.28</v>
      </c>
      <c s="79" r="M238">
        <v>253</v>
      </c>
      <c s="79" r="N238">
        <v>66.83</v>
      </c>
      <c s="32" r="O238">
        <f>SUMIF(Sellables!$A$2:$A$11482, $A238, Sellables!$G$2:$G$11482)</f>
        <v>0</v>
      </c>
      <c s="32" r="P238">
        <f>SUMIF(Skills!$A$2:$A$9999, A238, Skills!$F$2:$F$9999)</f>
        <v>0</v>
      </c>
      <c s="14" r="Q238">
        <f>(N238+O238)+P238</f>
        <v>66.83</v>
      </c>
      <c s="14" r="R238">
        <f>(E238+L238)-M238</f>
        <v>64.28</v>
      </c>
      <c s="70" r="S238">
        <f>Q238-R238</f>
        <v>2.55000000000003</v>
      </c>
      <c s="29" r="T238">
        <f> (Q238/R238) - 1</f>
        <v>0.039670192906037</v>
      </c>
      <c t="str" s="70" r="U238">
        <f>R238/X238</f>
        <v>#DIV/0!:divZero</v>
      </c>
      <c t="str" s="70" r="V238">
        <f>Q238/X238</f>
        <v>#DIV/0!:divZero</v>
      </c>
      <c t="s" s="30" r="W238">
        <v>137</v>
      </c>
      <c s="30" r="X238">
        <v>0</v>
      </c>
      <c t="s" s="30" r="Y238">
        <v>101</v>
      </c>
      <c t="s" s="30" r="Z238">
        <v>42</v>
      </c>
      <c s="30" r="AA238">
        <v>0</v>
      </c>
      <c s="30" r="AB238">
        <v>0</v>
      </c>
      <c s="30" r="AC238">
        <v>0</v>
      </c>
      <c s="30" r="AD238">
        <v>0</v>
      </c>
      <c s="30" r="AE238"/>
      <c t="str" s="8" r="AF238">
        <f>(I238+J238)/R238</f>
        <v>#VALUE!:notNumber:NA</v>
      </c>
      <c t="str" s="28" r="AG238">
        <f>G238/$X238</f>
        <v>#DIV/0!:divZero</v>
      </c>
      <c t="str" s="28" r="AH238">
        <f>H238/$X238</f>
        <v>#DIV/0!:divZero</v>
      </c>
      <c t="str" s="28" r="AI238">
        <f>I238/$X238</f>
        <v>#DIV/0!:divZero</v>
      </c>
      <c t="str" s="28" r="AJ238">
        <f>J238/$X238</f>
        <v>#DIV/0!:divZero</v>
      </c>
      <c t="str" s="28" r="AK238">
        <f>K238/$X238</f>
        <v>#DIV/0!:divZero</v>
      </c>
      <c s="30" r="AL238">
        <v>1</v>
      </c>
    </row>
    <row r="239">
      <c s="30" r="A239">
        <v>238</v>
      </c>
      <c t="s" s="30" r="B239">
        <v>38</v>
      </c>
      <c s="62" r="C239">
        <v>41580</v>
      </c>
      <c s="52" r="D239">
        <v>0.940972222222222</v>
      </c>
      <c s="55" r="E239">
        <v>300</v>
      </c>
      <c s="55" r="F239"/>
      <c t="s" s="55" r="G239">
        <v>39</v>
      </c>
      <c t="s" s="55" r="H239">
        <v>39</v>
      </c>
      <c t="s" s="55" r="I239">
        <v>39</v>
      </c>
      <c t="s" s="55" r="J239">
        <v>39</v>
      </c>
      <c t="s" s="55" r="K239">
        <v>39</v>
      </c>
      <c s="80" r="L239">
        <v>86.75</v>
      </c>
      <c s="79" r="M239">
        <v>69.83</v>
      </c>
      <c s="79" r="N239">
        <v>92.97</v>
      </c>
      <c s="32" r="O239">
        <f>SUMIF(Sellables!$A$2:$A$11482, $A239, Sellables!$G$2:$G$11482)</f>
        <v>93.724208</v>
      </c>
      <c s="32" r="P239">
        <f>SUMIF(Skills!$A$2:$A$9999, A239, Skills!$F$2:$F$9999)</f>
        <v>0</v>
      </c>
      <c s="14" r="Q239">
        <f>(N239+O239)+P239</f>
        <v>186.694208</v>
      </c>
      <c s="14" r="R239">
        <f>(E239+L239)-M239</f>
        <v>316.92</v>
      </c>
      <c s="70" r="S239">
        <f>Q239-R239</f>
        <v>-130.225792</v>
      </c>
      <c s="29" r="T239">
        <f> (Q239/R239) - 1</f>
        <v>-0.410910614666162</v>
      </c>
      <c t="str" s="70" r="U239">
        <f>R239/X239</f>
        <v>#DIV/0!:divZero</v>
      </c>
      <c t="str" s="70" r="V239">
        <f>Q239/X239</f>
        <v>#DIV/0!:divZero</v>
      </c>
      <c t="s" s="30" r="W239">
        <v>217</v>
      </c>
      <c s="30" r="X239">
        <v>0</v>
      </c>
      <c t="s" s="30" r="Y239">
        <v>218</v>
      </c>
      <c t="s" s="30" r="Z239">
        <v>42</v>
      </c>
      <c s="30" r="AA239">
        <v>0</v>
      </c>
      <c s="30" r="AB239">
        <v>0</v>
      </c>
      <c s="30" r="AC239">
        <v>0</v>
      </c>
      <c s="30" r="AD239">
        <v>0</v>
      </c>
      <c s="30" r="AE239"/>
      <c t="str" s="8" r="AF239">
        <f>(I239+J239)/R239</f>
        <v>#VALUE!:notNumber:NA</v>
      </c>
      <c t="str" s="28" r="AG239">
        <f>G239/$X239</f>
        <v>#DIV/0!:divZero</v>
      </c>
      <c t="str" s="28" r="AH239">
        <f>H239/$X239</f>
        <v>#DIV/0!:divZero</v>
      </c>
      <c t="str" s="28" r="AI239">
        <f>I239/$X239</f>
        <v>#DIV/0!:divZero</v>
      </c>
      <c t="str" s="28" r="AJ239">
        <f>J239/$X239</f>
        <v>#DIV/0!:divZero</v>
      </c>
      <c t="str" s="28" r="AK239">
        <f>K239/$X239</f>
        <v>#DIV/0!:divZero</v>
      </c>
      <c s="30" r="AL239">
        <v>1</v>
      </c>
    </row>
    <row r="240">
      <c s="30" r="A240">
        <v>239</v>
      </c>
      <c t="s" s="30" r="B240">
        <v>38</v>
      </c>
      <c s="62" r="C240">
        <v>41580</v>
      </c>
      <c s="52" r="D240">
        <v>0.979166666666667</v>
      </c>
      <c s="55" r="E240">
        <v>300</v>
      </c>
      <c s="55" r="F240"/>
      <c t="s" s="55" r="G240">
        <v>39</v>
      </c>
      <c t="s" s="55" r="H240">
        <v>39</v>
      </c>
      <c t="s" s="55" r="I240">
        <v>39</v>
      </c>
      <c t="s" s="55" r="J240">
        <v>39</v>
      </c>
      <c t="s" s="55" r="K240">
        <v>39</v>
      </c>
      <c s="80" r="L240">
        <v>51.09</v>
      </c>
      <c s="79" r="M240">
        <v>191.47</v>
      </c>
      <c s="79" r="N240">
        <v>236.82</v>
      </c>
      <c s="32" r="O240">
        <f>SUMIF(Sellables!$A$2:$A$11482, $A240, Sellables!$G$2:$G$11482)</f>
        <v>49.96875</v>
      </c>
      <c s="32" r="P240">
        <f>SUMIF(Skills!$A$2:$A$9999, A240, Skills!$F$2:$F$9999)</f>
        <v>0</v>
      </c>
      <c s="14" r="Q240">
        <f>(N240+O240)+P240</f>
        <v>286.78875</v>
      </c>
      <c s="14" r="R240">
        <f>(E240+L240)-M240</f>
        <v>159.62</v>
      </c>
      <c s="70" r="S240">
        <f>Q240-R240</f>
        <v>127.16875</v>
      </c>
      <c s="29" r="T240">
        <f> (Q240/R240) - 1</f>
        <v>0.796696842500939</v>
      </c>
      <c s="70" r="U240">
        <f>R240/X240</f>
        <v>0.606920152091255</v>
      </c>
      <c s="70" r="V240">
        <f>Q240/X240</f>
        <v>1.09045152091255</v>
      </c>
      <c t="s" s="30" r="W240">
        <v>131</v>
      </c>
      <c s="30" r="X240">
        <f>500-237</f>
        <v>263</v>
      </c>
      <c t="s" s="30" r="Y240">
        <v>219</v>
      </c>
      <c t="s" s="30" r="Z240">
        <v>42</v>
      </c>
      <c s="30" r="AA240">
        <v>0</v>
      </c>
      <c s="30" r="AB240">
        <v>0</v>
      </c>
      <c s="30" r="AC240">
        <v>2</v>
      </c>
      <c s="30" r="AD240">
        <v>0</v>
      </c>
      <c s="30" r="AE240"/>
      <c t="str" s="8" r="AF240">
        <f>(I240+J240)/R240</f>
        <v>#VALUE!:notNumber:NA</v>
      </c>
      <c t="str" s="28" r="AG240">
        <f>G240/$X240</f>
        <v>#VALUE!:notNumber:NA</v>
      </c>
      <c t="str" s="28" r="AH240">
        <f>H240/$X240</f>
        <v>#VALUE!:notNumber:NA</v>
      </c>
      <c t="str" s="28" r="AI240">
        <f>I240/$X240</f>
        <v>#VALUE!:notNumber:NA</v>
      </c>
      <c t="str" s="28" r="AJ240">
        <f>J240/$X240</f>
        <v>#VALUE!:notNumber:NA</v>
      </c>
      <c t="str" s="28" r="AK240">
        <f>K240/$X240</f>
        <v>#VALUE!:notNumber:NA</v>
      </c>
      <c s="30" r="AL240">
        <v>1</v>
      </c>
    </row>
    <row r="241">
      <c s="30" r="A241">
        <v>240</v>
      </c>
      <c t="s" s="30" r="B241">
        <v>38</v>
      </c>
      <c s="62" r="C241">
        <v>41581</v>
      </c>
      <c s="52" r="D241">
        <v>0.458333333333333</v>
      </c>
      <c s="55" r="E241">
        <v>300</v>
      </c>
      <c s="55" r="F241"/>
      <c t="s" s="55" r="G241">
        <v>39</v>
      </c>
      <c t="s" s="55" r="H241">
        <v>39</v>
      </c>
      <c t="s" s="55" r="I241">
        <v>39</v>
      </c>
      <c t="s" s="55" r="J241">
        <v>39</v>
      </c>
      <c t="s" s="55" r="K241">
        <v>39</v>
      </c>
      <c s="80" r="L241">
        <v>10.33</v>
      </c>
      <c s="79" r="M241">
        <v>270.22</v>
      </c>
      <c s="79" r="N241">
        <v>18.63</v>
      </c>
      <c s="32" r="O241">
        <f>SUMIF(Sellables!$A$2:$A$11482, $A241, Sellables!$G$2:$G$11482)</f>
        <v>0</v>
      </c>
      <c s="32" r="P241">
        <f>SUMIF(Skills!$A$2:$A$9999, A241, Skills!$F$2:$F$9999)</f>
        <v>0</v>
      </c>
      <c s="14" r="Q241">
        <f>(N241+O241)+P241</f>
        <v>18.63</v>
      </c>
      <c s="14" r="R241">
        <f>(E241+L241)-M241</f>
        <v>40.11</v>
      </c>
      <c s="70" r="S241">
        <f>Q241-R241</f>
        <v>-21.48</v>
      </c>
      <c s="29" r="T241">
        <f> (Q241/R241) - 1</f>
        <v>-0.535527299925205</v>
      </c>
      <c s="70" r="U241">
        <f>R241/X241</f>
        <v>2.674</v>
      </c>
      <c s="70" r="V241">
        <f>Q241/X241</f>
        <v>1.242</v>
      </c>
      <c t="s" s="30" r="W241">
        <v>151</v>
      </c>
      <c s="30" r="X241">
        <v>15</v>
      </c>
      <c t="s" s="30" r="Y241">
        <v>220</v>
      </c>
      <c t="s" s="30" r="Z241">
        <v>42</v>
      </c>
      <c s="30" r="AA241">
        <v>0</v>
      </c>
      <c s="30" r="AB241">
        <v>0</v>
      </c>
      <c s="30" r="AC241">
        <v>0</v>
      </c>
      <c s="30" r="AD241">
        <v>0</v>
      </c>
      <c s="30" r="AE241"/>
      <c t="str" s="8" r="AF241">
        <f>(I241+J241)/R241</f>
        <v>#VALUE!:notNumber:NA</v>
      </c>
      <c t="str" s="28" r="AG241">
        <f>G241/$X241</f>
        <v>#VALUE!:notNumber:NA</v>
      </c>
      <c t="str" s="28" r="AH241">
        <f>H241/$X241</f>
        <v>#VALUE!:notNumber:NA</v>
      </c>
      <c t="str" s="28" r="AI241">
        <f>I241/$X241</f>
        <v>#VALUE!:notNumber:NA</v>
      </c>
      <c t="str" s="28" r="AJ241">
        <f>J241/$X241</f>
        <v>#VALUE!:notNumber:NA</v>
      </c>
      <c t="str" s="28" r="AK241">
        <f>K241/$X241</f>
        <v>#VALUE!:notNumber:NA</v>
      </c>
      <c s="30" r="AL241">
        <v>1</v>
      </c>
    </row>
    <row r="242">
      <c s="30" r="A242">
        <v>241</v>
      </c>
      <c t="s" s="30" r="B242">
        <v>38</v>
      </c>
      <c s="62" r="C242">
        <v>41581</v>
      </c>
      <c s="52" r="D242">
        <v>0.5</v>
      </c>
      <c s="55" r="E242">
        <v>300</v>
      </c>
      <c s="55" r="F242"/>
      <c t="s" s="55" r="G242">
        <v>39</v>
      </c>
      <c t="s" s="55" r="H242">
        <v>39</v>
      </c>
      <c t="s" s="55" r="I242">
        <v>39</v>
      </c>
      <c t="s" s="55" r="J242">
        <v>39</v>
      </c>
      <c t="s" s="55" r="K242">
        <v>39</v>
      </c>
      <c s="80" r="L242">
        <v>74.14</v>
      </c>
      <c s="79" r="M242">
        <v>130.55</v>
      </c>
      <c s="79" r="N242">
        <f>238.36-84</f>
        <v>154.36</v>
      </c>
      <c s="32" r="O242">
        <f>SUMIF(Sellables!$A$2:$A$11482, $A242, Sellables!$G$2:$G$11482)</f>
        <v>89.04</v>
      </c>
      <c s="32" r="P242">
        <f>SUMIF(Skills!$A$2:$A$9999, A242, Skills!$F$2:$F$9999)</f>
        <v>32.256276</v>
      </c>
      <c s="14" r="Q242">
        <f>(N242+O242)+P242</f>
        <v>275.656276</v>
      </c>
      <c s="14" r="R242">
        <f>(E242+L242)-M242</f>
        <v>243.59</v>
      </c>
      <c s="70" r="S242">
        <f>Q242-R242</f>
        <v>32.0662760000001</v>
      </c>
      <c s="29" r="T242">
        <f> (Q242/R242) - 1</f>
        <v>0.131640362904881</v>
      </c>
      <c s="70" r="U242">
        <f>R242/X242</f>
        <v>3.38319444444444</v>
      </c>
      <c s="70" r="V242">
        <f>Q242/X242</f>
        <v>3.82855938888889</v>
      </c>
      <c t="s" s="30" r="W242">
        <v>118</v>
      </c>
      <c s="30" r="X242">
        <v>72</v>
      </c>
      <c t="s" s="30" r="Y242">
        <v>206</v>
      </c>
      <c t="s" s="30" r="Z242">
        <v>42</v>
      </c>
      <c s="30" r="AA242">
        <v>0</v>
      </c>
      <c s="30" r="AB242">
        <v>0</v>
      </c>
      <c s="30" r="AC242">
        <v>1</v>
      </c>
      <c s="30" r="AD242">
        <v>0</v>
      </c>
      <c s="30" r="AE242"/>
      <c t="str" s="8" r="AF242">
        <f>(I242+J242)/R242</f>
        <v>#VALUE!:notNumber:NA</v>
      </c>
      <c t="str" s="28" r="AG242">
        <f>G242/$X242</f>
        <v>#VALUE!:notNumber:NA</v>
      </c>
      <c t="str" s="28" r="AH242">
        <f>H242/$X242</f>
        <v>#VALUE!:notNumber:NA</v>
      </c>
      <c t="str" s="28" r="AI242">
        <f>I242/$X242</f>
        <v>#VALUE!:notNumber:NA</v>
      </c>
      <c t="str" s="28" r="AJ242">
        <f>J242/$X242</f>
        <v>#VALUE!:notNumber:NA</v>
      </c>
      <c t="str" s="28" r="AK242">
        <f>K242/$X242</f>
        <v>#VALUE!:notNumber:NA</v>
      </c>
      <c s="30" r="AL242">
        <v>1</v>
      </c>
    </row>
    <row r="243">
      <c s="30" r="A243">
        <v>242</v>
      </c>
      <c t="s" s="30" r="B243">
        <v>38</v>
      </c>
      <c s="62" r="C243">
        <v>41581</v>
      </c>
      <c s="52" r="D243">
        <v>0.541666666666667</v>
      </c>
      <c s="55" r="E243">
        <v>300</v>
      </c>
      <c s="55" r="F243"/>
      <c t="s" s="55" r="G243">
        <v>39</v>
      </c>
      <c t="s" s="55" r="H243">
        <v>39</v>
      </c>
      <c t="s" s="55" r="I243">
        <v>39</v>
      </c>
      <c t="s" s="55" r="J243">
        <v>39</v>
      </c>
      <c t="s" s="55" r="K243">
        <v>39</v>
      </c>
      <c s="80" r="L243">
        <v>11.61</v>
      </c>
      <c s="79" r="M243">
        <v>280.83</v>
      </c>
      <c s="79" r="N243">
        <v>31.91</v>
      </c>
      <c s="32" r="O243">
        <f>SUMIF(Sellables!$A$2:$A$11482, $A243, Sellables!$G$2:$G$11482)</f>
        <v>9.7875</v>
      </c>
      <c s="32" r="P243">
        <f>SUMIF(Skills!$A$2:$A$9999, A243, Skills!$F$2:$F$9999)</f>
        <v>1.0855</v>
      </c>
      <c s="14" r="Q243">
        <f>(N243+O243)+P243</f>
        <v>42.783</v>
      </c>
      <c s="14" r="R243">
        <f>(E243+L243)-M243</f>
        <v>30.78</v>
      </c>
      <c s="70" r="S243">
        <f>Q243-R243</f>
        <v>12.003</v>
      </c>
      <c s="29" r="T243">
        <f> (Q243/R243) - 1</f>
        <v>0.389961013645223</v>
      </c>
      <c t="str" s="70" r="U243">
        <f>R243/X243</f>
        <v>#DIV/0!:divZero</v>
      </c>
      <c t="str" s="70" r="V243">
        <f>Q243/X243</f>
        <v>#DIV/0!:divZero</v>
      </c>
      <c t="s" s="30" r="W243">
        <v>221</v>
      </c>
      <c s="30" r="X243">
        <v>0</v>
      </c>
      <c t="s" s="30" r="Y243">
        <v>222</v>
      </c>
      <c t="s" s="30" r="Z243">
        <v>42</v>
      </c>
      <c s="30" r="AA243">
        <v>0</v>
      </c>
      <c s="30" r="AB243">
        <v>0</v>
      </c>
      <c s="30" r="AC243">
        <v>0</v>
      </c>
      <c s="30" r="AD243">
        <v>0</v>
      </c>
      <c s="30" r="AE243"/>
      <c t="str" s="8" r="AF243">
        <f>(I243+J243)/R243</f>
        <v>#VALUE!:notNumber:NA</v>
      </c>
      <c t="str" s="28" r="AG243">
        <f>G243/$X243</f>
        <v>#DIV/0!:divZero</v>
      </c>
      <c t="str" s="28" r="AH243">
        <f>H243/$X243</f>
        <v>#DIV/0!:divZero</v>
      </c>
      <c t="str" s="28" r="AI243">
        <f>I243/$X243</f>
        <v>#DIV/0!:divZero</v>
      </c>
      <c t="str" s="28" r="AJ243">
        <f>J243/$X243</f>
        <v>#DIV/0!:divZero</v>
      </c>
      <c t="str" s="28" r="AK243">
        <f>K243/$X243</f>
        <v>#DIV/0!:divZero</v>
      </c>
      <c s="30" r="AL243">
        <v>1</v>
      </c>
    </row>
    <row r="244">
      <c s="30" r="A244">
        <v>243</v>
      </c>
      <c t="s" s="30" r="B244">
        <v>38</v>
      </c>
      <c s="62" r="C244">
        <v>41581</v>
      </c>
      <c s="52" r="D244">
        <v>0.604166666666667</v>
      </c>
      <c s="55" r="E244">
        <v>400</v>
      </c>
      <c s="55" r="F244"/>
      <c t="s" s="55" r="G244">
        <v>39</v>
      </c>
      <c t="s" s="55" r="H244">
        <v>39</v>
      </c>
      <c t="s" s="55" r="I244">
        <v>39</v>
      </c>
      <c t="s" s="55" r="J244">
        <v>39</v>
      </c>
      <c t="s" s="55" r="K244">
        <v>39</v>
      </c>
      <c s="80" r="L244">
        <v>8.52</v>
      </c>
      <c s="79" r="M244">
        <v>395.6</v>
      </c>
      <c s="79" r="N244">
        <v>21.57</v>
      </c>
      <c s="32" r="O244">
        <f>SUMIF(Sellables!$A$2:$A$11482, $A244, Sellables!$G$2:$G$11482)</f>
        <v>0</v>
      </c>
      <c s="32" r="P244">
        <f>SUMIF(Skills!$A$2:$A$9999, A244, Skills!$F$2:$F$9999)</f>
        <v>0</v>
      </c>
      <c s="14" r="Q244">
        <f>(N244+O244)+P244</f>
        <v>21.57</v>
      </c>
      <c s="14" r="R244">
        <f>(E244+L244)-M244</f>
        <v>12.92</v>
      </c>
      <c s="70" r="S244">
        <f>Q244-R244</f>
        <v>8.65000000000004</v>
      </c>
      <c s="29" r="T244">
        <f> (Q244/R244) - 1</f>
        <v>0.669504643962854</v>
      </c>
      <c t="str" s="70" r="U244">
        <f>R244/X244</f>
        <v>#DIV/0!:divZero</v>
      </c>
      <c t="str" s="70" r="V244">
        <f>Q244/X244</f>
        <v>#DIV/0!:divZero</v>
      </c>
      <c t="s" s="30" r="W244">
        <v>223</v>
      </c>
      <c s="30" r="X244">
        <v>0</v>
      </c>
      <c t="s" s="30" r="Y244">
        <v>224</v>
      </c>
      <c t="s" s="30" r="Z244">
        <v>42</v>
      </c>
      <c s="30" r="AA244">
        <v>0</v>
      </c>
      <c s="30" r="AB244">
        <v>0</v>
      </c>
      <c s="30" r="AC244">
        <v>2</v>
      </c>
      <c s="30" r="AD244">
        <v>0</v>
      </c>
      <c s="30" r="AE244"/>
      <c t="str" s="8" r="AF244">
        <f>(I244+J244)/R244</f>
        <v>#VALUE!:notNumber:NA</v>
      </c>
      <c t="str" s="28" r="AG244">
        <f>G244/$X244</f>
        <v>#DIV/0!:divZero</v>
      </c>
      <c t="str" s="28" r="AH244">
        <f>H244/$X244</f>
        <v>#DIV/0!:divZero</v>
      </c>
      <c t="str" s="28" r="AI244">
        <f>I244/$X244</f>
        <v>#DIV/0!:divZero</v>
      </c>
      <c t="str" s="28" r="AJ244">
        <f>J244/$X244</f>
        <v>#DIV/0!:divZero</v>
      </c>
      <c t="str" s="28" r="AK244">
        <f>K244/$X244</f>
        <v>#DIV/0!:divZero</v>
      </c>
      <c s="30" r="AL244">
        <v>1</v>
      </c>
    </row>
    <row r="245">
      <c s="30" r="A245">
        <v>244</v>
      </c>
      <c t="s" s="30" r="B245">
        <v>38</v>
      </c>
      <c s="62" r="C245">
        <v>41581</v>
      </c>
      <c s="52" r="D245">
        <v>0.6875</v>
      </c>
      <c s="55" r="E245">
        <v>300</v>
      </c>
      <c s="55" r="F245"/>
      <c t="s" s="55" r="G245">
        <v>39</v>
      </c>
      <c t="s" s="55" r="H245">
        <v>39</v>
      </c>
      <c t="s" s="55" r="I245">
        <v>39</v>
      </c>
      <c t="s" s="55" r="J245">
        <v>39</v>
      </c>
      <c t="s" s="55" r="K245">
        <v>39</v>
      </c>
      <c s="80" r="L245">
        <v>38.78</v>
      </c>
      <c s="79" r="M245">
        <v>142.04</v>
      </c>
      <c s="79" r="N245">
        <v>174.56</v>
      </c>
      <c s="32" r="O245">
        <f>SUMIF(Sellables!$A$2:$A$11482, $A245, Sellables!$G$2:$G$11482)</f>
        <v>6.28875</v>
      </c>
      <c s="32" r="P245">
        <f>SUMIF(Skills!$A$2:$A$9999, A245, Skills!$F$2:$F$9999)</f>
        <v>0</v>
      </c>
      <c s="14" r="Q245">
        <f>(N245+O245)+P245</f>
        <v>180.84875</v>
      </c>
      <c s="14" r="R245">
        <f>(E245+L245)-M245</f>
        <v>196.74</v>
      </c>
      <c s="70" r="S245">
        <f>Q245-R245</f>
        <v>-15.89125</v>
      </c>
      <c s="29" r="T245">
        <f> (Q245/R245) - 1</f>
        <v>-0.080772847412829</v>
      </c>
      <c s="70" r="U245">
        <f>R245/X245</f>
        <v>0.978805970149254</v>
      </c>
      <c s="70" r="V245">
        <f>Q245/X245</f>
        <v>0.899745024875622</v>
      </c>
      <c t="s" s="30" r="W245">
        <v>131</v>
      </c>
      <c s="30" r="X245">
        <v>201</v>
      </c>
      <c t="s" s="30" r="Y245">
        <v>225</v>
      </c>
      <c t="s" s="30" r="Z245">
        <v>42</v>
      </c>
      <c s="30" r="AA245">
        <v>0</v>
      </c>
      <c s="30" r="AB245">
        <v>0</v>
      </c>
      <c s="30" r="AC245">
        <v>1</v>
      </c>
      <c s="30" r="AD245">
        <v>0</v>
      </c>
      <c s="30" r="AE245"/>
      <c t="str" s="8" r="AF245">
        <f>(I245+J245)/R245</f>
        <v>#VALUE!:notNumber:NA</v>
      </c>
      <c t="str" s="28" r="AG245">
        <f>G245/$X245</f>
        <v>#VALUE!:notNumber:NA</v>
      </c>
      <c t="str" s="28" r="AH245">
        <f>H245/$X245</f>
        <v>#VALUE!:notNumber:NA</v>
      </c>
      <c t="str" s="28" r="AI245">
        <f>I245/$X245</f>
        <v>#VALUE!:notNumber:NA</v>
      </c>
      <c t="str" s="28" r="AJ245">
        <f>J245/$X245</f>
        <v>#VALUE!:notNumber:NA</v>
      </c>
      <c t="str" s="28" r="AK245">
        <f>K245/$X245</f>
        <v>#VALUE!:notNumber:NA</v>
      </c>
      <c s="30" r="AL245">
        <v>1</v>
      </c>
    </row>
    <row r="246">
      <c s="30" r="A246">
        <v>245</v>
      </c>
      <c t="s" s="30" r="B246">
        <v>38</v>
      </c>
      <c s="62" r="C246">
        <v>41581</v>
      </c>
      <c s="52" r="D246">
        <v>0.708333333333333</v>
      </c>
      <c s="55" r="E246">
        <v>400</v>
      </c>
      <c s="55" r="F246"/>
      <c t="s" s="55" r="G246">
        <v>39</v>
      </c>
      <c t="s" s="55" r="H246">
        <v>39</v>
      </c>
      <c t="s" s="55" r="I246">
        <v>39</v>
      </c>
      <c t="s" s="55" r="J246">
        <v>39</v>
      </c>
      <c t="s" s="55" r="K246">
        <v>39</v>
      </c>
      <c s="80" r="L246">
        <v>0.11</v>
      </c>
      <c s="79" r="M246">
        <v>395.34</v>
      </c>
      <c s="79" r="N246">
        <v>0.38</v>
      </c>
      <c s="32" r="O246">
        <f>SUMIF(Sellables!$A$2:$A$11482, $A246, Sellables!$G$2:$G$11482)</f>
        <v>0</v>
      </c>
      <c s="32" r="P246">
        <f>SUMIF(Skills!$A$2:$A$9999, A246, Skills!$F$2:$F$9999)</f>
        <v>0</v>
      </c>
      <c s="14" r="Q246">
        <f>(N246+O246)+P246</f>
        <v>0.38</v>
      </c>
      <c s="14" r="R246">
        <f>(E246+L246)-M246</f>
        <v>4.77000000000004</v>
      </c>
      <c s="70" r="S246">
        <f>Q246-R246</f>
        <v>-4.39000000000004</v>
      </c>
      <c s="29" r="T246">
        <f> (Q246/R246) - 1</f>
        <v>-0.920335429769393</v>
      </c>
      <c s="70" r="U246">
        <f>R246/X246</f>
        <v>1.19250000000001</v>
      </c>
      <c s="70" r="V246">
        <f>Q246/X246</f>
        <v>0.095</v>
      </c>
      <c t="s" s="30" r="W246">
        <v>202</v>
      </c>
      <c s="30" r="X246">
        <v>4</v>
      </c>
      <c t="s" s="30" r="Y246">
        <v>203</v>
      </c>
      <c t="s" s="30" r="Z246">
        <v>42</v>
      </c>
      <c s="30" r="AA246">
        <v>0</v>
      </c>
      <c s="30" r="AB246">
        <v>0</v>
      </c>
      <c s="30" r="AC246">
        <v>0</v>
      </c>
      <c s="30" r="AD246">
        <v>0</v>
      </c>
      <c s="30" r="AE246"/>
      <c t="str" s="8" r="AF246">
        <f>(I246+J246)/R246</f>
        <v>#VALUE!:notNumber:NA</v>
      </c>
      <c t="str" s="28" r="AG246">
        <f>G246/$X246</f>
        <v>#VALUE!:notNumber:NA</v>
      </c>
      <c t="str" s="28" r="AH246">
        <f>H246/$X246</f>
        <v>#VALUE!:notNumber:NA</v>
      </c>
      <c t="str" s="28" r="AI246">
        <f>I246/$X246</f>
        <v>#VALUE!:notNumber:NA</v>
      </c>
      <c t="str" s="28" r="AJ246">
        <f>J246/$X246</f>
        <v>#VALUE!:notNumber:NA</v>
      </c>
      <c t="str" s="28" r="AK246">
        <f>K246/$X246</f>
        <v>#VALUE!:notNumber:NA</v>
      </c>
      <c s="30" r="AL246">
        <v>1</v>
      </c>
    </row>
    <row r="247">
      <c s="30" r="A247">
        <v>246</v>
      </c>
      <c t="s" s="30" r="B247">
        <v>55</v>
      </c>
      <c s="62" r="C247">
        <v>41581</v>
      </c>
      <c s="52" r="D247">
        <v>0.733333333333333</v>
      </c>
      <c s="55" r="E247">
        <f>1241*0.70</f>
        <v>868.7</v>
      </c>
      <c s="55" r="F247"/>
      <c t="s" s="55" r="G247">
        <v>39</v>
      </c>
      <c t="s" s="55" r="H247">
        <v>39</v>
      </c>
      <c t="s" s="55" r="I247">
        <v>39</v>
      </c>
      <c t="s" s="55" r="J247">
        <v>39</v>
      </c>
      <c t="s" s="55" r="K247">
        <v>39</v>
      </c>
      <c s="80" r="L247">
        <v>0</v>
      </c>
      <c s="79" r="M247">
        <v>0</v>
      </c>
      <c s="79" r="N247">
        <f>969.71-336</f>
        <v>633.71</v>
      </c>
      <c s="32" r="O247">
        <f>SUMIF(Sellables!$A$2:$A$11482, $A247, Sellables!$G$2:$G$11482)</f>
        <v>361.2</v>
      </c>
      <c s="32" r="P247">
        <f>SUMIF(Skills!$A$2:$A$9999, A247, Skills!$F$2:$F$9999)</f>
        <v>0</v>
      </c>
      <c s="14" r="Q247">
        <f>(N247+O247)+P247</f>
        <v>994.91</v>
      </c>
      <c s="23" r="R247">
        <f>(E247+L247)-M247</f>
        <v>868.7</v>
      </c>
      <c s="70" r="S247">
        <f>Q247-R247</f>
        <v>126.21</v>
      </c>
      <c s="29" r="T247">
        <f> (Q247/R247) - 1</f>
        <v>0.145286059629331</v>
      </c>
      <c t="str" s="70" r="U247">
        <f>R247/X247</f>
        <v>#DIV/0!:divZero</v>
      </c>
      <c t="str" s="70" r="V247">
        <f>Q247/X247</f>
        <v>#DIV/0!:divZero</v>
      </c>
      <c t="s" s="30" r="W247">
        <v>56</v>
      </c>
      <c s="30" r="X247">
        <v>0</v>
      </c>
      <c t="s" s="30" r="Y247">
        <v>182</v>
      </c>
      <c t="s" s="30" r="Z247">
        <v>42</v>
      </c>
      <c s="30" r="AA247">
        <v>0</v>
      </c>
      <c s="30" r="AB247">
        <v>0</v>
      </c>
      <c s="30" r="AC247">
        <v>1</v>
      </c>
      <c s="30" r="AD247">
        <v>0</v>
      </c>
      <c s="30" r="AE247"/>
      <c t="str" s="8" r="AF247">
        <f>(I247+J247)/R247</f>
        <v>#VALUE!:notNumber:NA</v>
      </c>
      <c t="str" s="28" r="AG247">
        <f>G247/$X247</f>
        <v>#DIV/0!:divZero</v>
      </c>
      <c t="str" s="28" r="AH247">
        <f>H247/$X247</f>
        <v>#DIV/0!:divZero</v>
      </c>
      <c t="str" s="28" r="AI247">
        <f>I247/$X247</f>
        <v>#DIV/0!:divZero</v>
      </c>
      <c t="str" s="28" r="AJ247">
        <f>J247/$X247</f>
        <v>#DIV/0!:divZero</v>
      </c>
      <c t="str" s="28" r="AK247">
        <f>K247/$X247</f>
        <v>#DIV/0!:divZero</v>
      </c>
      <c s="30" r="AL247">
        <v>1</v>
      </c>
    </row>
    <row r="248">
      <c s="30" r="A248">
        <v>247</v>
      </c>
      <c t="s" s="30" r="B248">
        <v>55</v>
      </c>
      <c s="62" r="C248">
        <v>41581</v>
      </c>
      <c s="52" r="D248">
        <v>0.797916666666667</v>
      </c>
      <c s="55" r="E248">
        <f>204*2.4</f>
        <v>489.6</v>
      </c>
      <c s="55" r="F248"/>
      <c t="s" s="55" r="G248">
        <v>39</v>
      </c>
      <c t="s" s="55" r="H248">
        <v>39</v>
      </c>
      <c t="s" s="55" r="I248">
        <v>39</v>
      </c>
      <c t="s" s="55" r="J248">
        <v>39</v>
      </c>
      <c t="s" s="55" r="K248">
        <v>39</v>
      </c>
      <c s="80" r="L248">
        <v>0</v>
      </c>
      <c s="79" r="M248">
        <v>0</v>
      </c>
      <c s="79" r="N248">
        <f>(478.46-174.20)-139.03</f>
        <v>165.23</v>
      </c>
      <c s="32" r="O248">
        <f>SUMIF(Sellables!$A$2:$A$11482, $A248, Sellables!$G$2:$G$11482)</f>
        <v>337.1561</v>
      </c>
      <c s="32" r="P248">
        <f>SUMIF(Skills!$A$2:$A$9999, A248, Skills!$F$2:$F$9999)</f>
        <v>0</v>
      </c>
      <c s="14" r="Q248">
        <f>(N248+O248)+P248</f>
        <v>502.3861</v>
      </c>
      <c s="23" r="R248">
        <f>(E248+L248)-M248</f>
        <v>489.6</v>
      </c>
      <c s="70" r="S248">
        <f>Q248-R248</f>
        <v>12.7861</v>
      </c>
      <c s="29" r="T248">
        <f> (Q248/R248) - 1</f>
        <v>0.026115400326797</v>
      </c>
      <c t="str" s="70" r="U248">
        <f>R248/X248</f>
        <v>#DIV/0!:divZero</v>
      </c>
      <c t="str" s="70" r="V248">
        <f>Q248/X248</f>
        <v>#DIV/0!:divZero</v>
      </c>
      <c t="s" s="30" r="W248">
        <v>88</v>
      </c>
      <c s="30" r="X248">
        <v>0</v>
      </c>
      <c t="s" s="30" r="Y248">
        <v>182</v>
      </c>
      <c t="s" s="30" r="Z248">
        <v>42</v>
      </c>
      <c s="30" r="AA248">
        <v>0</v>
      </c>
      <c s="30" r="AB248">
        <v>0</v>
      </c>
      <c s="30" r="AC248">
        <v>2</v>
      </c>
      <c s="30" r="AD248">
        <v>0</v>
      </c>
      <c s="30" r="AE248"/>
      <c t="str" s="8" r="AF248">
        <f>(I248+J248)/R248</f>
        <v>#VALUE!:notNumber:NA</v>
      </c>
      <c t="str" s="28" r="AG248">
        <f>G248/$X248</f>
        <v>#DIV/0!:divZero</v>
      </c>
      <c t="str" s="28" r="AH248">
        <f>H248/$X248</f>
        <v>#DIV/0!:divZero</v>
      </c>
      <c t="str" s="28" r="AI248">
        <f>I248/$X248</f>
        <v>#DIV/0!:divZero</v>
      </c>
      <c t="str" s="28" r="AJ248">
        <f>J248/$X248</f>
        <v>#DIV/0!:divZero</v>
      </c>
      <c t="str" s="28" r="AK248">
        <f>K248/$X248</f>
        <v>#DIV/0!:divZero</v>
      </c>
      <c s="30" r="AL248">
        <v>1</v>
      </c>
    </row>
    <row r="249">
      <c s="30" r="A249">
        <v>248</v>
      </c>
      <c t="s" s="30" r="B249">
        <v>55</v>
      </c>
      <c s="62" r="C249">
        <v>41581</v>
      </c>
      <c s="52" r="D249">
        <v>0.8125</v>
      </c>
      <c s="55" r="E249">
        <f>1024*0.07</f>
        <v>71.68</v>
      </c>
      <c s="55" r="F249"/>
      <c t="s" s="55" r="G249">
        <v>39</v>
      </c>
      <c t="s" s="55" r="H249">
        <v>39</v>
      </c>
      <c t="s" s="55" r="I249">
        <v>39</v>
      </c>
      <c t="s" s="55" r="J249">
        <v>39</v>
      </c>
      <c t="s" s="55" r="K249">
        <v>39</v>
      </c>
      <c s="80" r="L249">
        <v>0</v>
      </c>
      <c s="79" r="M249">
        <v>0</v>
      </c>
      <c s="79" r="N249">
        <f>49.55-12.47</f>
        <v>37.08</v>
      </c>
      <c s="32" r="O249">
        <f>SUMIF(Sellables!$A$2:$A$11482, $A249, Sellables!$G$2:$G$11482)</f>
        <v>13.4676</v>
      </c>
      <c s="32" r="P249">
        <f>SUMIF(Skills!$A$2:$A$9999, A249, Skills!$F$2:$F$9999)</f>
        <v>0</v>
      </c>
      <c s="14" r="Q249">
        <f>(N249+O249)+P249</f>
        <v>50.5476</v>
      </c>
      <c s="23" r="R249">
        <f>(E249+L249)-M249</f>
        <v>71.68</v>
      </c>
      <c s="70" r="S249">
        <f>Q249-R249</f>
        <v>-21.1324</v>
      </c>
      <c s="29" r="T249">
        <f> (Q249/R249) - 1</f>
        <v>-0.294815848214286</v>
      </c>
      <c t="str" s="70" r="U249">
        <f>R249/X249</f>
        <v>#DIV/0!:divZero</v>
      </c>
      <c t="str" s="70" r="V249">
        <f>Q249/X249</f>
        <v>#DIV/0!:divZero</v>
      </c>
      <c t="s" s="30" r="W249">
        <v>185</v>
      </c>
      <c s="30" r="X249">
        <v>0</v>
      </c>
      <c t="s" s="30" r="Y249">
        <v>182</v>
      </c>
      <c t="s" s="30" r="Z249">
        <v>42</v>
      </c>
      <c s="30" r="AA249">
        <v>0</v>
      </c>
      <c s="30" r="AB249">
        <v>0</v>
      </c>
      <c s="30" r="AC249">
        <v>0</v>
      </c>
      <c s="30" r="AD249">
        <v>0</v>
      </c>
      <c s="30" r="AE249"/>
      <c t="str" s="8" r="AF249">
        <f>(I249+J249)/R249</f>
        <v>#VALUE!:notNumber:NA</v>
      </c>
      <c t="str" s="28" r="AG249">
        <f>G249/$X249</f>
        <v>#DIV/0!:divZero</v>
      </c>
      <c t="str" s="28" r="AH249">
        <f>H249/$X249</f>
        <v>#DIV/0!:divZero</v>
      </c>
      <c t="str" s="28" r="AI249">
        <f>I249/$X249</f>
        <v>#DIV/0!:divZero</v>
      </c>
      <c t="str" s="28" r="AJ249">
        <f>J249/$X249</f>
        <v>#DIV/0!:divZero</v>
      </c>
      <c t="str" s="28" r="AK249">
        <f>K249/$X249</f>
        <v>#DIV/0!:divZero</v>
      </c>
      <c s="30" r="AL249">
        <v>1</v>
      </c>
    </row>
    <row r="250">
      <c s="30" r="A250">
        <v>249</v>
      </c>
      <c t="s" s="30" r="B250">
        <v>55</v>
      </c>
      <c s="62" r="C250">
        <v>41581</v>
      </c>
      <c s="52" r="D250">
        <v>0.875</v>
      </c>
      <c s="55" r="E250">
        <f>1092*0.71</f>
        <v>775.32</v>
      </c>
      <c s="55" r="F250"/>
      <c t="s" s="55" r="G250">
        <v>39</v>
      </c>
      <c t="s" s="55" r="H250">
        <v>39</v>
      </c>
      <c t="s" s="55" r="I250">
        <v>39</v>
      </c>
      <c t="s" s="55" r="J250">
        <v>39</v>
      </c>
      <c t="s" s="55" r="K250">
        <v>39</v>
      </c>
      <c s="80" r="L250">
        <v>0</v>
      </c>
      <c s="79" r="M250">
        <v>0</v>
      </c>
      <c s="79" r="N250">
        <f>715-211.50</f>
        <v>503.5</v>
      </c>
      <c s="32" r="O250">
        <f>SUMIF(Sellables!$A$2:$A$11482, $A250, Sellables!$G$2:$G$11482)</f>
        <v>228.42</v>
      </c>
      <c s="32" r="P250">
        <f>SUMIF(Skills!$A$2:$A$9999, A250, Skills!$F$2:$F$9999)</f>
        <v>0</v>
      </c>
      <c s="14" r="Q250">
        <f>(N250+O250)+P250</f>
        <v>731.92</v>
      </c>
      <c s="23" r="R250">
        <f>(E250+L250)-M250</f>
        <v>775.32</v>
      </c>
      <c s="70" r="S250">
        <f>Q250-R250</f>
        <v>-43.3999999999999</v>
      </c>
      <c s="29" r="T250">
        <f> (Q250/R250) - 1</f>
        <v>-0.055976886962802</v>
      </c>
      <c t="str" s="70" r="U250">
        <f>R250/X250</f>
        <v>#DIV/0!:divZero</v>
      </c>
      <c t="str" s="70" r="V250">
        <f>Q250/X250</f>
        <v>#DIV/0!:divZero</v>
      </c>
      <c t="s" s="30" r="W250">
        <v>226</v>
      </c>
      <c s="30" r="X250">
        <v>0</v>
      </c>
      <c t="s" s="30" r="Y250">
        <v>182</v>
      </c>
      <c t="s" s="30" r="Z250">
        <v>42</v>
      </c>
      <c s="30" r="AA250">
        <v>0</v>
      </c>
      <c s="30" r="AB250">
        <v>0</v>
      </c>
      <c s="30" r="AC250">
        <v>1</v>
      </c>
      <c s="30" r="AD250">
        <v>0</v>
      </c>
      <c s="30" r="AE250"/>
      <c t="str" s="8" r="AF250">
        <f>(I250+J250)/R250</f>
        <v>#VALUE!:notNumber:NA</v>
      </c>
      <c t="str" s="28" r="AG250">
        <f>G250/$X250</f>
        <v>#DIV/0!:divZero</v>
      </c>
      <c t="str" s="28" r="AH250">
        <f>H250/$X250</f>
        <v>#DIV/0!:divZero</v>
      </c>
      <c t="str" s="28" r="AI250">
        <f>I250/$X250</f>
        <v>#DIV/0!:divZero</v>
      </c>
      <c t="str" s="28" r="AJ250">
        <f>J250/$X250</f>
        <v>#DIV/0!:divZero</v>
      </c>
      <c t="str" s="28" r="AK250">
        <f>K250/$X250</f>
        <v>#DIV/0!:divZero</v>
      </c>
      <c s="30" r="AL250">
        <v>1</v>
      </c>
    </row>
    <row r="251">
      <c s="30" r="A251">
        <v>250</v>
      </c>
      <c t="s" s="30" r="B251">
        <v>38</v>
      </c>
      <c s="62" r="C251">
        <v>41581</v>
      </c>
      <c s="52" r="D251">
        <v>0.958333333333333</v>
      </c>
      <c s="55" r="E251">
        <v>400</v>
      </c>
      <c s="55" r="F251"/>
      <c t="s" s="55" r="G251">
        <v>39</v>
      </c>
      <c t="s" s="55" r="H251">
        <v>39</v>
      </c>
      <c t="s" s="55" r="I251">
        <v>39</v>
      </c>
      <c t="s" s="55" r="J251">
        <v>39</v>
      </c>
      <c t="s" s="55" r="K251">
        <v>39</v>
      </c>
      <c s="80" r="L251">
        <v>64.62</v>
      </c>
      <c s="79" r="M251">
        <v>178.51</v>
      </c>
      <c s="79" r="N251">
        <v>306.91</v>
      </c>
      <c s="32" r="O251">
        <f>SUMIF(Sellables!$A$2:$A$11482, $A251, Sellables!$G$2:$G$11482)</f>
        <v>20.683</v>
      </c>
      <c s="32" r="P251">
        <f>SUMIF(Skills!$A$2:$A$9999, A251, Skills!$F$2:$F$9999)</f>
        <v>0</v>
      </c>
      <c s="14" r="Q251">
        <f>(N251+O251)+P251</f>
        <v>327.593</v>
      </c>
      <c s="14" r="R251">
        <f>(E251+L251)-M251</f>
        <v>286.11</v>
      </c>
      <c s="70" r="S251">
        <f>Q251-R251</f>
        <v>41.483</v>
      </c>
      <c s="29" r="T251">
        <f> (Q251/R251) - 1</f>
        <v>0.144989689280347</v>
      </c>
      <c s="70" r="U251">
        <f>R251/X251</f>
        <v>0.956889632107024</v>
      </c>
      <c s="70" r="V251">
        <f>Q251/X251</f>
        <v>1.09562876254181</v>
      </c>
      <c t="s" s="30" r="W251">
        <v>131</v>
      </c>
      <c s="30" r="X251">
        <v>299</v>
      </c>
      <c t="s" s="30" r="Y251">
        <v>225</v>
      </c>
      <c t="s" s="30" r="Z251">
        <v>42</v>
      </c>
      <c s="30" r="AA251">
        <v>0</v>
      </c>
      <c s="30" r="AB251">
        <v>0</v>
      </c>
      <c s="30" r="AC251">
        <v>1</v>
      </c>
      <c s="30" r="AD251">
        <v>0</v>
      </c>
      <c s="30" r="AE251"/>
      <c t="str" s="8" r="AF251">
        <f>(I251+J251)/R251</f>
        <v>#VALUE!:notNumber:NA</v>
      </c>
      <c t="str" s="28" r="AG251">
        <f>G251/$X251</f>
        <v>#VALUE!:notNumber:NA</v>
      </c>
      <c t="str" s="28" r="AH251">
        <f>H251/$X251</f>
        <v>#VALUE!:notNumber:NA</v>
      </c>
      <c t="str" s="28" r="AI251">
        <f>I251/$X251</f>
        <v>#VALUE!:notNumber:NA</v>
      </c>
      <c t="str" s="28" r="AJ251">
        <f>J251/$X251</f>
        <v>#VALUE!:notNumber:NA</v>
      </c>
      <c t="str" s="28" r="AK251">
        <f>K251/$X251</f>
        <v>#VALUE!:notNumber:NA</v>
      </c>
      <c s="30" r="AL251">
        <v>1</v>
      </c>
    </row>
    <row r="252">
      <c s="30" r="A252">
        <v>251</v>
      </c>
      <c t="s" s="30" r="B252">
        <v>55</v>
      </c>
      <c s="62" r="C252">
        <v>41582</v>
      </c>
      <c s="52" r="D252">
        <v>0.364583333333333</v>
      </c>
      <c s="55" r="E252">
        <f>166*0.91</f>
        <v>151.06</v>
      </c>
      <c s="55" r="F252"/>
      <c t="s" s="55" r="G252">
        <v>39</v>
      </c>
      <c t="s" s="55" r="H252">
        <v>39</v>
      </c>
      <c t="s" s="55" r="I252">
        <v>39</v>
      </c>
      <c t="s" s="55" r="J252">
        <v>39</v>
      </c>
      <c t="s" s="55" r="K252">
        <v>39</v>
      </c>
      <c s="80" r="L252">
        <v>0</v>
      </c>
      <c s="79" r="M252">
        <v>0</v>
      </c>
      <c s="79" r="N252">
        <f>113.90-57.60</f>
        <v>56.3</v>
      </c>
      <c s="32" r="O252">
        <f>SUMIF(Sellables!$A$2:$A$11482, $A252, Sellables!$G$2:$G$11482)</f>
        <v>61.632</v>
      </c>
      <c s="32" r="P252">
        <f>SUMIF(Skills!$A$2:$A$9999, A252, Skills!$F$2:$F$9999)</f>
        <v>0</v>
      </c>
      <c s="14" r="Q252">
        <f>(N252+O252)+P252</f>
        <v>117.932</v>
      </c>
      <c s="23" r="R252">
        <f>(E252+L252)-M252</f>
        <v>151.06</v>
      </c>
      <c s="70" r="S252">
        <f>Q252-R252</f>
        <v>-33.128</v>
      </c>
      <c s="29" r="T252">
        <f> (Q252/R252) - 1</f>
        <v>-0.219303587978287</v>
      </c>
      <c t="str" s="70" r="U252">
        <f>R252/X252</f>
        <v>#DIV/0!:divZero</v>
      </c>
      <c t="str" s="70" r="V252">
        <f>Q252/X252</f>
        <v>#DIV/0!:divZero</v>
      </c>
      <c t="s" s="30" r="W252">
        <v>139</v>
      </c>
      <c s="30" r="X252">
        <v>0</v>
      </c>
      <c t="s" s="30" r="Y252">
        <v>132</v>
      </c>
      <c t="s" s="30" r="Z252">
        <v>42</v>
      </c>
      <c s="30" r="AA252">
        <v>0</v>
      </c>
      <c s="30" r="AB252">
        <v>0</v>
      </c>
      <c s="30" r="AC252">
        <v>0</v>
      </c>
      <c s="30" r="AD252">
        <v>0</v>
      </c>
      <c s="30" r="AE252"/>
      <c t="str" s="8" r="AF252">
        <f>(I252+J252)/R252</f>
        <v>#VALUE!:notNumber:NA</v>
      </c>
      <c t="str" s="28" r="AG252">
        <f>G252/$X252</f>
        <v>#DIV/0!:divZero</v>
      </c>
      <c t="str" s="28" r="AH252">
        <f>H252/$X252</f>
        <v>#DIV/0!:divZero</v>
      </c>
      <c t="str" s="28" r="AI252">
        <f>I252/$X252</f>
        <v>#DIV/0!:divZero</v>
      </c>
      <c t="str" s="28" r="AJ252">
        <f>J252/$X252</f>
        <v>#DIV/0!:divZero</v>
      </c>
      <c t="str" s="28" r="AK252">
        <f>K252/$X252</f>
        <v>#DIV/0!:divZero</v>
      </c>
      <c s="30" r="AL252">
        <v>1</v>
      </c>
    </row>
    <row r="253">
      <c s="30" r="A253">
        <v>252</v>
      </c>
      <c t="s" s="30" r="B253">
        <v>55</v>
      </c>
      <c s="62" r="C253">
        <v>41582</v>
      </c>
      <c s="52" r="D253">
        <v>0.378472222222222</v>
      </c>
      <c s="55" r="E253">
        <f>180*0.07</f>
        <v>12.6</v>
      </c>
      <c s="55" r="F253"/>
      <c t="s" s="55" r="G253">
        <v>39</v>
      </c>
      <c t="s" s="55" r="H253">
        <v>39</v>
      </c>
      <c t="s" s="55" r="I253">
        <v>39</v>
      </c>
      <c t="s" s="55" r="J253">
        <v>39</v>
      </c>
      <c t="s" s="55" r="K253">
        <v>39</v>
      </c>
      <c s="80" r="L253">
        <v>0</v>
      </c>
      <c s="79" r="M253">
        <v>0</v>
      </c>
      <c s="79" r="N253">
        <f>10.51-1.59</f>
        <v>8.92</v>
      </c>
      <c s="32" r="O253">
        <f>SUMIF(Sellables!$A$2:$A$11482, $A253, Sellables!$G$2:$G$11482)</f>
        <v>1.7172</v>
      </c>
      <c s="32" r="P253">
        <f>SUMIF(Skills!$A$2:$A$9999, A253, Skills!$F$2:$F$9999)</f>
        <v>0</v>
      </c>
      <c s="14" r="Q253">
        <f>(N253+O253)+P253</f>
        <v>10.6372</v>
      </c>
      <c s="23" r="R253">
        <f>(E253+L253)-M253</f>
        <v>12.6</v>
      </c>
      <c s="70" r="S253">
        <f>Q253-R253</f>
        <v>-1.9628</v>
      </c>
      <c s="29" r="T253">
        <f> (Q253/R253) - 1</f>
        <v>-0.155777777777778</v>
      </c>
      <c t="str" s="70" r="U253">
        <f>R253/X253</f>
        <v>#DIV/0!:divZero</v>
      </c>
      <c t="str" s="70" r="V253">
        <f>Q253/X253</f>
        <v>#DIV/0!:divZero</v>
      </c>
      <c t="s" s="30" r="W253">
        <v>190</v>
      </c>
      <c s="30" r="X253">
        <v>0</v>
      </c>
      <c t="s" s="30" r="Y253">
        <v>132</v>
      </c>
      <c t="s" s="30" r="Z253">
        <v>42</v>
      </c>
      <c s="30" r="AA253">
        <v>0</v>
      </c>
      <c s="30" r="AB253">
        <v>0</v>
      </c>
      <c s="30" r="AC253">
        <v>0</v>
      </c>
      <c s="30" r="AD253">
        <v>0</v>
      </c>
      <c s="30" r="AE253"/>
      <c t="str" s="8" r="AF253">
        <f>(I253+J253)/R253</f>
        <v>#VALUE!:notNumber:NA</v>
      </c>
      <c t="str" s="28" r="AG253">
        <f>G253/$X253</f>
        <v>#DIV/0!:divZero</v>
      </c>
      <c t="str" s="28" r="AH253">
        <f>H253/$X253</f>
        <v>#DIV/0!:divZero</v>
      </c>
      <c t="str" s="28" r="AI253">
        <f>I253/$X253</f>
        <v>#DIV/0!:divZero</v>
      </c>
      <c t="str" s="28" r="AJ253">
        <f>J253/$X253</f>
        <v>#DIV/0!:divZero</v>
      </c>
      <c t="str" s="28" r="AK253">
        <f>K253/$X253</f>
        <v>#DIV/0!:divZero</v>
      </c>
      <c s="30" r="AL253">
        <v>1</v>
      </c>
    </row>
    <row r="254">
      <c s="30" r="A254">
        <v>253</v>
      </c>
      <c t="s" s="30" r="B254">
        <v>55</v>
      </c>
      <c s="62" r="C254">
        <v>41582</v>
      </c>
      <c s="52" r="D254">
        <v>0.395833333333333</v>
      </c>
      <c s="55" r="E254">
        <f>111*0.31</f>
        <v>34.41</v>
      </c>
      <c s="55" r="F254"/>
      <c t="s" s="55" r="G254">
        <v>39</v>
      </c>
      <c t="s" s="55" r="H254">
        <v>39</v>
      </c>
      <c t="s" s="55" r="I254">
        <v>39</v>
      </c>
      <c t="s" s="55" r="J254">
        <v>39</v>
      </c>
      <c t="s" s="55" r="K254">
        <v>39</v>
      </c>
      <c s="80" r="L254">
        <v>0</v>
      </c>
      <c s="79" r="M254">
        <v>0</v>
      </c>
      <c s="79" r="N254">
        <f>25.39-5.72</f>
        <v>19.67</v>
      </c>
      <c s="32" r="O254">
        <f>SUMIF(Sellables!$A$2:$A$11482, $A254, Sellables!$G$2:$G$11482)</f>
        <v>6.1776</v>
      </c>
      <c s="32" r="P254">
        <f>SUMIF(Skills!$A$2:$A$9999, A254, Skills!$F$2:$F$9999)</f>
        <v>0</v>
      </c>
      <c s="14" r="Q254">
        <f>(N254+O254)+P254</f>
        <v>25.8476</v>
      </c>
      <c s="23" r="R254">
        <f>(E254+L254)-M254</f>
        <v>34.41</v>
      </c>
      <c s="70" r="S254">
        <f>Q254-R254</f>
        <v>-8.5624</v>
      </c>
      <c s="29" r="T254">
        <f> (Q254/R254) - 1</f>
        <v>-0.248834641092706</v>
      </c>
      <c t="str" s="70" r="U254">
        <f>R254/X254</f>
        <v>#DIV/0!:divZero</v>
      </c>
      <c t="str" s="70" r="V254">
        <f>Q254/X254</f>
        <v>#DIV/0!:divZero</v>
      </c>
      <c t="s" s="30" r="W254">
        <v>133</v>
      </c>
      <c s="30" r="X254">
        <v>0</v>
      </c>
      <c t="s" s="30" r="Y254">
        <v>132</v>
      </c>
      <c t="s" s="30" r="Z254">
        <v>42</v>
      </c>
      <c s="30" r="AA254">
        <v>0</v>
      </c>
      <c s="30" r="AB254">
        <v>0</v>
      </c>
      <c s="30" r="AC254">
        <v>0</v>
      </c>
      <c s="30" r="AD254">
        <v>0</v>
      </c>
      <c s="30" r="AE254"/>
      <c t="str" s="8" r="AF254">
        <f>(I254+J254)/R254</f>
        <v>#VALUE!:notNumber:NA</v>
      </c>
      <c t="str" s="28" r="AG254">
        <f>G254/$X254</f>
        <v>#DIV/0!:divZero</v>
      </c>
      <c t="str" s="28" r="AH254">
        <f>H254/$X254</f>
        <v>#DIV/0!:divZero</v>
      </c>
      <c t="str" s="28" r="AI254">
        <f>I254/$X254</f>
        <v>#DIV/0!:divZero</v>
      </c>
      <c t="str" s="28" r="AJ254">
        <f>J254/$X254</f>
        <v>#DIV/0!:divZero</v>
      </c>
      <c t="str" s="28" r="AK254">
        <f>K254/$X254</f>
        <v>#DIV/0!:divZero</v>
      </c>
      <c s="30" r="AL254">
        <v>1</v>
      </c>
    </row>
    <row r="255">
      <c s="30" r="A255">
        <v>254</v>
      </c>
      <c t="s" s="30" r="B255">
        <v>55</v>
      </c>
      <c s="62" r="C255">
        <v>41582</v>
      </c>
      <c s="52" r="D255">
        <v>0.395833333333333</v>
      </c>
      <c s="55" r="E255">
        <f>7*6.89</f>
        <v>48.23</v>
      </c>
      <c s="55" r="F255"/>
      <c t="s" s="55" r="G255">
        <v>39</v>
      </c>
      <c t="s" s="55" r="H255">
        <v>39</v>
      </c>
      <c t="s" s="55" r="I255">
        <v>39</v>
      </c>
      <c t="s" s="55" r="J255">
        <v>39</v>
      </c>
      <c t="s" s="55" r="K255">
        <v>39</v>
      </c>
      <c s="80" r="L255">
        <v>0</v>
      </c>
      <c s="79" r="M255">
        <v>0</v>
      </c>
      <c s="79" r="N255">
        <f>((27.74-14.59)-1.75)-2.17</f>
        <v>9.23</v>
      </c>
      <c s="32" r="O255">
        <f>SUMIF(Sellables!$A$2:$A$11482, $A255, Sellables!$G$2:$G$11482)</f>
        <v>25.9036</v>
      </c>
      <c s="32" r="P255">
        <f>SUMIF(Skills!$A$2:$A$9999, A255, Skills!$F$2:$F$9999)</f>
        <v>0</v>
      </c>
      <c s="14" r="Q255">
        <f>(N255+O255)+P255</f>
        <v>35.1336</v>
      </c>
      <c s="23" r="R255">
        <f>(E255+L255)-M255</f>
        <v>48.23</v>
      </c>
      <c s="70" r="S255">
        <f>Q255-R255</f>
        <v>-13.0964</v>
      </c>
      <c s="29" r="T255">
        <f> (Q255/R255) - 1</f>
        <v>-0.271540534936761</v>
      </c>
      <c t="str" s="70" r="U255">
        <f>R255/X255</f>
        <v>#DIV/0!:divZero</v>
      </c>
      <c t="str" s="70" r="V255">
        <f>Q255/X255</f>
        <v>#DIV/0!:divZero</v>
      </c>
      <c t="s" s="10" r="W255">
        <v>138</v>
      </c>
      <c s="30" r="X255">
        <v>0</v>
      </c>
      <c t="s" s="30" r="Y255">
        <v>132</v>
      </c>
      <c t="s" s="30" r="Z255">
        <v>42</v>
      </c>
      <c s="30" r="AA255">
        <v>0</v>
      </c>
      <c s="30" r="AB255">
        <v>0</v>
      </c>
      <c s="30" r="AC255">
        <v>0</v>
      </c>
      <c s="30" r="AD255">
        <v>0</v>
      </c>
      <c s="30" r="AE255"/>
      <c t="str" s="8" r="AF255">
        <f>(I255+J255)/R255</f>
        <v>#VALUE!:notNumber:NA</v>
      </c>
      <c t="str" s="28" r="AG255">
        <f>G255/$X255</f>
        <v>#DIV/0!:divZero</v>
      </c>
      <c t="str" s="28" r="AH255">
        <f>H255/$X255</f>
        <v>#DIV/0!:divZero</v>
      </c>
      <c t="str" s="28" r="AI255">
        <f>I255/$X255</f>
        <v>#DIV/0!:divZero</v>
      </c>
      <c t="str" s="28" r="AJ255">
        <f>J255/$X255</f>
        <v>#DIV/0!:divZero</v>
      </c>
      <c t="str" s="28" r="AK255">
        <f>K255/$X255</f>
        <v>#DIV/0!:divZero</v>
      </c>
      <c s="30" r="AL255">
        <v>1</v>
      </c>
    </row>
    <row r="256">
      <c s="30" r="A256">
        <v>255</v>
      </c>
      <c t="s" s="30" r="B256">
        <v>55</v>
      </c>
      <c s="62" r="C256">
        <v>41582</v>
      </c>
      <c s="52" r="D256">
        <v>0.444444444444444</v>
      </c>
      <c s="55" r="E256">
        <f>699*1.9</f>
        <v>1328.1</v>
      </c>
      <c s="55" r="F256"/>
      <c t="s" s="55" r="G256">
        <v>39</v>
      </c>
      <c t="s" s="55" r="H256">
        <v>39</v>
      </c>
      <c t="s" s="55" r="I256">
        <v>39</v>
      </c>
      <c t="s" s="55" r="J256">
        <v>39</v>
      </c>
      <c t="s" s="55" r="K256">
        <v>39</v>
      </c>
      <c s="80" r="L256">
        <v>0</v>
      </c>
      <c s="79" r="M256">
        <v>0</v>
      </c>
      <c s="79" r="N256">
        <f>((971.63-496.14)-137.68)-91.60</f>
        <v>246.21</v>
      </c>
      <c s="32" r="O256">
        <f>SUMIF(Sellables!$A$2:$A$11482, $A256, Sellables!$G$2:$G$11482)</f>
        <v>927.2656</v>
      </c>
      <c s="32" r="P256">
        <f>SUMIF(Skills!$A$2:$A$9999, A256, Skills!$F$2:$F$9999)</f>
        <v>0</v>
      </c>
      <c s="14" r="Q256">
        <f>(N256+O256)+P256</f>
        <v>1173.4756</v>
      </c>
      <c s="23" r="R256">
        <f>(E256+L256)-M256</f>
        <v>1328.1</v>
      </c>
      <c s="70" r="S256">
        <f>Q256-R256</f>
        <v>-154.6244</v>
      </c>
      <c s="29" r="T256">
        <f> (Q256/R256) - 1</f>
        <v>-0.116425269181538</v>
      </c>
      <c t="str" s="70" r="U256">
        <f>R256/X256</f>
        <v>#DIV/0!:divZero</v>
      </c>
      <c t="str" s="70" r="V256">
        <f>Q256/X256</f>
        <v>#DIV/0!:divZero</v>
      </c>
      <c t="s" s="10" r="W256">
        <v>92</v>
      </c>
      <c s="30" r="X256">
        <v>0</v>
      </c>
      <c t="s" s="30" r="Y256">
        <v>182</v>
      </c>
      <c t="s" s="30" r="Z256">
        <v>42</v>
      </c>
      <c s="30" r="AA256">
        <v>0</v>
      </c>
      <c s="30" r="AB256">
        <v>0</v>
      </c>
      <c s="30" r="AC256">
        <v>0</v>
      </c>
      <c s="30" r="AD256">
        <v>0</v>
      </c>
      <c s="30" r="AE256"/>
      <c t="str" s="8" r="AF256">
        <f>(I256+J256)/R256</f>
        <v>#VALUE!:notNumber:NA</v>
      </c>
      <c t="str" s="28" r="AG256">
        <f>G256/$X256</f>
        <v>#DIV/0!:divZero</v>
      </c>
      <c t="str" s="28" r="AH256">
        <f>H256/$X256</f>
        <v>#DIV/0!:divZero</v>
      </c>
      <c t="str" s="28" r="AI256">
        <f>I256/$X256</f>
        <v>#DIV/0!:divZero</v>
      </c>
      <c t="str" s="28" r="AJ256">
        <f>J256/$X256</f>
        <v>#DIV/0!:divZero</v>
      </c>
      <c t="str" s="28" r="AK256">
        <f>K256/$X256</f>
        <v>#DIV/0!:divZero</v>
      </c>
      <c s="30" r="AL256">
        <v>1</v>
      </c>
    </row>
    <row r="257">
      <c s="30" r="A257">
        <v>256</v>
      </c>
      <c t="s" s="30" r="B257">
        <v>55</v>
      </c>
      <c s="62" r="C257">
        <v>41582</v>
      </c>
      <c s="52" r="D257">
        <v>0.444444444444444</v>
      </c>
      <c s="55" r="E257">
        <f>101*1.9</f>
        <v>191.9</v>
      </c>
      <c s="55" r="F257"/>
      <c t="s" s="55" r="G257">
        <v>39</v>
      </c>
      <c t="s" s="55" r="H257">
        <v>39</v>
      </c>
      <c t="s" s="55" r="I257">
        <v>39</v>
      </c>
      <c t="s" s="55" r="J257">
        <v>39</v>
      </c>
      <c t="s" s="55" r="K257">
        <v>39</v>
      </c>
      <c s="80" r="L257">
        <v>0</v>
      </c>
      <c s="79" r="M257">
        <v>0</v>
      </c>
      <c s="79" r="N257">
        <f>((122.35-64.77)-13.58)-10.80</f>
        <v>33.2</v>
      </c>
      <c s="32" r="O257">
        <f>SUMIF(Sellables!$A$2:$A$11482, $A257, Sellables!$G$2:$G$11482)</f>
        <v>121.338</v>
      </c>
      <c s="32" r="P257">
        <f>SUMIF(Skills!$A$2:$A$9999, A257, Skills!$F$2:$F$9999)</f>
        <v>0</v>
      </c>
      <c s="14" r="Q257">
        <f>(N257+O257)+P257</f>
        <v>154.538</v>
      </c>
      <c s="23" r="R257">
        <f>(E257+L257)-M257</f>
        <v>191.9</v>
      </c>
      <c s="70" r="S257">
        <f>Q257-R257</f>
        <v>-37.362</v>
      </c>
      <c s="29" r="T257">
        <f> (Q257/R257) - 1</f>
        <v>-0.194695153725899</v>
      </c>
      <c t="str" s="70" r="U257">
        <f>R257/X257</f>
        <v>#DIV/0!:divZero</v>
      </c>
      <c t="str" s="70" r="V257">
        <f>Q257/X257</f>
        <v>#DIV/0!:divZero</v>
      </c>
      <c t="s" s="10" r="W257">
        <v>204</v>
      </c>
      <c s="30" r="X257">
        <v>0</v>
      </c>
      <c t="s" s="30" r="Y257">
        <v>182</v>
      </c>
      <c t="s" s="30" r="Z257">
        <v>42</v>
      </c>
      <c s="30" r="AA257">
        <v>0</v>
      </c>
      <c s="30" r="AB257">
        <v>0</v>
      </c>
      <c s="30" r="AC257">
        <v>0</v>
      </c>
      <c s="30" r="AD257">
        <v>0</v>
      </c>
      <c s="30" r="AE257"/>
      <c t="str" s="8" r="AF257">
        <f>(I257+J257)/R257</f>
        <v>#VALUE!:notNumber:NA</v>
      </c>
      <c t="str" s="28" r="AG257">
        <f>G257/$X257</f>
        <v>#DIV/0!:divZero</v>
      </c>
      <c t="str" s="28" r="AH257">
        <f>H257/$X257</f>
        <v>#DIV/0!:divZero</v>
      </c>
      <c t="str" s="28" r="AI257">
        <f>I257/$X257</f>
        <v>#DIV/0!:divZero</v>
      </c>
      <c t="str" s="28" r="AJ257">
        <f>J257/$X257</f>
        <v>#DIV/0!:divZero</v>
      </c>
      <c t="str" s="28" r="AK257">
        <f>K257/$X257</f>
        <v>#DIV/0!:divZero</v>
      </c>
      <c s="30" r="AL257">
        <v>1</v>
      </c>
    </row>
    <row r="258">
      <c s="30" r="A258">
        <v>257</v>
      </c>
      <c t="s" s="30" r="B258">
        <v>55</v>
      </c>
      <c s="62" r="C258">
        <v>41582</v>
      </c>
      <c s="52" r="D258">
        <v>0.458333333333333</v>
      </c>
      <c s="55" r="E258">
        <f>142*2.35</f>
        <v>333.7</v>
      </c>
      <c s="55" r="F258"/>
      <c t="s" s="55" r="G258">
        <v>39</v>
      </c>
      <c t="s" s="55" r="H258">
        <v>39</v>
      </c>
      <c t="s" s="55" r="I258">
        <v>39</v>
      </c>
      <c t="s" s="55" r="J258">
        <v>39</v>
      </c>
      <c t="s" s="55" r="K258">
        <v>39</v>
      </c>
      <c s="80" r="L258">
        <v>0</v>
      </c>
      <c s="79" r="M258">
        <v>0</v>
      </c>
      <c s="79" r="N258">
        <f>(212.62-116.22)-33.60</f>
        <v>62.8</v>
      </c>
      <c s="32" r="O258">
        <f>SUMIF(Sellables!$A$2:$A$11482, $A258, Sellables!$G$2:$G$11482)</f>
        <v>237.4056</v>
      </c>
      <c s="32" r="P258">
        <f>SUMIF(Skills!$A$2:$A$9999, A258, Skills!$F$2:$F$9999)</f>
        <v>0</v>
      </c>
      <c s="14" r="Q258">
        <f>(N258+O258)+P258</f>
        <v>300.2056</v>
      </c>
      <c s="23" r="R258">
        <f>(E258+L258)-M258</f>
        <v>333.7</v>
      </c>
      <c s="70" r="S258">
        <f>Q258-R258</f>
        <v>-33.4944</v>
      </c>
      <c s="29" r="T258">
        <f> (Q258/R258) - 1</f>
        <v>-0.100372789931076</v>
      </c>
      <c t="str" s="70" r="U258">
        <f>R258/X258</f>
        <v>#DIV/0!:divZero</v>
      </c>
      <c t="str" s="70" r="V258">
        <f>Q258/X258</f>
        <v>#DIV/0!:divZero</v>
      </c>
      <c t="s" s="10" r="W258">
        <v>227</v>
      </c>
      <c s="30" r="X258">
        <v>0</v>
      </c>
      <c t="s" s="30" r="Y258">
        <v>182</v>
      </c>
      <c t="s" s="30" r="Z258">
        <v>42</v>
      </c>
      <c s="30" r="AA258">
        <v>0</v>
      </c>
      <c s="30" r="AB258">
        <v>0</v>
      </c>
      <c s="30" r="AC258">
        <v>0</v>
      </c>
      <c s="30" r="AD258">
        <v>0</v>
      </c>
      <c s="30" r="AE258"/>
      <c t="str" s="8" r="AF258">
        <f>(I258+J258)/R258</f>
        <v>#VALUE!:notNumber:NA</v>
      </c>
      <c t="str" s="28" r="AG258">
        <f>G258/$X258</f>
        <v>#DIV/0!:divZero</v>
      </c>
      <c t="str" s="28" r="AH258">
        <f>H258/$X258</f>
        <v>#DIV/0!:divZero</v>
      </c>
      <c t="str" s="28" r="AI258">
        <f>I258/$X258</f>
        <v>#DIV/0!:divZero</v>
      </c>
      <c t="str" s="28" r="AJ258">
        <f>J258/$X258</f>
        <v>#DIV/0!:divZero</v>
      </c>
      <c t="str" s="28" r="AK258">
        <f>K258/$X258</f>
        <v>#DIV/0!:divZero</v>
      </c>
      <c s="30" r="AL258">
        <v>1</v>
      </c>
    </row>
    <row r="259">
      <c s="30" r="A259">
        <v>258</v>
      </c>
      <c t="s" s="30" r="B259">
        <v>55</v>
      </c>
      <c s="62" r="C259">
        <v>41582</v>
      </c>
      <c s="52" r="D259">
        <v>0.46875</v>
      </c>
      <c s="55" r="E259">
        <f>14*1.9</f>
        <v>26.6</v>
      </c>
      <c s="55" r="F259"/>
      <c t="s" s="55" r="G259">
        <v>39</v>
      </c>
      <c t="s" s="55" r="H259">
        <v>39</v>
      </c>
      <c t="s" s="55" r="I259">
        <v>39</v>
      </c>
      <c t="s" s="55" r="J259">
        <v>39</v>
      </c>
      <c t="s" s="55" r="K259">
        <v>39</v>
      </c>
      <c s="80" r="L259">
        <v>0</v>
      </c>
      <c s="79" r="M259">
        <v>0</v>
      </c>
      <c s="79" r="N259">
        <f>((15.77-6.11)-2.16)-0.80</f>
        <v>6.7</v>
      </c>
      <c s="32" r="O259">
        <f>SUMIF(Sellables!$A$2:$A$11482, $A259, Sellables!$G$2:$G$11482)</f>
        <v>8.5188</v>
      </c>
      <c s="32" r="P259">
        <f>SUMIF(Skills!$A$2:$A$9999, A259, Skills!$F$2:$F$9999)</f>
        <v>0</v>
      </c>
      <c s="14" r="Q259">
        <f>(N259+O259)+P259</f>
        <v>15.2188</v>
      </c>
      <c s="23" r="R259">
        <f>(E259+L259)-M259</f>
        <v>26.6</v>
      </c>
      <c s="70" r="S259">
        <f>Q259-R259</f>
        <v>-11.3812</v>
      </c>
      <c s="29" r="T259">
        <f> (Q259/R259) - 1</f>
        <v>-0.427864661654135</v>
      </c>
      <c t="str" s="70" r="U259">
        <f>R259/X259</f>
        <v>#DIV/0!:divZero</v>
      </c>
      <c t="str" s="70" r="V259">
        <f>Q259/X259</f>
        <v>#DIV/0!:divZero</v>
      </c>
      <c t="s" s="10" r="W259">
        <v>150</v>
      </c>
      <c s="30" r="X259">
        <v>0</v>
      </c>
      <c t="s" s="30" r="Y259">
        <v>182</v>
      </c>
      <c t="s" s="30" r="Z259">
        <v>42</v>
      </c>
      <c s="30" r="AA259">
        <v>0</v>
      </c>
      <c s="30" r="AB259">
        <v>0</v>
      </c>
      <c s="30" r="AC259">
        <v>0</v>
      </c>
      <c s="30" r="AD259">
        <v>0</v>
      </c>
      <c s="30" r="AE259"/>
      <c t="str" s="8" r="AF259">
        <f>(I259+J259)/R259</f>
        <v>#VALUE!:notNumber:NA</v>
      </c>
      <c t="str" s="28" r="AG259">
        <f>G259/$X259</f>
        <v>#DIV/0!:divZero</v>
      </c>
      <c t="str" s="28" r="AH259">
        <f>H259/$X259</f>
        <v>#DIV/0!:divZero</v>
      </c>
      <c t="str" s="28" r="AI259">
        <f>I259/$X259</f>
        <v>#DIV/0!:divZero</v>
      </c>
      <c t="str" s="28" r="AJ259">
        <f>J259/$X259</f>
        <v>#DIV/0!:divZero</v>
      </c>
      <c t="str" s="28" r="AK259">
        <f>K259/$X259</f>
        <v>#DIV/0!:divZero</v>
      </c>
      <c s="30" r="AL259">
        <v>1</v>
      </c>
    </row>
    <row r="260">
      <c s="30" r="A260">
        <v>259</v>
      </c>
      <c t="s" s="30" r="B260">
        <v>55</v>
      </c>
      <c s="62" r="C260">
        <v>41582</v>
      </c>
      <c s="52" r="D260">
        <v>0.520833333333333</v>
      </c>
      <c s="55" r="E260">
        <f>324*0.21</f>
        <v>68.04</v>
      </c>
      <c s="55" r="F260"/>
      <c t="s" s="55" r="G260">
        <v>39</v>
      </c>
      <c t="s" s="55" r="H260">
        <v>39</v>
      </c>
      <c t="s" s="55" r="I260">
        <v>39</v>
      </c>
      <c t="s" s="55" r="J260">
        <v>39</v>
      </c>
      <c t="s" s="55" r="K260">
        <v>39</v>
      </c>
      <c s="80" r="L260">
        <v>0</v>
      </c>
      <c s="79" r="M260">
        <v>0</v>
      </c>
      <c s="79" r="N260">
        <f>((49.75-6.10)-6.48)-24</f>
        <v>13.17</v>
      </c>
      <c s="32" r="O260">
        <f>SUMIF(Sellables!$A$2:$A$11482, $A260, Sellables!$G$2:$G$11482)</f>
        <v>40.0394</v>
      </c>
      <c s="32" r="P260">
        <f>SUMIF(Skills!$A$2:$A$9999, A260, Skills!$F$2:$F$9999)</f>
        <v>0</v>
      </c>
      <c s="14" r="Q260">
        <f>(N260+O260)+P260</f>
        <v>53.2094</v>
      </c>
      <c s="23" r="R260">
        <f>(E260+L260)-M260</f>
        <v>68.04</v>
      </c>
      <c s="70" r="S260">
        <f>Q260-R260</f>
        <v>-14.8306</v>
      </c>
      <c s="29" r="T260">
        <f> (Q260/R260) - 1</f>
        <v>-0.217968841857731</v>
      </c>
      <c t="str" s="70" r="U260">
        <f>R260/X260</f>
        <v>#DIV/0!:divZero</v>
      </c>
      <c t="str" s="70" r="V260">
        <f>Q260/X260</f>
        <v>#DIV/0!:divZero</v>
      </c>
      <c t="s" s="10" r="W260">
        <v>103</v>
      </c>
      <c s="30" r="X260">
        <v>0</v>
      </c>
      <c t="s" s="30" r="Y260">
        <v>104</v>
      </c>
      <c t="s" s="30" r="Z260">
        <v>42</v>
      </c>
      <c s="30" r="AA260">
        <v>0</v>
      </c>
      <c s="30" r="AB260">
        <v>0</v>
      </c>
      <c s="30" r="AC260">
        <v>0</v>
      </c>
      <c s="30" r="AD260">
        <v>0</v>
      </c>
      <c s="30" r="AE260"/>
      <c t="str" s="8" r="AF260">
        <f>(I260+J260)/R260</f>
        <v>#VALUE!:notNumber:NA</v>
      </c>
      <c t="str" s="28" r="AG260">
        <f>G260/$X260</f>
        <v>#DIV/0!:divZero</v>
      </c>
      <c t="str" s="28" r="AH260">
        <f>H260/$X260</f>
        <v>#DIV/0!:divZero</v>
      </c>
      <c t="str" s="28" r="AI260">
        <f>I260/$X260</f>
        <v>#DIV/0!:divZero</v>
      </c>
      <c t="str" s="28" r="AJ260">
        <f>J260/$X260</f>
        <v>#DIV/0!:divZero</v>
      </c>
      <c t="str" s="28" r="AK260">
        <f>K260/$X260</f>
        <v>#DIV/0!:divZero</v>
      </c>
      <c s="30" r="AL260">
        <v>1</v>
      </c>
    </row>
    <row r="261">
      <c s="30" r="A261">
        <v>260</v>
      </c>
      <c t="s" s="30" r="B261">
        <v>38</v>
      </c>
      <c s="62" r="C261">
        <v>41582</v>
      </c>
      <c s="52" r="D261">
        <v>0.645833333333333</v>
      </c>
      <c s="55" r="E261">
        <v>325</v>
      </c>
      <c s="55" r="F261"/>
      <c t="s" s="55" r="G261">
        <v>39</v>
      </c>
      <c t="s" s="55" r="H261">
        <v>39</v>
      </c>
      <c t="s" s="55" r="I261">
        <v>39</v>
      </c>
      <c t="s" s="55" r="J261">
        <v>39</v>
      </c>
      <c t="s" s="55" r="K261">
        <v>39</v>
      </c>
      <c s="80" r="L261">
        <v>37.17</v>
      </c>
      <c s="79" r="M261">
        <v>227.84</v>
      </c>
      <c s="79" r="N261">
        <v>64.57</v>
      </c>
      <c s="32" r="O261">
        <f>SUMIF(Sellables!$A$2:$A$11482, $A261, Sellables!$G$2:$G$11482)</f>
        <v>0</v>
      </c>
      <c s="32" r="P261">
        <f>SUMIF(Skills!$A$2:$A$9999, A261, Skills!$F$2:$F$9999)</f>
        <v>0</v>
      </c>
      <c s="14" r="Q261">
        <f>(N261+O261)+P261</f>
        <v>64.57</v>
      </c>
      <c s="14" r="R261">
        <f>(E261+L261)-M261</f>
        <v>134.33</v>
      </c>
      <c s="70" r="S261">
        <f>Q261-R261</f>
        <v>-69.76</v>
      </c>
      <c s="29" r="T261">
        <f> (Q261/R261) - 1</f>
        <v>-0.519318097223256</v>
      </c>
      <c s="70" r="U261">
        <f>R261/X261</f>
        <v>4.7975</v>
      </c>
      <c s="70" r="V261">
        <f>Q261/X261</f>
        <v>2.30607142857143</v>
      </c>
      <c t="s" s="30" r="W261">
        <v>85</v>
      </c>
      <c s="30" r="X261">
        <v>28</v>
      </c>
      <c t="s" s="30" r="Y261">
        <v>228</v>
      </c>
      <c t="s" s="30" r="Z261">
        <v>65</v>
      </c>
      <c s="30" r="AA261">
        <v>0</v>
      </c>
      <c s="30" r="AB261">
        <v>0</v>
      </c>
      <c s="30" r="AC261">
        <v>0</v>
      </c>
      <c s="30" r="AD261">
        <v>0</v>
      </c>
      <c s="30" r="AE261"/>
      <c t="str" s="8" r="AF261">
        <f>(I261+J261)/R261</f>
        <v>#VALUE!:notNumber:NA</v>
      </c>
      <c t="str" s="28" r="AG261">
        <f>G261/$X261</f>
        <v>#VALUE!:notNumber:NA</v>
      </c>
      <c t="str" s="28" r="AH261">
        <f>H261/$X261</f>
        <v>#VALUE!:notNumber:NA</v>
      </c>
      <c t="str" s="28" r="AI261">
        <f>I261/$X261</f>
        <v>#VALUE!:notNumber:NA</v>
      </c>
      <c t="str" s="28" r="AJ261">
        <f>J261/$X261</f>
        <v>#VALUE!:notNumber:NA</v>
      </c>
      <c t="str" s="28" r="AK261">
        <f>K261/$X261</f>
        <v>#VALUE!:notNumber:NA</v>
      </c>
      <c s="30" r="AL261">
        <v>1</v>
      </c>
    </row>
    <row r="262">
      <c s="30" r="A262">
        <v>261</v>
      </c>
      <c t="s" s="30" r="B262">
        <v>38</v>
      </c>
      <c s="62" r="C262">
        <v>41582</v>
      </c>
      <c s="52" r="D262">
        <v>0.666666666666667</v>
      </c>
      <c s="55" r="E262">
        <v>500</v>
      </c>
      <c s="55" r="F262"/>
      <c t="s" s="55" r="G262">
        <v>39</v>
      </c>
      <c t="s" s="55" r="H262">
        <v>39</v>
      </c>
      <c t="s" s="55" r="I262">
        <v>39</v>
      </c>
      <c t="s" s="55" r="J262">
        <v>39</v>
      </c>
      <c t="s" s="55" r="K262">
        <v>39</v>
      </c>
      <c s="80" r="L262">
        <v>76.23</v>
      </c>
      <c s="79" r="M262">
        <v>290.18</v>
      </c>
      <c s="79" r="N262">
        <v>307.12</v>
      </c>
      <c s="32" r="O262">
        <f>SUMIF(Sellables!$A$2:$A$11482, $A262, Sellables!$G$2:$G$11482)</f>
        <v>33.69</v>
      </c>
      <c s="32" r="P262">
        <f>SUMIF(Skills!$A$2:$A$9999, A262, Skills!$F$2:$F$9999)</f>
        <v>0</v>
      </c>
      <c s="14" r="Q262">
        <f>(N262+O262)+P262</f>
        <v>340.81</v>
      </c>
      <c s="14" r="R262">
        <f>(E262+L262)-M262</f>
        <v>286.05</v>
      </c>
      <c s="70" r="S262">
        <f>Q262-R262</f>
        <v>54.76</v>
      </c>
      <c s="29" r="T262">
        <f> (Q262/R262) - 1</f>
        <v>0.191435063800035</v>
      </c>
      <c s="70" r="U262">
        <f>R262/X262</f>
        <v>7.15125</v>
      </c>
      <c s="70" r="V262">
        <f>Q262/X262</f>
        <v>8.52025</v>
      </c>
      <c t="s" s="30" r="W262">
        <v>229</v>
      </c>
      <c s="30" r="X262">
        <v>40</v>
      </c>
      <c t="s" s="30" r="Y262">
        <v>230</v>
      </c>
      <c t="s" s="30" r="Z262">
        <v>65</v>
      </c>
      <c s="30" r="AA262">
        <v>0</v>
      </c>
      <c s="30" r="AB262">
        <v>0</v>
      </c>
      <c s="30" r="AC262">
        <v>1</v>
      </c>
      <c s="30" r="AD262">
        <v>0</v>
      </c>
      <c s="30" r="AE262"/>
      <c t="str" s="8" r="AF262">
        <f>(I262+J262)/R262</f>
        <v>#VALUE!:notNumber:NA</v>
      </c>
      <c t="str" s="28" r="AG262">
        <f>G262/$X262</f>
        <v>#VALUE!:notNumber:NA</v>
      </c>
      <c t="str" s="28" r="AH262">
        <f>H262/$X262</f>
        <v>#VALUE!:notNumber:NA</v>
      </c>
      <c t="str" s="28" r="AI262">
        <f>I262/$X262</f>
        <v>#VALUE!:notNumber:NA</v>
      </c>
      <c t="str" s="28" r="AJ262">
        <f>J262/$X262</f>
        <v>#VALUE!:notNumber:NA</v>
      </c>
      <c t="str" s="28" r="AK262">
        <f>K262/$X262</f>
        <v>#VALUE!:notNumber:NA</v>
      </c>
      <c s="30" r="AL262">
        <v>1</v>
      </c>
    </row>
    <row r="263">
      <c s="30" r="A263">
        <v>262</v>
      </c>
      <c t="s" s="30" r="B263">
        <v>38</v>
      </c>
      <c s="62" r="C263">
        <v>41582</v>
      </c>
      <c s="52" r="D263">
        <v>0.697916666666667</v>
      </c>
      <c s="55" r="E263">
        <v>300</v>
      </c>
      <c s="55" r="F263"/>
      <c t="s" s="55" r="G263">
        <v>39</v>
      </c>
      <c t="s" s="55" r="H263">
        <v>39</v>
      </c>
      <c t="s" s="55" r="I263">
        <v>39</v>
      </c>
      <c t="s" s="55" r="J263">
        <v>39</v>
      </c>
      <c t="s" s="55" r="K263">
        <v>39</v>
      </c>
      <c s="80" r="L263">
        <v>33.75</v>
      </c>
      <c s="79" r="M263">
        <v>198.75</v>
      </c>
      <c s="79" r="N263">
        <v>83.58</v>
      </c>
      <c s="32" r="O263">
        <f>SUMIF(Sellables!$A$2:$A$11482, $A263, Sellables!$G$2:$G$11482)</f>
        <v>1</v>
      </c>
      <c s="32" r="P263">
        <f>SUMIF(Skills!$A$2:$A$9999, A263, Skills!$F$2:$F$9999)</f>
        <v>0</v>
      </c>
      <c s="14" r="Q263">
        <f>(N263+O263)+P263</f>
        <v>84.58</v>
      </c>
      <c s="14" r="R263">
        <f>(E263+L263)-M263</f>
        <v>135</v>
      </c>
      <c s="70" r="S263">
        <f>Q263-R263</f>
        <v>-50.42</v>
      </c>
      <c s="29" r="T263">
        <f> (Q263/R263) - 1</f>
        <v>-0.373481481481482</v>
      </c>
      <c s="70" r="U263">
        <f>R263/X263</f>
        <v>1.92857142857143</v>
      </c>
      <c s="70" r="V263">
        <f>Q263/X263</f>
        <v>1.20828571428571</v>
      </c>
      <c t="s" s="30" r="W263">
        <v>231</v>
      </c>
      <c s="30" r="X263">
        <v>70</v>
      </c>
      <c t="s" s="30" r="Y263">
        <v>232</v>
      </c>
      <c t="s" s="30" r="Z263">
        <v>65</v>
      </c>
      <c s="30" r="AA263">
        <v>0</v>
      </c>
      <c s="30" r="AB263">
        <v>0</v>
      </c>
      <c s="30" r="AC263">
        <v>0</v>
      </c>
      <c s="30" r="AD263">
        <v>0</v>
      </c>
      <c s="30" r="AE263"/>
      <c t="str" s="8" r="AF263">
        <f>(I263+J263)/R263</f>
        <v>#VALUE!:notNumber:NA</v>
      </c>
      <c t="str" s="28" r="AG263">
        <f>G263/$X263</f>
        <v>#VALUE!:notNumber:NA</v>
      </c>
      <c t="str" s="28" r="AH263">
        <f>H263/$X263</f>
        <v>#VALUE!:notNumber:NA</v>
      </c>
      <c t="str" s="28" r="AI263">
        <f>I263/$X263</f>
        <v>#VALUE!:notNumber:NA</v>
      </c>
      <c t="str" s="28" r="AJ263">
        <f>J263/$X263</f>
        <v>#VALUE!:notNumber:NA</v>
      </c>
      <c t="str" s="28" r="AK263">
        <f>K263/$X263</f>
        <v>#VALUE!:notNumber:NA</v>
      </c>
      <c s="30" r="AL263">
        <v>1</v>
      </c>
    </row>
    <row r="264">
      <c s="30" r="A264">
        <v>263</v>
      </c>
      <c t="s" s="30" r="B264">
        <v>38</v>
      </c>
      <c s="62" r="C264">
        <v>41582</v>
      </c>
      <c s="52" r="D264">
        <v>0.916666666666667</v>
      </c>
      <c s="55" r="E264">
        <v>1000</v>
      </c>
      <c s="55" r="F264"/>
      <c t="s" s="55" r="G264">
        <v>39</v>
      </c>
      <c t="s" s="55" r="H264">
        <v>39</v>
      </c>
      <c t="s" s="55" r="I264">
        <v>39</v>
      </c>
      <c t="s" s="55" r="J264">
        <v>39</v>
      </c>
      <c t="s" s="55" r="K264">
        <v>39</v>
      </c>
      <c s="80" r="L264">
        <f>142.02+35.36</f>
        <v>177.38</v>
      </c>
      <c s="79" r="M264">
        <f>109.97+399.08</f>
        <v>509.05</v>
      </c>
      <c s="79" r="N264">
        <f>(12.22+4.79)+318.17</f>
        <v>335.18</v>
      </c>
      <c s="32" r="O264">
        <f>SUMIF(Sellables!$A$2:$A$11482, $A264, Sellables!$G$2:$G$11482)</f>
        <v>0</v>
      </c>
      <c s="32" r="P264">
        <f>SUMIF(Skills!$A$2:$A$9999, A264, Skills!$F$2:$F$9999)</f>
        <v>21.530124</v>
      </c>
      <c s="14" r="Q264">
        <f>(N264+O264)+P264</f>
        <v>356.710124</v>
      </c>
      <c s="14" r="R264">
        <f>(E264+L264)-M264</f>
        <v>668.33</v>
      </c>
      <c s="70" r="S264">
        <f>Q264-R264</f>
        <v>-311.619876</v>
      </c>
      <c s="29" r="T264">
        <f> (Q264/R264) - 1</f>
        <v>-0.466266479134559</v>
      </c>
      <c s="70" r="U264">
        <f>R264/X264</f>
        <v>8.91106666666667</v>
      </c>
      <c s="70" r="V264">
        <f>Q264/X264</f>
        <v>4.75613498666667</v>
      </c>
      <c t="s" s="30" r="W264">
        <v>233</v>
      </c>
      <c s="30" r="X264">
        <v>75</v>
      </c>
      <c t="s" s="30" r="Y264">
        <v>230</v>
      </c>
      <c t="s" s="30" r="Z264">
        <v>65</v>
      </c>
      <c s="30" r="AA264">
        <v>0</v>
      </c>
      <c s="30" r="AB264">
        <v>0</v>
      </c>
      <c s="30" r="AC264">
        <v>0</v>
      </c>
      <c s="30" r="AD264">
        <v>0</v>
      </c>
      <c s="30" r="AE264"/>
      <c t="str" s="8" r="AF264">
        <f>(I264+J264)/R264</f>
        <v>#VALUE!:notNumber:NA</v>
      </c>
      <c t="str" s="28" r="AG264">
        <f>G264/$X264</f>
        <v>#VALUE!:notNumber:NA</v>
      </c>
      <c t="str" s="28" r="AH264">
        <f>H264/$X264</f>
        <v>#VALUE!:notNumber:NA</v>
      </c>
      <c t="str" s="28" r="AI264">
        <f>I264/$X264</f>
        <v>#VALUE!:notNumber:NA</v>
      </c>
      <c t="str" s="28" r="AJ264">
        <f>J264/$X264</f>
        <v>#VALUE!:notNumber:NA</v>
      </c>
      <c t="str" s="28" r="AK264">
        <f>K264/$X264</f>
        <v>#VALUE!:notNumber:NA</v>
      </c>
      <c s="30" r="AL264">
        <v>1</v>
      </c>
    </row>
    <row r="265">
      <c s="30" r="A265">
        <v>264</v>
      </c>
      <c t="s" s="30" r="B265">
        <v>38</v>
      </c>
      <c s="62" r="C265">
        <v>41582</v>
      </c>
      <c s="52" r="D265">
        <v>0.958333333333333</v>
      </c>
      <c s="55" r="E265">
        <v>400</v>
      </c>
      <c s="55" r="F265"/>
      <c t="s" s="55" r="G265">
        <v>39</v>
      </c>
      <c t="s" s="55" r="H265">
        <v>39</v>
      </c>
      <c t="s" s="55" r="I265">
        <v>39</v>
      </c>
      <c t="s" s="55" r="J265">
        <v>39</v>
      </c>
      <c t="s" s="55" r="K265">
        <v>39</v>
      </c>
      <c s="80" r="L265">
        <v>64.87</v>
      </c>
      <c s="79" r="M265">
        <v>215.51</v>
      </c>
      <c s="79" r="N265">
        <v>155.86</v>
      </c>
      <c s="32" r="O265">
        <f>SUMIF(Sellables!$A$2:$A$11482, $A265, Sellables!$G$2:$G$11482)</f>
        <v>2.16</v>
      </c>
      <c s="32" r="P265">
        <f>SUMIF(Skills!$A$2:$A$9999, A265, Skills!$F$2:$F$9999)</f>
        <v>13.32097</v>
      </c>
      <c s="14" r="Q265">
        <f>(N265+O265)+P265</f>
        <v>171.34097</v>
      </c>
      <c s="14" r="R265">
        <f>(E265+L265)-M265</f>
        <v>249.36</v>
      </c>
      <c s="70" r="S265">
        <f>Q265-R265</f>
        <v>-78.01903</v>
      </c>
      <c s="29" r="T265">
        <f> (Q265/R265) - 1</f>
        <v>-0.312877085338466</v>
      </c>
      <c s="70" r="U265">
        <f>R265/X265</f>
        <v>7.12457142857143</v>
      </c>
      <c s="70" r="V265">
        <f>Q265/X265</f>
        <v>4.89545628571429</v>
      </c>
      <c t="s" s="30" r="W265">
        <v>229</v>
      </c>
      <c s="30" r="X265">
        <v>35</v>
      </c>
      <c t="s" s="30" r="Y265">
        <v>230</v>
      </c>
      <c t="s" s="30" r="Z265">
        <v>65</v>
      </c>
      <c s="30" r="AA265">
        <v>0</v>
      </c>
      <c s="30" r="AB265">
        <v>0</v>
      </c>
      <c s="30" r="AC265">
        <v>0</v>
      </c>
      <c s="30" r="AD265">
        <v>0</v>
      </c>
      <c s="30" r="AE265"/>
      <c t="str" s="8" r="AF265">
        <f>(I265+J265)/R265</f>
        <v>#VALUE!:notNumber:NA</v>
      </c>
      <c t="str" s="28" r="AG265">
        <f>G265/$X265</f>
        <v>#VALUE!:notNumber:NA</v>
      </c>
      <c t="str" s="28" r="AH265">
        <f>H265/$X265</f>
        <v>#VALUE!:notNumber:NA</v>
      </c>
      <c t="str" s="28" r="AI265">
        <f>I265/$X265</f>
        <v>#VALUE!:notNumber:NA</v>
      </c>
      <c t="str" s="28" r="AJ265">
        <f>J265/$X265</f>
        <v>#VALUE!:notNumber:NA</v>
      </c>
      <c t="str" s="28" r="AK265">
        <f>K265/$X265</f>
        <v>#VALUE!:notNumber:NA</v>
      </c>
      <c s="30" r="AL265">
        <v>1</v>
      </c>
    </row>
    <row r="266">
      <c s="30" r="A266">
        <v>265</v>
      </c>
      <c t="s" s="30" r="B266">
        <v>38</v>
      </c>
      <c s="62" r="C266">
        <v>41582</v>
      </c>
      <c s="52" r="D266">
        <v>0.979166666666667</v>
      </c>
      <c s="55" r="E266">
        <v>300</v>
      </c>
      <c s="55" r="F266"/>
      <c t="s" s="55" r="G266">
        <v>39</v>
      </c>
      <c t="s" s="55" r="H266">
        <v>39</v>
      </c>
      <c t="s" s="55" r="I266">
        <v>39</v>
      </c>
      <c t="s" s="55" r="J266">
        <v>39</v>
      </c>
      <c t="s" s="55" r="K266">
        <v>39</v>
      </c>
      <c s="80" r="L266">
        <v>45.45</v>
      </c>
      <c s="79" r="M266">
        <v>207.13</v>
      </c>
      <c s="79" r="N266">
        <f>7.56+43.32</f>
        <v>50.88</v>
      </c>
      <c s="32" r="O266">
        <f>SUMIF(Sellables!$A$2:$A$11482, $A266, Sellables!$G$2:$G$11482)</f>
        <v>9.96</v>
      </c>
      <c s="32" r="P266">
        <f>SUMIF(Skills!$A$2:$A$9999, A266, Skills!$F$2:$F$9999)</f>
        <v>0</v>
      </c>
      <c s="14" r="Q266">
        <f>(N266+O266)+P266</f>
        <v>60.84</v>
      </c>
      <c s="14" r="R266">
        <f>(E266+L266)-M266</f>
        <v>138.32</v>
      </c>
      <c s="70" r="S266">
        <f>Q266-R266</f>
        <v>-77.48</v>
      </c>
      <c s="29" r="T266">
        <f> (Q266/R266) - 1</f>
        <v>-0.56015037593985</v>
      </c>
      <c s="70" r="U266">
        <f>R266/X266</f>
        <v>13.832</v>
      </c>
      <c s="70" r="V266">
        <f>Q266/X266</f>
        <v>6.084</v>
      </c>
      <c t="s" s="30" r="W266">
        <v>81</v>
      </c>
      <c s="30" r="X266">
        <v>10</v>
      </c>
      <c t="s" s="30" r="Y266">
        <v>82</v>
      </c>
      <c t="s" s="30" r="Z266">
        <v>65</v>
      </c>
      <c s="30" r="AA266">
        <v>0</v>
      </c>
      <c s="30" r="AB266">
        <v>0</v>
      </c>
      <c s="30" r="AC266">
        <v>0</v>
      </c>
      <c s="30" r="AD266">
        <v>0</v>
      </c>
      <c s="30" r="AE266"/>
      <c t="str" s="8" r="AF266">
        <f>(I266+J266)/R266</f>
        <v>#VALUE!:notNumber:NA</v>
      </c>
      <c t="str" s="28" r="AG266">
        <f>G266/$X266</f>
        <v>#VALUE!:notNumber:NA</v>
      </c>
      <c t="str" s="28" r="AH266">
        <f>H266/$X266</f>
        <v>#VALUE!:notNumber:NA</v>
      </c>
      <c t="str" s="28" r="AI266">
        <f>I266/$X266</f>
        <v>#VALUE!:notNumber:NA</v>
      </c>
      <c t="str" s="28" r="AJ266">
        <f>J266/$X266</f>
        <v>#VALUE!:notNumber:NA</v>
      </c>
      <c t="str" s="28" r="AK266">
        <f>K266/$X266</f>
        <v>#VALUE!:notNumber:NA</v>
      </c>
      <c s="30" r="AL266">
        <v>1</v>
      </c>
    </row>
    <row r="267">
      <c s="30" r="A267">
        <v>266</v>
      </c>
      <c t="s" s="30" r="B267">
        <v>38</v>
      </c>
      <c s="62" r="C267">
        <v>41583</v>
      </c>
      <c s="52" r="D267">
        <v>0.71875</v>
      </c>
      <c s="55" r="E267">
        <v>300</v>
      </c>
      <c s="55" r="F267"/>
      <c t="s" s="55" r="G267">
        <v>39</v>
      </c>
      <c t="s" s="55" r="H267">
        <v>39</v>
      </c>
      <c t="s" s="55" r="I267">
        <v>39</v>
      </c>
      <c t="s" s="55" r="J267">
        <v>39</v>
      </c>
      <c t="s" s="55" r="K267">
        <v>39</v>
      </c>
      <c s="80" r="L267">
        <v>75.62</v>
      </c>
      <c s="79" r="M267">
        <v>121.58</v>
      </c>
      <c s="79" r="N267">
        <f>145.86+5.78</f>
        <v>151.64</v>
      </c>
      <c s="32" r="O267">
        <f>SUMIF(Sellables!$A$2:$A$11482, $A267, Sellables!$G$2:$G$11482)</f>
        <v>177.868</v>
      </c>
      <c s="32" r="P267">
        <f>SUMIF(Skills!$A$2:$A$9999, A267, Skills!$F$2:$F$9999)</f>
        <v>0</v>
      </c>
      <c s="14" r="Q267">
        <f>(N267+O267)+P267</f>
        <v>329.508</v>
      </c>
      <c s="14" r="R267">
        <f>(E267+L267)-M267</f>
        <v>254.04</v>
      </c>
      <c s="70" r="S267">
        <f>Q267-R267</f>
        <v>75.468</v>
      </c>
      <c s="29" r="T267">
        <f> (Q267/R267) - 1</f>
        <v>0.297071327350024</v>
      </c>
      <c s="70" r="U267">
        <f>R267/X267</f>
        <v>4.53642857142857</v>
      </c>
      <c s="70" r="V267">
        <f>Q267/X267</f>
        <v>5.88407142857143</v>
      </c>
      <c t="s" s="30" r="W267">
        <v>85</v>
      </c>
      <c s="30" r="X267">
        <v>56</v>
      </c>
      <c t="s" s="30" r="Y267">
        <v>228</v>
      </c>
      <c t="s" s="30" r="Z267">
        <v>65</v>
      </c>
      <c s="30" r="AA267">
        <v>0</v>
      </c>
      <c s="30" r="AB267">
        <v>0</v>
      </c>
      <c s="30" r="AC267">
        <v>1</v>
      </c>
      <c s="30" r="AD267">
        <v>0</v>
      </c>
      <c s="30" r="AE267"/>
      <c t="str" s="8" r="AF267">
        <f>(I267+J267)/R267</f>
        <v>#VALUE!:notNumber:NA</v>
      </c>
      <c t="str" s="28" r="AG267">
        <f>G267/$X267</f>
        <v>#VALUE!:notNumber:NA</v>
      </c>
      <c t="str" s="28" r="AH267">
        <f>H267/$X267</f>
        <v>#VALUE!:notNumber:NA</v>
      </c>
      <c t="str" s="28" r="AI267">
        <f>I267/$X267</f>
        <v>#VALUE!:notNumber:NA</v>
      </c>
      <c t="str" s="28" r="AJ267">
        <f>J267/$X267</f>
        <v>#VALUE!:notNumber:NA</v>
      </c>
      <c t="str" s="28" r="AK267">
        <f>K267/$X267</f>
        <v>#VALUE!:notNumber:NA</v>
      </c>
      <c s="30" r="AL267">
        <v>1</v>
      </c>
    </row>
    <row r="268">
      <c s="30" r="A268">
        <v>267</v>
      </c>
      <c t="s" s="30" r="B268">
        <v>38</v>
      </c>
      <c s="62" r="C268">
        <v>41583</v>
      </c>
      <c s="52" r="D268">
        <v>0.760416666666667</v>
      </c>
      <c s="55" r="E268">
        <v>500</v>
      </c>
      <c s="55" r="F268"/>
      <c t="s" s="55" r="G268">
        <v>39</v>
      </c>
      <c t="s" s="55" r="H268">
        <v>39</v>
      </c>
      <c t="s" s="55" r="I268">
        <v>39</v>
      </c>
      <c t="s" s="55" r="J268">
        <v>39</v>
      </c>
      <c t="s" s="55" r="K268">
        <v>39</v>
      </c>
      <c s="80" r="L268">
        <v>52.47</v>
      </c>
      <c s="79" r="M268">
        <v>374.71</v>
      </c>
      <c s="79" r="N268">
        <v>299.87</v>
      </c>
      <c s="32" r="O268">
        <f>SUMIF(Sellables!$A$2:$A$11482, $A268, Sellables!$G$2:$G$11482)</f>
        <v>0</v>
      </c>
      <c s="32" r="P268">
        <f>SUMIF(Skills!$A$2:$A$9999, A268, Skills!$F$2:$F$9999)</f>
        <v>0</v>
      </c>
      <c s="14" r="Q268">
        <f>(N268+O268)+P268</f>
        <v>299.87</v>
      </c>
      <c s="14" r="R268">
        <f>(E268+L268)-M268</f>
        <v>177.76</v>
      </c>
      <c s="70" r="S268">
        <f>Q268-R268</f>
        <v>122.11</v>
      </c>
      <c s="29" r="T268">
        <f> (Q268/R268) - 1</f>
        <v>0.686937443744374</v>
      </c>
      <c s="70" r="U268">
        <f>R268/X268</f>
        <v>8.888</v>
      </c>
      <c s="70" r="V268">
        <f>Q268/X268</f>
        <v>14.9935</v>
      </c>
      <c t="s" s="30" r="W268">
        <v>233</v>
      </c>
      <c s="30" r="X268">
        <v>20</v>
      </c>
      <c t="s" s="30" r="Y268">
        <v>230</v>
      </c>
      <c t="s" s="30" r="Z268">
        <v>65</v>
      </c>
      <c s="30" r="AA268">
        <v>0</v>
      </c>
      <c s="30" r="AB268">
        <v>0</v>
      </c>
      <c s="30" r="AC268">
        <v>2</v>
      </c>
      <c s="30" r="AD268">
        <v>0</v>
      </c>
      <c s="30" r="AE268"/>
      <c t="str" s="8" r="AF268">
        <f>(I268+J268)/R268</f>
        <v>#VALUE!:notNumber:NA</v>
      </c>
      <c t="str" s="28" r="AG268">
        <f>G268/$X268</f>
        <v>#VALUE!:notNumber:NA</v>
      </c>
      <c t="str" s="28" r="AH268">
        <f>H268/$X268</f>
        <v>#VALUE!:notNumber:NA</v>
      </c>
      <c t="str" s="28" r="AI268">
        <f>I268/$X268</f>
        <v>#VALUE!:notNumber:NA</v>
      </c>
      <c t="str" s="28" r="AJ268">
        <f>J268/$X268</f>
        <v>#VALUE!:notNumber:NA</v>
      </c>
      <c t="str" s="28" r="AK268">
        <f>K268/$X268</f>
        <v>#VALUE!:notNumber:NA</v>
      </c>
      <c s="30" r="AL268">
        <v>1</v>
      </c>
    </row>
    <row r="269">
      <c s="30" r="A269">
        <v>268</v>
      </c>
      <c t="s" s="30" r="B269">
        <v>38</v>
      </c>
      <c s="62" r="C269">
        <v>41583</v>
      </c>
      <c s="52" r="D269">
        <v>0.802083333333333</v>
      </c>
      <c s="55" r="E269">
        <v>750</v>
      </c>
      <c s="55" r="F269"/>
      <c t="s" s="55" r="G269">
        <v>39</v>
      </c>
      <c t="s" s="55" r="H269">
        <v>39</v>
      </c>
      <c t="s" s="55" r="I269">
        <v>39</v>
      </c>
      <c t="s" s="55" r="J269">
        <v>39</v>
      </c>
      <c t="s" s="55" r="K269">
        <v>39</v>
      </c>
      <c s="80" r="L269">
        <v>56.74</v>
      </c>
      <c s="79" r="M269">
        <v>588.36</v>
      </c>
      <c s="79" r="N269">
        <f>13.29+86.15</f>
        <v>99.44</v>
      </c>
      <c s="32" r="O269">
        <f>SUMIF(Sellables!$A$2:$A$11482, $A269, Sellables!$G$2:$G$11482)</f>
        <v>101.902</v>
      </c>
      <c s="32" r="P269">
        <f>SUMIF(Skills!$A$2:$A$9999, A269, Skills!$F$2:$F$9999)</f>
        <v>0</v>
      </c>
      <c s="14" r="Q269">
        <f>(N269+O269)+P269</f>
        <v>201.342</v>
      </c>
      <c s="14" r="R269">
        <f>(E269+L269)-M269</f>
        <v>218.38</v>
      </c>
      <c s="70" r="S269">
        <f>Q269-R269</f>
        <v>-17.038</v>
      </c>
      <c s="29" r="T269">
        <f> (Q269/R269) - 1</f>
        <v>-0.078019965198278</v>
      </c>
      <c s="70" r="U269">
        <f>R269/X269</f>
        <v>5.19952380952381</v>
      </c>
      <c s="70" r="V269">
        <f>Q269/X269</f>
        <v>4.79385714285714</v>
      </c>
      <c t="s" s="30" r="W269">
        <v>85</v>
      </c>
      <c s="30" r="X269">
        <v>42</v>
      </c>
      <c t="s" s="30" r="Y269">
        <v>228</v>
      </c>
      <c t="s" s="30" r="Z269">
        <v>65</v>
      </c>
      <c s="30" r="AA269">
        <v>0</v>
      </c>
      <c s="30" r="AB269">
        <v>0</v>
      </c>
      <c s="30" r="AC269">
        <v>1</v>
      </c>
      <c s="30" r="AD269">
        <v>1</v>
      </c>
      <c s="30" r="AE269"/>
      <c t="str" s="8" r="AF269">
        <f>(I269+J269)/R269</f>
        <v>#VALUE!:notNumber:NA</v>
      </c>
      <c t="str" s="28" r="AG269">
        <f>G269/$X269</f>
        <v>#VALUE!:notNumber:NA</v>
      </c>
      <c t="str" s="28" r="AH269">
        <f>H269/$X269</f>
        <v>#VALUE!:notNumber:NA</v>
      </c>
      <c t="str" s="28" r="AI269">
        <f>I269/$X269</f>
        <v>#VALUE!:notNumber:NA</v>
      </c>
      <c t="str" s="28" r="AJ269">
        <f>J269/$X269</f>
        <v>#VALUE!:notNumber:NA</v>
      </c>
      <c t="str" s="28" r="AK269">
        <f>K269/$X269</f>
        <v>#VALUE!:notNumber:NA</v>
      </c>
      <c s="30" r="AL269">
        <v>1</v>
      </c>
    </row>
    <row r="270">
      <c s="30" r="A270">
        <v>269</v>
      </c>
      <c t="s" s="30" r="B270">
        <v>55</v>
      </c>
      <c s="62" r="C270">
        <v>41583</v>
      </c>
      <c s="52" r="D270">
        <v>0.840972222222222</v>
      </c>
      <c s="55" r="E270">
        <f>86*0.71</f>
        <v>61.06</v>
      </c>
      <c s="55" r="F270"/>
      <c t="s" s="55" r="G270">
        <v>39</v>
      </c>
      <c t="s" s="55" r="H270">
        <v>39</v>
      </c>
      <c t="s" s="55" r="I270">
        <v>39</v>
      </c>
      <c t="s" s="55" r="J270">
        <v>39</v>
      </c>
      <c t="s" s="55" r="K270">
        <v>39</v>
      </c>
      <c s="80" r="L270">
        <v>0</v>
      </c>
      <c s="79" r="M270">
        <v>0</v>
      </c>
      <c s="79" r="N270">
        <f>38.34-8.92</f>
        <v>29.42</v>
      </c>
      <c s="32" r="O270">
        <f>SUMIF(Sellables!$A$2:$A$11482, $A270, Sellables!$G$2:$G$11482)</f>
        <v>9.6336</v>
      </c>
      <c s="32" r="P270">
        <f>SUMIF(Skills!$A$2:$A$9999, A270, Skills!$F$2:$F$9999)</f>
        <v>0</v>
      </c>
      <c s="14" r="Q270">
        <f>(N270+O270)+P270</f>
        <v>39.0536</v>
      </c>
      <c s="23" r="R270">
        <f>(E270+L270)-M270</f>
        <v>61.06</v>
      </c>
      <c s="70" r="S270">
        <f>Q270-R270</f>
        <v>-22.0064</v>
      </c>
      <c s="29" r="T270">
        <f> (Q270/R270) - 1</f>
        <v>-0.360406157877497</v>
      </c>
      <c t="str" s="70" r="U270">
        <f>R270/X270</f>
        <v>#DIV/0!:divZero</v>
      </c>
      <c t="str" s="70" r="V270">
        <f>Q270/X270</f>
        <v>#DIV/0!:divZero</v>
      </c>
      <c t="s" s="30" r="W270">
        <v>98</v>
      </c>
      <c s="30" r="X270">
        <v>0</v>
      </c>
      <c t="s" s="30" r="Y270">
        <v>228</v>
      </c>
      <c t="s" s="30" r="Z270">
        <v>65</v>
      </c>
      <c s="30" r="AA270">
        <v>0</v>
      </c>
      <c s="30" r="AB270">
        <v>0</v>
      </c>
      <c s="30" r="AC270">
        <v>0</v>
      </c>
      <c s="30" r="AD270">
        <v>0</v>
      </c>
      <c s="30" r="AE270"/>
      <c t="str" s="8" r="AF270">
        <f>(I270+J270)/R270</f>
        <v>#VALUE!:notNumber:NA</v>
      </c>
      <c t="str" s="28" r="AG270">
        <f>G270/$X270</f>
        <v>#DIV/0!:divZero</v>
      </c>
      <c t="str" s="28" r="AH270">
        <f>H270/$X270</f>
        <v>#DIV/0!:divZero</v>
      </c>
      <c t="str" s="28" r="AI270">
        <f>I270/$X270</f>
        <v>#DIV/0!:divZero</v>
      </c>
      <c t="str" s="28" r="AJ270">
        <f>J270/$X270</f>
        <v>#DIV/0!:divZero</v>
      </c>
      <c t="str" s="28" r="AK270">
        <f>K270/$X270</f>
        <v>#DIV/0!:divZero</v>
      </c>
      <c s="30" r="AL270">
        <v>1</v>
      </c>
    </row>
    <row r="271">
      <c s="30" r="A271">
        <v>270</v>
      </c>
      <c t="s" s="30" r="B271">
        <v>38</v>
      </c>
      <c s="62" r="C271">
        <v>41583</v>
      </c>
      <c s="52" r="D271">
        <v>0.895833333333333</v>
      </c>
      <c s="55" r="E271">
        <v>500</v>
      </c>
      <c s="55" r="F271"/>
      <c t="s" s="55" r="G271">
        <v>39</v>
      </c>
      <c t="s" s="55" r="H271">
        <v>39</v>
      </c>
      <c t="s" s="55" r="I271">
        <v>39</v>
      </c>
      <c t="s" s="55" r="J271">
        <v>39</v>
      </c>
      <c t="s" s="55" r="K271">
        <v>39</v>
      </c>
      <c s="80" r="L271">
        <v>148.91</v>
      </c>
      <c s="79" r="M271">
        <v>184.12</v>
      </c>
      <c s="79" r="N271">
        <f>18.05+210.23</f>
        <v>228.28</v>
      </c>
      <c s="32" r="O271">
        <f>SUMIF(Sellables!$A$2:$A$11482, $A271, Sellables!$G$2:$G$11482)</f>
        <v>145.909</v>
      </c>
      <c s="32" r="P271">
        <f>SUMIF(Skills!$A$2:$A$9999, A271, Skills!$F$2:$F$9999)</f>
        <v>0</v>
      </c>
      <c s="14" r="Q271">
        <f>(N271+O271)+P271</f>
        <v>374.189</v>
      </c>
      <c s="14" r="R271">
        <f>(E271+L271)-M271</f>
        <v>464.79</v>
      </c>
      <c s="70" r="S271">
        <f>Q271-R271</f>
        <v>-90.601</v>
      </c>
      <c s="29" r="T271">
        <f> (Q271/R271) - 1</f>
        <v>-0.194928892618172</v>
      </c>
      <c s="70" r="U271">
        <f>R271/X271</f>
        <v>4.6479</v>
      </c>
      <c s="70" r="V271">
        <f>Q271/X271</f>
        <v>3.74189</v>
      </c>
      <c t="s" s="30" r="W271">
        <v>234</v>
      </c>
      <c s="30" r="X271">
        <v>100</v>
      </c>
      <c t="s" s="30" r="Y271">
        <v>235</v>
      </c>
      <c t="s" s="30" r="Z271">
        <v>42</v>
      </c>
      <c s="30" r="AA271">
        <v>0</v>
      </c>
      <c s="30" r="AB271">
        <v>1</v>
      </c>
      <c s="30" r="AC271">
        <v>1</v>
      </c>
      <c s="30" r="AD271">
        <v>0</v>
      </c>
      <c s="30" r="AE271"/>
      <c t="str" s="8" r="AF271">
        <f>(I271+J271)/R271</f>
        <v>#VALUE!:notNumber:NA</v>
      </c>
      <c t="str" s="28" r="AG271">
        <f>G271/$X271</f>
        <v>#VALUE!:notNumber:NA</v>
      </c>
      <c t="str" s="28" r="AH271">
        <f>H271/$X271</f>
        <v>#VALUE!:notNumber:NA</v>
      </c>
      <c t="str" s="28" r="AI271">
        <f>I271/$X271</f>
        <v>#VALUE!:notNumber:NA</v>
      </c>
      <c t="str" s="28" r="AJ271">
        <f>J271/$X271</f>
        <v>#VALUE!:notNumber:NA</v>
      </c>
      <c t="str" s="28" r="AK271">
        <f>K271/$X271</f>
        <v>#VALUE!:notNumber:NA</v>
      </c>
      <c s="30" r="AL271">
        <v>1</v>
      </c>
    </row>
    <row r="272">
      <c s="30" r="A272">
        <v>271</v>
      </c>
      <c t="s" s="30" r="B272">
        <v>55</v>
      </c>
      <c s="62" r="C272">
        <v>41584</v>
      </c>
      <c s="52" r="D272">
        <v>0.385416666666667</v>
      </c>
      <c s="55" r="E272">
        <f>96*0.71</f>
        <v>68.16</v>
      </c>
      <c s="55" r="F272"/>
      <c t="s" s="55" r="G272">
        <v>39</v>
      </c>
      <c t="s" s="55" r="H272">
        <v>39</v>
      </c>
      <c t="s" s="55" r="I272">
        <v>39</v>
      </c>
      <c t="s" s="55" r="J272">
        <v>39</v>
      </c>
      <c t="s" s="55" r="K272">
        <v>39</v>
      </c>
      <c s="80" r="L272">
        <v>0</v>
      </c>
      <c s="79" r="M272">
        <v>0</v>
      </c>
      <c s="79" r="N272">
        <f>((51.81-13.72)-10.04)-25.16</f>
        <v>2.89</v>
      </c>
      <c s="32" r="O272">
        <f>SUMIF(Sellables!$A$2:$A$11482, $A272, Sellables!$G$2:$G$11482)</f>
        <v>51.2784</v>
      </c>
      <c s="32" r="P272">
        <f>SUMIF(Skills!$A$2:$A$9999, A272, Skills!$F$2:$F$9999)</f>
        <v>0</v>
      </c>
      <c s="14" r="Q272">
        <f>(N272+O272)+P272</f>
        <v>54.1684</v>
      </c>
      <c s="23" r="R272">
        <f>(E272+L272)-M272</f>
        <v>68.16</v>
      </c>
      <c s="70" r="S272">
        <f>Q272-R272</f>
        <v>-13.9916</v>
      </c>
      <c s="29" r="T272">
        <f> (Q272/R272) - 1</f>
        <v>-0.205275821596244</v>
      </c>
      <c t="str" s="70" r="U272">
        <f>R272/X272</f>
        <v>#DIV/0!:divZero</v>
      </c>
      <c t="str" s="70" r="V272">
        <f>Q272/X272</f>
        <v>#DIV/0!:divZero</v>
      </c>
      <c t="s" s="30" r="W272">
        <v>98</v>
      </c>
      <c s="30" r="X272">
        <v>0</v>
      </c>
      <c t="s" s="30" r="Y272">
        <v>104</v>
      </c>
      <c t="s" s="30" r="Z272">
        <v>42</v>
      </c>
      <c s="30" r="AA272">
        <v>0</v>
      </c>
      <c s="30" r="AB272">
        <v>0</v>
      </c>
      <c s="30" r="AC272">
        <v>0</v>
      </c>
      <c s="30" r="AD272">
        <v>0</v>
      </c>
      <c s="30" r="AE272"/>
      <c t="str" s="8" r="AF272">
        <f>(I272+J272)/R272</f>
        <v>#VALUE!:notNumber:NA</v>
      </c>
      <c t="str" s="28" r="AG272">
        <f>G272/$X272</f>
        <v>#DIV/0!:divZero</v>
      </c>
      <c t="str" s="28" r="AH272">
        <f>H272/$X272</f>
        <v>#DIV/0!:divZero</v>
      </c>
      <c t="str" s="28" r="AI272">
        <f>I272/$X272</f>
        <v>#DIV/0!:divZero</v>
      </c>
      <c t="str" s="28" r="AJ272">
        <f>J272/$X272</f>
        <v>#DIV/0!:divZero</v>
      </c>
      <c t="str" s="28" r="AK272">
        <f>K272/$X272</f>
        <v>#DIV/0!:divZero</v>
      </c>
      <c s="30" r="AL272">
        <v>1</v>
      </c>
    </row>
    <row r="273">
      <c s="30" r="A273">
        <v>272</v>
      </c>
      <c t="s" s="30" r="B273">
        <v>55</v>
      </c>
      <c s="62" r="C273">
        <v>41584</v>
      </c>
      <c s="52" r="D273">
        <v>0.409722222222222</v>
      </c>
      <c s="55" r="E273">
        <f>1.21*10</f>
        <v>12.1</v>
      </c>
      <c s="55" r="F273"/>
      <c t="s" s="55" r="G273">
        <v>39</v>
      </c>
      <c t="s" s="55" r="H273">
        <v>39</v>
      </c>
      <c t="s" s="55" r="I273">
        <v>39</v>
      </c>
      <c t="s" s="55" r="J273">
        <v>39</v>
      </c>
      <c t="s" s="55" r="K273">
        <v>39</v>
      </c>
      <c s="80" r="L273">
        <v>0</v>
      </c>
      <c s="79" r="M273">
        <v>0</v>
      </c>
      <c s="79" r="N273">
        <f>(9.83-3.09)-0.51</f>
        <v>6.23</v>
      </c>
      <c s="32" r="O273">
        <f>SUMIF(Sellables!$A$2:$A$11482, $A273, Sellables!$G$2:$G$11482)</f>
        <v>3.7644</v>
      </c>
      <c s="32" r="P273">
        <f>SUMIF(Skills!$A$2:$A$9999, A273, Skills!$F$2:$F$9999)</f>
        <v>0</v>
      </c>
      <c s="14" r="Q273">
        <f>(N273+O273)+P273</f>
        <v>9.9944</v>
      </c>
      <c s="23" r="R273">
        <f>(E273+L273)-M273</f>
        <v>12.1</v>
      </c>
      <c s="70" r="S273">
        <f>Q273-R273</f>
        <v>-2.1056</v>
      </c>
      <c s="29" r="T273">
        <f> (Q273/R273) - 1</f>
        <v>-0.17401652892562</v>
      </c>
      <c t="str" s="70" r="U273">
        <f>R273/X273</f>
        <v>#DIV/0!:divZero</v>
      </c>
      <c t="str" s="70" r="V273">
        <f>Q273/X273</f>
        <v>#DIV/0!:divZero</v>
      </c>
      <c t="s" s="30" r="W273">
        <v>236</v>
      </c>
      <c s="30" r="X273">
        <v>0</v>
      </c>
      <c t="s" s="30" r="Y273">
        <v>104</v>
      </c>
      <c t="s" s="30" r="Z273">
        <v>42</v>
      </c>
      <c s="30" r="AA273">
        <v>0</v>
      </c>
      <c s="30" r="AB273">
        <v>0</v>
      </c>
      <c s="30" r="AC273">
        <v>0</v>
      </c>
      <c s="30" r="AD273">
        <v>0</v>
      </c>
      <c s="30" r="AE273"/>
      <c t="str" s="8" r="AF273">
        <f>(I273+J273)/R273</f>
        <v>#VALUE!:notNumber:NA</v>
      </c>
      <c t="str" s="28" r="AG273">
        <f>G273/$X273</f>
        <v>#DIV/0!:divZero</v>
      </c>
      <c t="str" s="28" r="AH273">
        <f>H273/$X273</f>
        <v>#DIV/0!:divZero</v>
      </c>
      <c t="str" s="28" r="AI273">
        <f>I273/$X273</f>
        <v>#DIV/0!:divZero</v>
      </c>
      <c t="str" s="28" r="AJ273">
        <f>J273/$X273</f>
        <v>#DIV/0!:divZero</v>
      </c>
      <c t="str" s="28" r="AK273">
        <f>K273/$X273</f>
        <v>#DIV/0!:divZero</v>
      </c>
      <c s="30" r="AL273">
        <v>1</v>
      </c>
    </row>
    <row r="274">
      <c s="30" r="A274">
        <v>273</v>
      </c>
      <c t="s" s="30" r="B274">
        <v>55</v>
      </c>
      <c s="62" r="C274">
        <v>41584</v>
      </c>
      <c s="52" r="D274">
        <v>0.451388888888889</v>
      </c>
      <c s="55" r="E274">
        <f>149*0.07</f>
        <v>10.43</v>
      </c>
      <c s="55" r="F274"/>
      <c t="s" s="55" r="G274">
        <v>39</v>
      </c>
      <c t="s" s="55" r="H274">
        <v>39</v>
      </c>
      <c t="s" s="55" r="I274">
        <v>39</v>
      </c>
      <c t="s" s="55" r="J274">
        <v>39</v>
      </c>
      <c t="s" s="55" r="K274">
        <v>39</v>
      </c>
      <c s="80" r="L274">
        <v>0</v>
      </c>
      <c s="79" r="M274">
        <v>0</v>
      </c>
      <c s="79" r="N274">
        <f>(8.59-2.87)-1.83</f>
        <v>3.89</v>
      </c>
      <c s="32" r="O274">
        <f>SUMIF(Sellables!$A$2:$A$11482, $A274, Sellables!$G$2:$G$11482)</f>
        <v>4.5348</v>
      </c>
      <c s="32" r="P274">
        <f>SUMIF(Skills!$A$2:$A$9999, A274, Skills!$F$2:$F$9999)</f>
        <v>0</v>
      </c>
      <c s="14" r="Q274">
        <f>(N274+O274)+P274</f>
        <v>8.4248</v>
      </c>
      <c s="23" r="R274">
        <f>(E274+L274)-M274</f>
        <v>10.43</v>
      </c>
      <c s="70" r="S274">
        <f>Q274-R274</f>
        <v>-2.0052</v>
      </c>
      <c s="29" r="T274">
        <f> (Q274/R274) - 1</f>
        <v>-0.192253116011505</v>
      </c>
      <c t="str" s="70" r="U274">
        <f>R274/X274</f>
        <v>#DIV/0!:divZero</v>
      </c>
      <c t="str" s="70" r="V274">
        <f>Q274/X274</f>
        <v>#DIV/0!:divZero</v>
      </c>
      <c t="s" s="30" r="W274">
        <v>190</v>
      </c>
      <c s="30" r="X274">
        <v>0</v>
      </c>
      <c t="s" s="30" r="Y274">
        <v>104</v>
      </c>
      <c t="s" s="30" r="Z274">
        <v>42</v>
      </c>
      <c s="30" r="AA274">
        <v>0</v>
      </c>
      <c s="30" r="AB274">
        <v>0</v>
      </c>
      <c s="30" r="AC274">
        <v>0</v>
      </c>
      <c s="30" r="AD274">
        <v>0</v>
      </c>
      <c s="30" r="AE274"/>
      <c t="str" s="8" r="AF274">
        <f>(I274+J274)/R274</f>
        <v>#VALUE!:notNumber:NA</v>
      </c>
      <c t="str" s="28" r="AG274">
        <f>G274/$X274</f>
        <v>#DIV/0!:divZero</v>
      </c>
      <c t="str" s="28" r="AH274">
        <f>H274/$X274</f>
        <v>#DIV/0!:divZero</v>
      </c>
      <c t="str" s="28" r="AI274">
        <f>I274/$X274</f>
        <v>#DIV/0!:divZero</v>
      </c>
      <c t="str" s="28" r="AJ274">
        <f>J274/$X274</f>
        <v>#DIV/0!:divZero</v>
      </c>
      <c t="str" s="28" r="AK274">
        <f>K274/$X274</f>
        <v>#DIV/0!:divZero</v>
      </c>
      <c s="30" r="AL274">
        <v>1</v>
      </c>
    </row>
    <row r="275">
      <c s="30" r="A275">
        <v>274</v>
      </c>
      <c t="s" s="30" r="B275">
        <v>38</v>
      </c>
      <c s="62" r="C275">
        <v>41584</v>
      </c>
      <c s="52" r="D275">
        <v>0.510416666666667</v>
      </c>
      <c s="55" r="E275">
        <v>300</v>
      </c>
      <c s="55" r="F275"/>
      <c t="s" s="55" r="G275">
        <v>39</v>
      </c>
      <c t="s" s="55" r="H275">
        <v>39</v>
      </c>
      <c t="s" s="55" r="I275">
        <v>39</v>
      </c>
      <c t="s" s="55" r="J275">
        <v>39</v>
      </c>
      <c t="s" s="55" r="K275">
        <v>39</v>
      </c>
      <c s="80" r="L275">
        <v>80.35</v>
      </c>
      <c s="79" r="M275">
        <v>45.01</v>
      </c>
      <c s="79" r="N275">
        <v>62.9</v>
      </c>
      <c s="32" r="O275">
        <f>SUMIF(Sellables!$A$2:$A$11482, $A275, Sellables!$G$2:$G$11482)</f>
        <v>215.269088</v>
      </c>
      <c s="32" r="P275">
        <f>SUMIF(Skills!$A$2:$A$9999, A275, Skills!$F$2:$F$9999)</f>
        <v>0</v>
      </c>
      <c s="14" r="Q275">
        <f>(N275+O275)+P275</f>
        <v>278.169088</v>
      </c>
      <c s="14" r="R275">
        <f>(E275+L275)-M275</f>
        <v>335.34</v>
      </c>
      <c s="70" r="S275">
        <f>Q275-R275</f>
        <v>-57.170912</v>
      </c>
      <c s="29" r="T275">
        <f> (Q275/R275) - 1</f>
        <v>-0.170486407824894</v>
      </c>
      <c t="str" s="70" r="U275">
        <f>R275/X275</f>
        <v>#DIV/0!:divZero</v>
      </c>
      <c t="str" s="70" r="V275">
        <f>Q275/X275</f>
        <v>#DIV/0!:divZero</v>
      </c>
      <c t="s" s="30" r="W275">
        <v>99</v>
      </c>
      <c s="30" r="X275">
        <v>0</v>
      </c>
      <c t="s" s="30" r="Y275">
        <v>41</v>
      </c>
      <c t="s" s="30" r="Z275">
        <v>42</v>
      </c>
      <c s="30" r="AA275">
        <v>0</v>
      </c>
      <c s="30" r="AB275">
        <v>0</v>
      </c>
      <c s="30" r="AC275">
        <v>1</v>
      </c>
      <c s="30" r="AD275">
        <v>0</v>
      </c>
      <c s="30" r="AE275"/>
      <c t="str" s="8" r="AF275">
        <f>(I275+J275)/R275</f>
        <v>#VALUE!:notNumber:NA</v>
      </c>
      <c t="str" s="28" r="AG275">
        <f>G275/$X275</f>
        <v>#DIV/0!:divZero</v>
      </c>
      <c t="str" s="28" r="AH275">
        <f>H275/$X275</f>
        <v>#DIV/0!:divZero</v>
      </c>
      <c t="str" s="28" r="AI275">
        <f>I275/$X275</f>
        <v>#DIV/0!:divZero</v>
      </c>
      <c t="str" s="28" r="AJ275">
        <f>J275/$X275</f>
        <v>#DIV/0!:divZero</v>
      </c>
      <c t="str" s="28" r="AK275">
        <f>K275/$X275</f>
        <v>#DIV/0!:divZero</v>
      </c>
      <c s="30" r="AL275">
        <v>1</v>
      </c>
    </row>
    <row r="276">
      <c s="30" r="A276">
        <v>275</v>
      </c>
      <c t="s" s="30" r="B276">
        <v>55</v>
      </c>
      <c s="62" r="C276">
        <v>41584</v>
      </c>
      <c s="52" r="D276">
        <v>0.041666666666667</v>
      </c>
      <c s="55" r="E276">
        <f>374*0.21</f>
        <v>78.54</v>
      </c>
      <c s="55" r="F276"/>
      <c t="s" s="55" r="G276">
        <v>39</v>
      </c>
      <c t="s" s="55" r="H276">
        <v>39</v>
      </c>
      <c t="s" s="55" r="I276">
        <v>39</v>
      </c>
      <c t="s" s="55" r="J276">
        <v>39</v>
      </c>
      <c t="s" s="55" r="K276">
        <v>39</v>
      </c>
      <c s="80" r="L276">
        <v>0</v>
      </c>
      <c s="79" r="M276">
        <v>0</v>
      </c>
      <c s="79" r="N276">
        <f>((75.67-11.49)-15.94)-36</f>
        <v>12.24</v>
      </c>
      <c s="32" r="O276">
        <f>SUMIF(Sellables!$A$2:$A$11482, $A276, Sellables!$G$2:$G$11482)</f>
        <v>68.6692</v>
      </c>
      <c s="32" r="P276">
        <f>SUMIF(Skills!$A$2:$A$9999, A276, Skills!$F$2:$F$9999)</f>
        <v>0</v>
      </c>
      <c s="14" r="Q276">
        <f>(N276+O276)+P276</f>
        <v>80.9092</v>
      </c>
      <c s="23" r="R276">
        <f>(E276+L276)-M276</f>
        <v>78.54</v>
      </c>
      <c s="70" r="S276">
        <f>Q276-R276</f>
        <v>2.36920000000002</v>
      </c>
      <c s="29" r="T276">
        <f> (Q276/R276) - 1</f>
        <v>0.030165520753756</v>
      </c>
      <c t="str" s="70" r="U276">
        <f>R276/X276</f>
        <v>#DIV/0!:divZero</v>
      </c>
      <c t="str" s="70" r="V276">
        <f>Q276/X276</f>
        <v>#DIV/0!:divZero</v>
      </c>
      <c t="s" s="30" r="W276">
        <v>103</v>
      </c>
      <c s="30" r="X276">
        <v>0</v>
      </c>
      <c t="s" s="30" r="Y276">
        <v>104</v>
      </c>
      <c t="s" s="30" r="Z276">
        <v>42</v>
      </c>
      <c s="30" r="AA276">
        <v>0</v>
      </c>
      <c s="30" r="AB276">
        <v>0</v>
      </c>
      <c s="30" r="AC276">
        <v>0</v>
      </c>
      <c s="30" r="AD276">
        <v>0</v>
      </c>
      <c s="30" r="AE276"/>
      <c t="str" s="8" r="AF276">
        <f>(I276+J276)/R276</f>
        <v>#VALUE!:notNumber:NA</v>
      </c>
      <c t="str" s="28" r="AG276">
        <f>G276/$X276</f>
        <v>#DIV/0!:divZero</v>
      </c>
      <c t="str" s="28" r="AH276">
        <f>H276/$X276</f>
        <v>#DIV/0!:divZero</v>
      </c>
      <c t="str" s="28" r="AI276">
        <f>I276/$X276</f>
        <v>#DIV/0!:divZero</v>
      </c>
      <c t="str" s="28" r="AJ276">
        <f>J276/$X276</f>
        <v>#DIV/0!:divZero</v>
      </c>
      <c t="str" s="28" r="AK276">
        <f>K276/$X276</f>
        <v>#DIV/0!:divZero</v>
      </c>
      <c s="30" r="AL276">
        <v>1</v>
      </c>
    </row>
    <row r="277">
      <c s="30" r="A277">
        <v>276</v>
      </c>
      <c t="s" s="30" r="B277">
        <v>38</v>
      </c>
      <c s="62" r="C277">
        <v>41584</v>
      </c>
      <c s="52" r="D277">
        <v>0.666666666666667</v>
      </c>
      <c s="55" r="E277">
        <v>1300</v>
      </c>
      <c s="55" r="F277"/>
      <c t="s" s="55" r="G277">
        <v>39</v>
      </c>
      <c t="s" s="55" r="H277">
        <v>39</v>
      </c>
      <c t="s" s="55" r="I277">
        <v>39</v>
      </c>
      <c t="s" s="55" r="J277">
        <v>39</v>
      </c>
      <c t="s" s="55" r="K277">
        <v>39</v>
      </c>
      <c s="80" r="L277">
        <f>((162.84+174.25)+30.24)+130</f>
        <v>497.33</v>
      </c>
      <c s="79" r="M277">
        <f>(151.54+123.66)+231.13</f>
        <v>506.33</v>
      </c>
      <c s="79" r="N277">
        <f>((23.96+24.07)+7.19)+343.04</f>
        <v>398.26</v>
      </c>
      <c s="32" r="O277">
        <f>SUMIF(Sellables!$A$2:$A$11482, $A277, Sellables!$G$2:$G$11482)</f>
        <v>1380.617</v>
      </c>
      <c s="32" r="P277">
        <f>SUMIF(Skills!$A$2:$A$9999, A277, Skills!$F$2:$F$9999)</f>
        <v>19.1196</v>
      </c>
      <c s="14" r="Q277">
        <f>(N277+O277)+P277</f>
        <v>1797.9966</v>
      </c>
      <c s="14" r="R277">
        <f>(E277+L277)-M277</f>
        <v>1291</v>
      </c>
      <c s="70" r="S277">
        <f>Q277-R277</f>
        <v>506.9966</v>
      </c>
      <c s="29" r="T277">
        <f> (Q277/R277) - 1</f>
        <v>0.392716189000775</v>
      </c>
      <c t="str" s="70" r="U277">
        <f>R277/X277</f>
        <v>#DIV/0!:divZero</v>
      </c>
      <c t="str" s="70" r="V277">
        <f>Q277/X277</f>
        <v>#DIV/0!:divZero</v>
      </c>
      <c t="s" s="30" r="W277">
        <v>237</v>
      </c>
      <c s="30" r="X277">
        <v>0</v>
      </c>
      <c t="s" s="30" r="Y277">
        <v>238</v>
      </c>
      <c t="s" s="30" r="Z277">
        <v>42</v>
      </c>
      <c s="30" r="AA277">
        <v>0</v>
      </c>
      <c s="30" r="AB277">
        <v>0</v>
      </c>
      <c s="30" r="AC277">
        <v>1</v>
      </c>
      <c s="30" r="AD277">
        <v>1</v>
      </c>
      <c s="30" r="AE277"/>
      <c t="str" s="8" r="AF277">
        <f>(I277+J277)/R277</f>
        <v>#VALUE!:notNumber:NA</v>
      </c>
      <c t="str" s="28" r="AG277">
        <f>G277/$X277</f>
        <v>#DIV/0!:divZero</v>
      </c>
      <c t="str" s="28" r="AH277">
        <f>H277/$X277</f>
        <v>#DIV/0!:divZero</v>
      </c>
      <c t="str" s="28" r="AI277">
        <f>I277/$X277</f>
        <v>#DIV/0!:divZero</v>
      </c>
      <c t="str" s="28" r="AJ277">
        <f>J277/$X277</f>
        <v>#DIV/0!:divZero</v>
      </c>
      <c t="str" s="28" r="AK277">
        <f>K277/$X277</f>
        <v>#DIV/0!:divZero</v>
      </c>
      <c s="30" r="AL277">
        <v>1</v>
      </c>
    </row>
    <row r="278">
      <c s="30" r="A278">
        <v>277</v>
      </c>
      <c t="s" s="30" r="B278">
        <v>38</v>
      </c>
      <c s="62" r="C278">
        <v>41584</v>
      </c>
      <c s="52" r="D278">
        <v>0.708333333333333</v>
      </c>
      <c s="55" r="E278">
        <v>500</v>
      </c>
      <c s="55" r="F278"/>
      <c t="s" s="55" r="G278">
        <v>39</v>
      </c>
      <c t="s" s="55" r="H278">
        <v>39</v>
      </c>
      <c t="s" s="55" r="I278">
        <v>39</v>
      </c>
      <c t="s" s="55" r="J278">
        <v>39</v>
      </c>
      <c t="s" s="55" r="K278">
        <v>39</v>
      </c>
      <c s="80" r="L278">
        <v>153.78</v>
      </c>
      <c s="79" r="M278">
        <v>132.54</v>
      </c>
      <c s="79" r="N278">
        <f>162.67+32.33</f>
        <v>195</v>
      </c>
      <c s="32" r="O278">
        <f>SUMIF(Sellables!$A$2:$A$11482, $A278, Sellables!$G$2:$G$11482)</f>
        <v>757.564</v>
      </c>
      <c s="32" r="P278">
        <f>SUMIF(Skills!$A$2:$A$9999, A278, Skills!$F$2:$F$9999)</f>
        <v>0</v>
      </c>
      <c s="14" r="Q278">
        <f>(N278+O278)+P278</f>
        <v>952.564</v>
      </c>
      <c s="14" r="R278">
        <f>(E278+L278)-M278</f>
        <v>521.24</v>
      </c>
      <c s="70" r="S278">
        <f>Q278-R278</f>
        <v>431.324</v>
      </c>
      <c s="29" r="T278">
        <f> (Q278/R278) - 1</f>
        <v>0.827495971145729</v>
      </c>
      <c s="70" r="U278">
        <f>R278/X278</f>
        <v>5.48673684210526</v>
      </c>
      <c s="70" r="V278">
        <f>Q278/X278</f>
        <v>10.0269894736842</v>
      </c>
      <c t="s" s="30" r="W278">
        <v>234</v>
      </c>
      <c s="30" r="X278">
        <v>95</v>
      </c>
      <c t="s" s="30" r="Y278">
        <v>235</v>
      </c>
      <c t="s" s="30" r="Z278">
        <v>42</v>
      </c>
      <c s="30" r="AA278">
        <v>0</v>
      </c>
      <c s="30" r="AB278">
        <v>0</v>
      </c>
      <c s="30" r="AC278">
        <v>1</v>
      </c>
      <c s="30" r="AD278">
        <v>0</v>
      </c>
      <c s="30" r="AE278"/>
      <c t="str" s="8" r="AF278">
        <f>(I278+J278)/R278</f>
        <v>#VALUE!:notNumber:NA</v>
      </c>
      <c t="str" s="28" r="AG278">
        <f>G278/$X278</f>
        <v>#VALUE!:notNumber:NA</v>
      </c>
      <c t="str" s="28" r="AH278">
        <f>H278/$X278</f>
        <v>#VALUE!:notNumber:NA</v>
      </c>
      <c t="str" s="28" r="AI278">
        <f>I278/$X278</f>
        <v>#VALUE!:notNumber:NA</v>
      </c>
      <c t="str" s="28" r="AJ278">
        <f>J278/$X278</f>
        <v>#VALUE!:notNumber:NA</v>
      </c>
      <c t="str" s="28" r="AK278">
        <f>K278/$X278</f>
        <v>#VALUE!:notNumber:NA</v>
      </c>
      <c s="30" r="AL278">
        <v>1</v>
      </c>
    </row>
    <row r="279">
      <c s="30" r="A279">
        <v>278</v>
      </c>
      <c t="s" s="30" r="B279">
        <v>38</v>
      </c>
      <c s="62" r="C279">
        <v>41584</v>
      </c>
      <c s="52" r="D279">
        <v>0.875</v>
      </c>
      <c s="55" r="E279">
        <v>500</v>
      </c>
      <c s="55" r="F279"/>
      <c t="s" s="55" r="G279">
        <v>39</v>
      </c>
      <c t="s" s="55" r="H279">
        <v>39</v>
      </c>
      <c t="s" s="55" r="I279">
        <v>39</v>
      </c>
      <c t="s" s="55" r="J279">
        <v>39</v>
      </c>
      <c t="s" s="55" r="K279">
        <v>39</v>
      </c>
      <c s="80" r="L279">
        <v>78.43</v>
      </c>
      <c s="79" r="M279">
        <v>334.6</v>
      </c>
      <c s="79" r="N279">
        <f>89.81+31.31</f>
        <v>121.12</v>
      </c>
      <c s="32" r="O279">
        <f>SUMIF(Sellables!$A$2:$A$11482, $A279, Sellables!$G$2:$G$11482)</f>
        <v>99.037</v>
      </c>
      <c s="32" r="P279">
        <f>SUMIF(Skills!$A$2:$A$9999, A279, Skills!$F$2:$F$9999)</f>
        <v>0</v>
      </c>
      <c s="14" r="Q279">
        <f>(N279+O279)+P279</f>
        <v>220.157</v>
      </c>
      <c s="14" r="R279">
        <f>(E279+L279)-M279</f>
        <v>243.83</v>
      </c>
      <c s="70" r="S279">
        <f>Q279-R279</f>
        <v>-23.673</v>
      </c>
      <c s="29" r="T279">
        <f> (Q279/R279) - 1</f>
        <v>-0.097088135176147</v>
      </c>
      <c t="str" s="70" r="U279">
        <f>R279/X279</f>
        <v>#DIV/0!:divZero</v>
      </c>
      <c t="str" s="70" r="V279">
        <f>Q279/X279</f>
        <v>#DIV/0!:divZero</v>
      </c>
      <c t="s" s="30" r="W279">
        <v>239</v>
      </c>
      <c s="30" r="X279">
        <v>0</v>
      </c>
      <c t="s" s="30" r="Y279">
        <v>240</v>
      </c>
      <c t="s" s="30" r="Z279">
        <v>42</v>
      </c>
      <c s="30" r="AA279">
        <v>0</v>
      </c>
      <c s="30" r="AB279">
        <v>0</v>
      </c>
      <c s="30" r="AC279">
        <v>1</v>
      </c>
      <c s="30" r="AD279">
        <v>0</v>
      </c>
      <c s="30" r="AE279"/>
      <c t="str" s="8" r="AF279">
        <f>(I279+J279)/R279</f>
        <v>#VALUE!:notNumber:NA</v>
      </c>
      <c t="str" s="28" r="AG279">
        <f>G279/$X279</f>
        <v>#DIV/0!:divZero</v>
      </c>
      <c t="str" s="28" r="AH279">
        <f>H279/$X279</f>
        <v>#DIV/0!:divZero</v>
      </c>
      <c t="str" s="28" r="AI279">
        <f>I279/$X279</f>
        <v>#DIV/0!:divZero</v>
      </c>
      <c t="str" s="28" r="AJ279">
        <f>J279/$X279</f>
        <v>#DIV/0!:divZero</v>
      </c>
      <c t="str" s="28" r="AK279">
        <f>K279/$X279</f>
        <v>#DIV/0!:divZero</v>
      </c>
      <c s="30" r="AL279">
        <v>1</v>
      </c>
    </row>
    <row r="280">
      <c s="30" r="A280">
        <v>279</v>
      </c>
      <c t="s" s="30" r="B280">
        <v>38</v>
      </c>
      <c s="62" r="C280">
        <v>41584</v>
      </c>
      <c s="52" r="D280">
        <v>0.916666666666667</v>
      </c>
      <c s="55" r="E280">
        <v>500</v>
      </c>
      <c s="55" r="F280"/>
      <c t="s" s="55" r="G280">
        <v>39</v>
      </c>
      <c t="s" s="55" r="H280">
        <v>39</v>
      </c>
      <c t="s" s="55" r="I280">
        <v>39</v>
      </c>
      <c t="s" s="55" r="J280">
        <v>39</v>
      </c>
      <c t="s" s="55" r="K280">
        <v>39</v>
      </c>
      <c s="80" r="L280">
        <v>106.21</v>
      </c>
      <c s="79" r="M280">
        <v>277.89</v>
      </c>
      <c s="79" r="N280">
        <f>1.87+182.79</f>
        <v>184.66</v>
      </c>
      <c s="32" r="O280">
        <f>SUMIF(Sellables!$A$2:$A$11482, $A280, Sellables!$G$2:$G$11482)</f>
        <v>368.94</v>
      </c>
      <c s="32" r="P280">
        <f>SUMIF(Skills!$A$2:$A$9999, A280, Skills!$F$2:$F$9999)</f>
        <v>0</v>
      </c>
      <c s="14" r="Q280">
        <f>(N280+O280)+P280</f>
        <v>553.6</v>
      </c>
      <c s="14" r="R280">
        <f>(E280+L280)-M280</f>
        <v>328.32</v>
      </c>
      <c s="70" r="S280">
        <f>Q280-R280</f>
        <v>225.28</v>
      </c>
      <c s="29" r="T280">
        <f> (Q280/R280) - 1</f>
        <v>0.686159844054581</v>
      </c>
      <c t="str" s="70" r="U280">
        <f>R280/X280</f>
        <v>#DIV/0!:divZero</v>
      </c>
      <c t="str" s="70" r="V280">
        <f>Q280/X280</f>
        <v>#DIV/0!:divZero</v>
      </c>
      <c t="s" s="30" r="W280">
        <v>237</v>
      </c>
      <c s="30" r="X280">
        <v>0</v>
      </c>
      <c t="s" s="30" r="Y280">
        <v>238</v>
      </c>
      <c t="s" s="30" r="Z280">
        <v>42</v>
      </c>
      <c s="30" r="AA280">
        <v>0</v>
      </c>
      <c s="30" r="AB280">
        <v>0</v>
      </c>
      <c s="30" r="AC280">
        <v>1</v>
      </c>
      <c s="30" r="AD280">
        <v>1</v>
      </c>
      <c s="30" r="AE280"/>
      <c t="str" s="8" r="AF280">
        <f>(I280+J280)/R280</f>
        <v>#VALUE!:notNumber:NA</v>
      </c>
      <c t="str" s="28" r="AG280">
        <f>G280/$X280</f>
        <v>#DIV/0!:divZero</v>
      </c>
      <c t="str" s="28" r="AH280">
        <f>H280/$X280</f>
        <v>#DIV/0!:divZero</v>
      </c>
      <c t="str" s="28" r="AI280">
        <f>I280/$X280</f>
        <v>#DIV/0!:divZero</v>
      </c>
      <c t="str" s="28" r="AJ280">
        <f>J280/$X280</f>
        <v>#DIV/0!:divZero</v>
      </c>
      <c t="str" s="28" r="AK280">
        <f>K280/$X280</f>
        <v>#DIV/0!:divZero</v>
      </c>
      <c s="30" r="AL280">
        <v>1</v>
      </c>
    </row>
    <row r="281">
      <c s="30" r="A281">
        <v>280</v>
      </c>
      <c t="s" s="30" r="B281">
        <v>55</v>
      </c>
      <c s="62" r="C281">
        <v>41584</v>
      </c>
      <c s="52" r="D281">
        <v>0.96875</v>
      </c>
      <c s="55" r="E281">
        <f>52*0.61</f>
        <v>31.72</v>
      </c>
      <c s="55" r="F281"/>
      <c t="s" s="55" r="G281">
        <v>39</v>
      </c>
      <c t="s" s="55" r="H281">
        <v>39</v>
      </c>
      <c t="s" s="55" r="I281">
        <v>39</v>
      </c>
      <c t="s" s="55" r="J281">
        <v>39</v>
      </c>
      <c t="s" s="55" r="K281">
        <v>39</v>
      </c>
      <c s="80" r="L281">
        <v>0</v>
      </c>
      <c s="79" r="M281">
        <v>0</v>
      </c>
      <c s="79" r="N281">
        <f>(21.97-4.33)-5.79</f>
        <v>11.85</v>
      </c>
      <c s="32" r="O281">
        <f>SUMIF(Sellables!$A$2:$A$11482, $A281, Sellables!$G$2:$G$11482)</f>
        <v>10.698</v>
      </c>
      <c s="32" r="P281">
        <f>SUMIF(Skills!$A$2:$A$9999, A281, Skills!$F$2:$F$9999)</f>
        <v>0</v>
      </c>
      <c s="14" r="Q281">
        <f>(N281+O281)+P281</f>
        <v>22.548</v>
      </c>
      <c s="23" r="R281">
        <f>(E281+L281)-M281</f>
        <v>31.72</v>
      </c>
      <c s="70" r="S281">
        <f>Q281-R281</f>
        <v>-9.172</v>
      </c>
      <c s="29" r="T281">
        <f> (Q281/R281) - 1</f>
        <v>-0.289155107187894</v>
      </c>
      <c t="str" s="70" r="U281">
        <f>R281/X281</f>
        <v>#DIV/0!:divZero</v>
      </c>
      <c t="str" s="70" r="V281">
        <f>Q281/X281</f>
        <v>#DIV/0!:divZero</v>
      </c>
      <c t="s" s="30" r="W281">
        <v>148</v>
      </c>
      <c s="30" r="X281">
        <v>0</v>
      </c>
      <c t="s" s="30" r="Y281">
        <v>104</v>
      </c>
      <c t="s" s="30" r="Z281">
        <v>42</v>
      </c>
      <c s="30" r="AA281">
        <v>0</v>
      </c>
      <c s="30" r="AB281">
        <v>0</v>
      </c>
      <c s="30" r="AC281">
        <v>0</v>
      </c>
      <c s="30" r="AD281">
        <v>0</v>
      </c>
      <c s="30" r="AE281"/>
      <c t="str" s="8" r="AF281">
        <f>(I281+J281)/R281</f>
        <v>#VALUE!:notNumber:NA</v>
      </c>
      <c t="str" s="28" r="AG281">
        <f>G281/$X281</f>
        <v>#DIV/0!:divZero</v>
      </c>
      <c t="str" s="28" r="AH281">
        <f>H281/$X281</f>
        <v>#DIV/0!:divZero</v>
      </c>
      <c t="str" s="28" r="AI281">
        <f>I281/$X281</f>
        <v>#DIV/0!:divZero</v>
      </c>
      <c t="str" s="28" r="AJ281">
        <f>J281/$X281</f>
        <v>#DIV/0!:divZero</v>
      </c>
      <c t="str" s="28" r="AK281">
        <f>K281/$X281</f>
        <v>#DIV/0!:divZero</v>
      </c>
      <c s="30" r="AL281">
        <v>1</v>
      </c>
    </row>
    <row r="282">
      <c s="30" r="A282">
        <v>281</v>
      </c>
      <c t="s" s="30" r="B282">
        <v>55</v>
      </c>
      <c s="62" r="C282">
        <v>41585</v>
      </c>
      <c s="52" r="D282">
        <v>0.46875</v>
      </c>
      <c s="55" r="E282">
        <f>554*0.07</f>
        <v>38.78</v>
      </c>
      <c s="55" r="F282"/>
      <c t="s" s="55" r="G282">
        <v>39</v>
      </c>
      <c t="s" s="55" r="H282">
        <v>39</v>
      </c>
      <c t="s" s="55" r="I282">
        <v>39</v>
      </c>
      <c t="s" s="55" r="J282">
        <v>39</v>
      </c>
      <c t="s" s="55" r="K282">
        <v>39</v>
      </c>
      <c s="80" r="L282">
        <v>0</v>
      </c>
      <c s="79" r="M282">
        <v>0</v>
      </c>
      <c s="79" r="N282">
        <f>41.33-11.74</f>
        <v>29.59</v>
      </c>
      <c s="32" r="O282">
        <f>SUMIF(Sellables!$A$2:$A$11482, $A282, Sellables!$G$2:$G$11482)</f>
        <v>12.6792</v>
      </c>
      <c s="32" r="P282">
        <f>SUMIF(Skills!$A$2:$A$9999, A282, Skills!$F$2:$F$9999)</f>
        <v>0</v>
      </c>
      <c s="14" r="Q282">
        <f>(N282+O282)+P282</f>
        <v>42.2692</v>
      </c>
      <c s="23" r="R282">
        <f>(E282+L282)-M282</f>
        <v>38.78</v>
      </c>
      <c s="70" r="S282">
        <f>Q282-R282</f>
        <v>3.4892</v>
      </c>
      <c s="29" r="T282">
        <f> (Q282/R282) - 1</f>
        <v>0.08997421351212</v>
      </c>
      <c t="str" s="70" r="U282">
        <f>R282/X282</f>
        <v>#DIV/0!:divZero</v>
      </c>
      <c t="str" s="70" r="V282">
        <f>Q282/X282</f>
        <v>#DIV/0!:divZero</v>
      </c>
      <c t="s" s="30" r="W282">
        <v>120</v>
      </c>
      <c s="30" r="X282">
        <v>0</v>
      </c>
      <c t="s" s="30" r="Y282">
        <v>104</v>
      </c>
      <c t="s" s="30" r="Z282">
        <v>42</v>
      </c>
      <c s="30" r="AA282">
        <v>0</v>
      </c>
      <c s="30" r="AB282">
        <v>0</v>
      </c>
      <c s="30" r="AC282">
        <v>0</v>
      </c>
      <c s="30" r="AD282">
        <v>0</v>
      </c>
      <c s="30" r="AE282"/>
      <c t="str" s="8" r="AF282">
        <f>(I282+J282)/R282</f>
        <v>#VALUE!:notNumber:NA</v>
      </c>
      <c t="str" s="28" r="AG282">
        <f>G282/$X282</f>
        <v>#DIV/0!:divZero</v>
      </c>
      <c t="str" s="28" r="AH282">
        <f>H282/$X282</f>
        <v>#DIV/0!:divZero</v>
      </c>
      <c t="str" s="28" r="AI282">
        <f>I282/$X282</f>
        <v>#DIV/0!:divZero</v>
      </c>
      <c t="str" s="28" r="AJ282">
        <f>J282/$X282</f>
        <v>#DIV/0!:divZero</v>
      </c>
      <c t="str" s="28" r="AK282">
        <f>K282/$X282</f>
        <v>#DIV/0!:divZero</v>
      </c>
      <c s="30" r="AL282">
        <v>1</v>
      </c>
    </row>
    <row r="283">
      <c s="30" r="A283">
        <v>282</v>
      </c>
      <c t="s" s="30" r="B283">
        <v>55</v>
      </c>
      <c s="62" r="C283">
        <v>41585</v>
      </c>
      <c s="52" r="D283">
        <v>0.541666666666667</v>
      </c>
      <c s="55" r="E283">
        <f>1660*0.71</f>
        <v>1178.6</v>
      </c>
      <c s="55" r="F283"/>
      <c t="s" s="55" r="G283">
        <v>39</v>
      </c>
      <c t="s" s="55" r="H283">
        <v>39</v>
      </c>
      <c t="s" s="55" r="I283">
        <v>39</v>
      </c>
      <c t="s" s="55" r="J283">
        <v>39</v>
      </c>
      <c t="s" s="55" r="K283">
        <v>39</v>
      </c>
      <c s="80" r="L283">
        <v>0</v>
      </c>
      <c s="79" r="M283">
        <v>0</v>
      </c>
      <c s="79" r="N283">
        <f>(1078.60-435)-425.77</f>
        <v>217.83</v>
      </c>
      <c s="32" r="O283">
        <f>SUMIF(Sellables!$A$2:$A$11482, $A283, Sellables!$G$2:$G$11482)</f>
        <v>899.8277</v>
      </c>
      <c s="32" r="P283">
        <f>SUMIF(Skills!$A$2:$A$9999, A283, Skills!$F$2:$F$9999)</f>
        <v>0</v>
      </c>
      <c s="14" r="Q283">
        <f>(N283+O283)+P283</f>
        <v>1117.6577</v>
      </c>
      <c s="23" r="R283">
        <f>(E283+L283)-M283</f>
        <v>1178.6</v>
      </c>
      <c s="70" r="S283">
        <f>Q283-R283</f>
        <v>-60.9422999999999</v>
      </c>
      <c s="29" r="T283">
        <f> (Q283/R283) - 1</f>
        <v>-0.051707364669947</v>
      </c>
      <c t="str" s="70" r="U283">
        <f>R283/X283</f>
        <v>#DIV/0!:divZero</v>
      </c>
      <c t="str" s="70" r="V283">
        <f>Q283/X283</f>
        <v>#DIV/0!:divZero</v>
      </c>
      <c t="s" s="30" r="W283">
        <v>56</v>
      </c>
      <c s="30" r="X283">
        <v>0</v>
      </c>
      <c t="s" s="30" r="Y283">
        <v>104</v>
      </c>
      <c t="s" s="30" r="Z283">
        <v>42</v>
      </c>
      <c s="30" r="AA283">
        <v>0</v>
      </c>
      <c s="30" r="AB283">
        <v>0</v>
      </c>
      <c s="30" r="AC283">
        <v>0</v>
      </c>
      <c s="30" r="AD283">
        <v>0</v>
      </c>
      <c s="30" r="AE283"/>
      <c t="str" s="8" r="AF283">
        <f>(I283+J283)/R283</f>
        <v>#VALUE!:notNumber:NA</v>
      </c>
      <c t="str" s="28" r="AG283">
        <f>G283/$X283</f>
        <v>#DIV/0!:divZero</v>
      </c>
      <c t="str" s="28" r="AH283">
        <f>H283/$X283</f>
        <v>#DIV/0!:divZero</v>
      </c>
      <c t="str" s="28" r="AI283">
        <f>I283/$X283</f>
        <v>#DIV/0!:divZero</v>
      </c>
      <c t="str" s="28" r="AJ283">
        <f>J283/$X283</f>
        <v>#DIV/0!:divZero</v>
      </c>
      <c t="str" s="28" r="AK283">
        <f>K283/$X283</f>
        <v>#DIV/0!:divZero</v>
      </c>
      <c s="30" r="AL283">
        <v>1</v>
      </c>
    </row>
    <row r="284">
      <c s="30" r="A284">
        <v>283</v>
      </c>
      <c t="s" s="30" r="B284">
        <v>38</v>
      </c>
      <c s="62" r="C284">
        <v>41585</v>
      </c>
      <c s="52" r="D284">
        <v>0.552083333333333</v>
      </c>
      <c s="55" r="E284">
        <v>500</v>
      </c>
      <c s="55" r="F284"/>
      <c t="s" s="55" r="G284">
        <v>39</v>
      </c>
      <c t="s" s="55" r="H284">
        <v>39</v>
      </c>
      <c t="s" s="55" r="I284">
        <v>39</v>
      </c>
      <c t="s" s="55" r="J284">
        <v>39</v>
      </c>
      <c t="s" s="55" r="K284">
        <v>39</v>
      </c>
      <c s="80" r="L284">
        <v>157.32</v>
      </c>
      <c s="79" r="M284">
        <v>122.76</v>
      </c>
      <c s="79" r="N284">
        <v>210.98</v>
      </c>
      <c s="32" r="O284">
        <f>SUMIF(Sellables!$A$2:$A$11482, $A284, Sellables!$G$2:$G$11482)</f>
        <v>821.712</v>
      </c>
      <c s="32" r="P284">
        <f>SUMIF(Skills!$A$2:$A$9999, A284, Skills!$F$2:$F$9999)</f>
        <v>0</v>
      </c>
      <c s="14" r="Q284">
        <f>(N284+O284)+P284</f>
        <v>1032.692</v>
      </c>
      <c s="14" r="R284">
        <f>(E284+L284)-M284</f>
        <v>534.56</v>
      </c>
      <c s="70" r="S284">
        <f>Q284-R284</f>
        <v>498.132</v>
      </c>
      <c s="29" r="T284">
        <f> (Q284/R284) - 1</f>
        <v>0.931854235258905</v>
      </c>
      <c s="70" r="U284">
        <f>R284/X284</f>
        <v>5.8104347826087</v>
      </c>
      <c s="70" r="V284">
        <f>Q284/X284</f>
        <v>11.2249130434783</v>
      </c>
      <c t="s" s="30" r="W284">
        <v>234</v>
      </c>
      <c s="30" r="X284">
        <v>92</v>
      </c>
      <c t="s" s="30" r="Y284">
        <v>235</v>
      </c>
      <c t="s" s="30" r="Z284">
        <v>42</v>
      </c>
      <c s="30" r="AA284">
        <v>0</v>
      </c>
      <c s="30" r="AB284">
        <v>0</v>
      </c>
      <c s="30" r="AC284">
        <v>2</v>
      </c>
      <c s="30" r="AD284">
        <v>1</v>
      </c>
      <c s="30" r="AE284"/>
      <c t="str" s="8" r="AF284">
        <f>(I284+J284)/R284</f>
        <v>#VALUE!:notNumber:NA</v>
      </c>
      <c t="str" s="28" r="AG284">
        <f>G284/$X284</f>
        <v>#VALUE!:notNumber:NA</v>
      </c>
      <c t="str" s="28" r="AH284">
        <f>H284/$X284</f>
        <v>#VALUE!:notNumber:NA</v>
      </c>
      <c t="str" s="28" r="AI284">
        <f>I284/$X284</f>
        <v>#VALUE!:notNumber:NA</v>
      </c>
      <c t="str" s="28" r="AJ284">
        <f>J284/$X284</f>
        <v>#VALUE!:notNumber:NA</v>
      </c>
      <c t="str" s="28" r="AK284">
        <f>K284/$X284</f>
        <v>#VALUE!:notNumber:NA</v>
      </c>
      <c s="30" r="AL284">
        <v>1</v>
      </c>
    </row>
    <row r="285">
      <c s="30" r="A285">
        <v>284</v>
      </c>
      <c t="s" s="30" r="B285">
        <v>55</v>
      </c>
      <c s="62" r="C285">
        <v>41585</v>
      </c>
      <c s="52" r="D285">
        <v>0.708333333333333</v>
      </c>
      <c s="55" r="E285">
        <f>154*0.07</f>
        <v>10.78</v>
      </c>
      <c s="55" r="F285"/>
      <c t="s" s="55" r="G285">
        <v>39</v>
      </c>
      <c t="s" s="55" r="H285">
        <v>39</v>
      </c>
      <c t="s" s="55" r="I285">
        <v>39</v>
      </c>
      <c t="s" s="55" r="J285">
        <v>39</v>
      </c>
      <c t="s" s="55" r="K285">
        <v>39</v>
      </c>
      <c s="80" r="L285">
        <v>0</v>
      </c>
      <c s="79" r="M285">
        <v>0</v>
      </c>
      <c s="79" r="N285">
        <f>8.9-2.05</f>
        <v>6.85</v>
      </c>
      <c s="32" r="O285">
        <f>SUMIF(Sellables!$A$2:$A$11482, $A285, Sellables!$G$2:$G$11482)</f>
        <v>2.214</v>
      </c>
      <c s="32" r="P285">
        <f>SUMIF(Skills!$A$2:$A$9999, A285, Skills!$F$2:$F$9999)</f>
        <v>0</v>
      </c>
      <c s="14" r="Q285">
        <f>(N285+O285)+P285</f>
        <v>9.064</v>
      </c>
      <c s="23" r="R285">
        <f>(E285+L285)-M285</f>
        <v>10.78</v>
      </c>
      <c s="70" r="S285">
        <f>Q285-R285</f>
        <v>-1.716</v>
      </c>
      <c s="29" r="T285">
        <f> (Q285/R285) - 1</f>
        <v>-0.159183673469388</v>
      </c>
      <c t="str" s="70" r="U285">
        <f>R285/X285</f>
        <v>#DIV/0!:divZero</v>
      </c>
      <c t="str" s="70" r="V285">
        <f>Q285/X285</f>
        <v>#DIV/0!:divZero</v>
      </c>
      <c t="s" s="30" r="W285">
        <v>120</v>
      </c>
      <c s="30" r="X285">
        <v>0</v>
      </c>
      <c t="s" s="30" r="Y285">
        <v>238</v>
      </c>
      <c t="s" s="30" r="Z285">
        <v>42</v>
      </c>
      <c s="30" r="AA285">
        <v>0</v>
      </c>
      <c s="30" r="AB285">
        <v>0</v>
      </c>
      <c s="30" r="AC285">
        <v>0</v>
      </c>
      <c s="30" r="AD285">
        <v>0</v>
      </c>
      <c s="30" r="AE285"/>
      <c t="str" s="8" r="AF285">
        <f>(I285+J285)/R285</f>
        <v>#VALUE!:notNumber:NA</v>
      </c>
      <c t="str" s="28" r="AG285">
        <f>G285/$X285</f>
        <v>#DIV/0!:divZero</v>
      </c>
      <c t="str" s="28" r="AH285">
        <f>H285/$X285</f>
        <v>#DIV/0!:divZero</v>
      </c>
      <c t="str" s="28" r="AI285">
        <f>I285/$X285</f>
        <v>#DIV/0!:divZero</v>
      </c>
      <c t="str" s="28" r="AJ285">
        <f>J285/$X285</f>
        <v>#DIV/0!:divZero</v>
      </c>
      <c t="str" s="28" r="AK285">
        <f>K285/$X285</f>
        <v>#DIV/0!:divZero</v>
      </c>
      <c s="30" r="AL285">
        <v>1</v>
      </c>
    </row>
    <row r="286">
      <c s="30" r="A286">
        <v>285</v>
      </c>
      <c t="s" s="30" r="B286">
        <v>55</v>
      </c>
      <c s="62" r="C286">
        <v>41585</v>
      </c>
      <c s="52" r="D286">
        <v>0.75</v>
      </c>
      <c s="55" r="E286">
        <f>137*0.31</f>
        <v>42.47</v>
      </c>
      <c s="55" r="F286"/>
      <c t="s" s="55" r="G286">
        <v>39</v>
      </c>
      <c t="s" s="55" r="H286">
        <v>39</v>
      </c>
      <c t="s" s="55" r="I286">
        <v>39</v>
      </c>
      <c t="s" s="55" r="J286">
        <v>39</v>
      </c>
      <c t="s" s="55" r="K286">
        <v>39</v>
      </c>
      <c s="80" r="L286">
        <v>0</v>
      </c>
      <c s="79" r="M286">
        <v>0</v>
      </c>
      <c s="79" r="N286">
        <f>37.03-3.83</f>
        <v>33.2</v>
      </c>
      <c s="32" r="O286">
        <f>SUMIF(Sellables!$A$2:$A$11482, $A286, Sellables!$G$2:$G$11482)</f>
        <v>4.1364</v>
      </c>
      <c s="32" r="P286">
        <f>SUMIF(Skills!$A$2:$A$9999, A286, Skills!$F$2:$F$9999)</f>
        <v>0</v>
      </c>
      <c s="14" r="Q286">
        <f>(N286+O286)+P286</f>
        <v>37.3364</v>
      </c>
      <c s="23" r="R286">
        <f>(E286+L286)-M286</f>
        <v>42.47</v>
      </c>
      <c s="70" r="S286">
        <f>Q286-R286</f>
        <v>-5.13359999999999</v>
      </c>
      <c s="29" r="T286">
        <f> (Q286/R286) - 1</f>
        <v>-0.120875912408759</v>
      </c>
      <c t="str" s="70" r="U286">
        <f>R286/X286</f>
        <v>#DIV/0!:divZero</v>
      </c>
      <c t="str" s="70" r="V286">
        <f>Q286/X286</f>
        <v>#DIV/0!:divZero</v>
      </c>
      <c t="s" s="30" r="W286">
        <v>133</v>
      </c>
      <c s="30" r="X286">
        <v>0</v>
      </c>
      <c t="s" s="30" r="Y286">
        <v>182</v>
      </c>
      <c t="s" s="30" r="Z286">
        <v>42</v>
      </c>
      <c s="30" r="AA286">
        <v>0</v>
      </c>
      <c s="30" r="AB286">
        <v>0</v>
      </c>
      <c s="30" r="AC286">
        <v>0</v>
      </c>
      <c s="30" r="AD286">
        <v>0</v>
      </c>
      <c s="30" r="AE286"/>
      <c t="str" s="8" r="AF286">
        <f>(I286+J286)/R286</f>
        <v>#VALUE!:notNumber:NA</v>
      </c>
      <c t="str" s="28" r="AG286">
        <f>G286/$X286</f>
        <v>#DIV/0!:divZero</v>
      </c>
      <c t="str" s="28" r="AH286">
        <f>H286/$X286</f>
        <v>#DIV/0!:divZero</v>
      </c>
      <c t="str" s="28" r="AI286">
        <f>I286/$X286</f>
        <v>#DIV/0!:divZero</v>
      </c>
      <c t="str" s="28" r="AJ286">
        <f>J286/$X286</f>
        <v>#DIV/0!:divZero</v>
      </c>
      <c t="str" s="28" r="AK286">
        <f>K286/$X286</f>
        <v>#DIV/0!:divZero</v>
      </c>
      <c s="30" r="AL286">
        <v>1</v>
      </c>
    </row>
    <row r="287">
      <c s="30" r="A287">
        <v>286</v>
      </c>
      <c t="s" s="30" r="B287">
        <v>38</v>
      </c>
      <c s="62" r="C287">
        <v>41585</v>
      </c>
      <c s="52" r="D287">
        <v>0.78125</v>
      </c>
      <c s="55" r="E287">
        <v>500</v>
      </c>
      <c s="55" r="F287"/>
      <c t="s" s="55" r="G287">
        <v>39</v>
      </c>
      <c t="s" s="55" r="H287">
        <v>39</v>
      </c>
      <c t="s" s="55" r="I287">
        <v>39</v>
      </c>
      <c t="s" s="55" r="J287">
        <v>39</v>
      </c>
      <c t="s" s="55" r="K287">
        <v>39</v>
      </c>
      <c s="80" r="L287">
        <v>103.81</v>
      </c>
      <c s="79" r="M287">
        <v>295.39</v>
      </c>
      <c s="79" r="N287">
        <f>1009.77+0.66</f>
        <v>1010.43</v>
      </c>
      <c s="32" r="O287">
        <f>SUMIF(Sellables!$A$2:$A$11482, $A287, Sellables!$G$2:$G$11482)</f>
        <v>0</v>
      </c>
      <c s="32" r="P287">
        <f>SUMIF(Skills!$A$2:$A$9999, A287, Skills!$F$2:$F$9999)</f>
        <v>0</v>
      </c>
      <c s="14" r="Q287">
        <f>((N287+O287)+P287)+AA287</f>
        <v>1014.43</v>
      </c>
      <c s="14" r="R287">
        <f>(E287+L287)-M287</f>
        <v>308.42</v>
      </c>
      <c s="70" r="S287">
        <f>Q287-R287</f>
        <v>706.01</v>
      </c>
      <c s="29" r="T287">
        <f> (Q287/R287) - 1</f>
        <v>2.28911873419363</v>
      </c>
      <c t="str" s="70" r="U287">
        <f>R287/X287</f>
        <v>#DIV/0!:divZero</v>
      </c>
      <c t="str" s="70" r="V287">
        <f>Q287/X287</f>
        <v>#DIV/0!:divZero</v>
      </c>
      <c t="s" s="30" r="W287">
        <v>237</v>
      </c>
      <c s="30" r="X287">
        <v>0</v>
      </c>
      <c t="s" s="30" r="Y287">
        <v>238</v>
      </c>
      <c t="s" s="30" r="Z287">
        <v>42</v>
      </c>
      <c s="30" r="AA287">
        <v>4</v>
      </c>
      <c s="30" r="AB287">
        <v>0</v>
      </c>
      <c s="30" r="AC287">
        <v>1</v>
      </c>
      <c s="30" r="AD287">
        <v>1</v>
      </c>
      <c s="30" r="AE287"/>
      <c t="str" s="8" r="AF287">
        <f>(I287+J287)/R287</f>
        <v>#VALUE!:notNumber:NA</v>
      </c>
      <c t="str" s="28" r="AG287">
        <f>G287/$X287</f>
        <v>#DIV/0!:divZero</v>
      </c>
      <c t="str" s="28" r="AH287">
        <f>H287/$X287</f>
        <v>#DIV/0!:divZero</v>
      </c>
      <c t="str" s="28" r="AI287">
        <f>I287/$X287</f>
        <v>#DIV/0!:divZero</v>
      </c>
      <c t="str" s="28" r="AJ287">
        <f>J287/$X287</f>
        <v>#DIV/0!:divZero</v>
      </c>
      <c t="str" s="28" r="AK287">
        <f>K287/$X287</f>
        <v>#DIV/0!:divZero</v>
      </c>
      <c s="30" r="AL287">
        <v>1</v>
      </c>
    </row>
    <row r="288">
      <c s="30" r="A288">
        <v>287</v>
      </c>
      <c t="s" s="30" r="B288">
        <v>38</v>
      </c>
      <c s="62" r="C288">
        <v>41585</v>
      </c>
      <c s="52" r="D288">
        <v>0.833333333333333</v>
      </c>
      <c s="55" r="E288">
        <v>500</v>
      </c>
      <c s="55" r="F288"/>
      <c t="s" s="55" r="G288">
        <v>39</v>
      </c>
      <c t="s" s="55" r="H288">
        <v>39</v>
      </c>
      <c t="s" s="55" r="I288">
        <v>39</v>
      </c>
      <c t="s" s="55" r="J288">
        <v>39</v>
      </c>
      <c t="s" s="55" r="K288">
        <v>39</v>
      </c>
      <c s="80" r="L288">
        <v>139.02</v>
      </c>
      <c s="79" r="M288">
        <v>190.16</v>
      </c>
      <c s="79" r="N288">
        <f>12.03+868.06</f>
        <v>880.09</v>
      </c>
      <c s="32" r="O288">
        <f>SUMIF(Sellables!$A$2:$A$11482, $A288, Sellables!$G$2:$G$11482)</f>
        <v>0</v>
      </c>
      <c s="32" r="P288">
        <f>SUMIF(Skills!$A$2:$A$9999, A288, Skills!$F$2:$F$9999)</f>
        <v>0</v>
      </c>
      <c s="14" r="Q288">
        <f>((N288+O288)+P288)+AA288</f>
        <v>880.09</v>
      </c>
      <c s="14" r="R288">
        <f>(E288+L288)-M288</f>
        <v>448.86</v>
      </c>
      <c s="70" r="S288">
        <f>Q288-R288</f>
        <v>431.23</v>
      </c>
      <c s="29" r="T288">
        <f> (Q288/R288) - 1</f>
        <v>0.960722719778995</v>
      </c>
      <c t="str" s="70" r="U288">
        <f>R288/X288</f>
        <v>#DIV/0!:divZero</v>
      </c>
      <c t="str" s="70" r="V288">
        <f>Q288/X288</f>
        <v>#DIV/0!:divZero</v>
      </c>
      <c t="s" s="30" r="W288">
        <v>237</v>
      </c>
      <c s="30" r="X288">
        <v>0</v>
      </c>
      <c t="s" s="30" r="Y288">
        <v>238</v>
      </c>
      <c t="s" s="30" r="Z288">
        <v>42</v>
      </c>
      <c s="30" r="AA288">
        <v>0</v>
      </c>
      <c s="30" r="AB288">
        <v>0</v>
      </c>
      <c s="30" r="AC288">
        <v>3</v>
      </c>
      <c s="30" r="AD288">
        <v>1</v>
      </c>
      <c s="30" r="AE288"/>
      <c t="str" s="8" r="AF288">
        <f>(I288+J288)/R288</f>
        <v>#VALUE!:notNumber:NA</v>
      </c>
      <c t="str" s="28" r="AG288">
        <f>G288/$X288</f>
        <v>#DIV/0!:divZero</v>
      </c>
      <c t="str" s="28" r="AH288">
        <f>H288/$X288</f>
        <v>#DIV/0!:divZero</v>
      </c>
      <c t="str" s="28" r="AI288">
        <f>I288/$X288</f>
        <v>#DIV/0!:divZero</v>
      </c>
      <c t="str" s="28" r="AJ288">
        <f>J288/$X288</f>
        <v>#DIV/0!:divZero</v>
      </c>
      <c t="str" s="28" r="AK288">
        <f>K288/$X288</f>
        <v>#DIV/0!:divZero</v>
      </c>
      <c s="30" r="AL288">
        <v>1</v>
      </c>
    </row>
    <row r="289">
      <c s="30" r="A289">
        <v>288</v>
      </c>
      <c t="s" s="30" r="B289">
        <v>38</v>
      </c>
      <c s="62" r="C289">
        <v>41585</v>
      </c>
      <c s="52" r="D289">
        <v>0.864583333333333</v>
      </c>
      <c s="55" r="E289">
        <v>500</v>
      </c>
      <c s="55" r="F289"/>
      <c t="s" s="55" r="G289">
        <v>39</v>
      </c>
      <c t="s" s="55" r="H289">
        <v>39</v>
      </c>
      <c t="s" s="55" r="I289">
        <v>39</v>
      </c>
      <c t="s" s="55" r="J289">
        <v>39</v>
      </c>
      <c t="s" s="55" r="K289">
        <v>39</v>
      </c>
      <c s="80" r="L289">
        <v>36.4</v>
      </c>
      <c s="79" r="M289">
        <v>420.78</v>
      </c>
      <c s="79" r="N289">
        <v>51.97</v>
      </c>
      <c s="32" r="O289">
        <f>SUMIF(Sellables!$A$2:$A$11482, $A289, Sellables!$G$2:$G$11482)</f>
        <v>0</v>
      </c>
      <c s="32" r="P289">
        <f>SUMIF(Skills!$A$2:$A$9999, A289, Skills!$F$2:$F$9999)</f>
        <v>0</v>
      </c>
      <c s="14" r="Q289">
        <f>((N289+O289)+P289)+AA289</f>
        <v>51.97</v>
      </c>
      <c s="14" r="R289">
        <f>(E289+L289)-M289</f>
        <v>115.62</v>
      </c>
      <c s="70" r="S289">
        <f>Q289-R289</f>
        <v>-63.65</v>
      </c>
      <c s="29" r="T289">
        <f> (Q289/R289) - 1</f>
        <v>-0.550510292336966</v>
      </c>
      <c t="str" s="70" r="U289">
        <f>R289/X289</f>
        <v>#DIV/0!:divZero</v>
      </c>
      <c t="str" s="70" r="V289">
        <f>Q289/X289</f>
        <v>#DIV/0!:divZero</v>
      </c>
      <c t="s" s="30" r="W289">
        <v>237</v>
      </c>
      <c s="30" r="X289">
        <v>0</v>
      </c>
      <c t="s" s="30" r="Y289">
        <v>238</v>
      </c>
      <c t="s" s="30" r="Z289">
        <v>42</v>
      </c>
      <c s="30" r="AA289">
        <v>0</v>
      </c>
      <c s="30" r="AB289">
        <v>0</v>
      </c>
      <c s="30" r="AC289">
        <v>0</v>
      </c>
      <c s="30" r="AD289">
        <v>0</v>
      </c>
      <c s="30" r="AE289"/>
      <c t="str" s="8" r="AF289">
        <f>(I289+J289)/R289</f>
        <v>#VALUE!:notNumber:NA</v>
      </c>
      <c t="str" s="28" r="AG289">
        <f>G289/$X289</f>
        <v>#DIV/0!:divZero</v>
      </c>
      <c t="str" s="28" r="AH289">
        <f>H289/$X289</f>
        <v>#DIV/0!:divZero</v>
      </c>
      <c t="str" s="28" r="AI289">
        <f>I289/$X289</f>
        <v>#DIV/0!:divZero</v>
      </c>
      <c t="str" s="28" r="AJ289">
        <f>J289/$X289</f>
        <v>#DIV/0!:divZero</v>
      </c>
      <c t="str" s="28" r="AK289">
        <f>K289/$X289</f>
        <v>#DIV/0!:divZero</v>
      </c>
      <c s="30" r="AL289">
        <v>1</v>
      </c>
    </row>
    <row r="290">
      <c s="30" r="A290">
        <v>289</v>
      </c>
      <c t="s" s="30" r="B290">
        <v>55</v>
      </c>
      <c s="62" r="C290">
        <v>41585</v>
      </c>
      <c s="52" r="D290">
        <v>0.895833333333333</v>
      </c>
      <c s="55" r="E290">
        <f>347*0.71</f>
        <v>246.37</v>
      </c>
      <c s="55" r="F290"/>
      <c t="s" s="55" r="G290">
        <v>39</v>
      </c>
      <c t="s" s="55" r="H290">
        <v>39</v>
      </c>
      <c t="s" s="55" r="I290">
        <v>39</v>
      </c>
      <c t="s" s="55" r="J290">
        <v>39</v>
      </c>
      <c t="s" s="55" r="K290">
        <v>39</v>
      </c>
      <c s="80" r="L290">
        <v>0</v>
      </c>
      <c s="79" r="M290">
        <v>0</v>
      </c>
      <c s="79" r="N290">
        <f>263.64-105.30</f>
        <v>158.34</v>
      </c>
      <c s="32" r="O290">
        <f>SUMIF(Sellables!$A$2:$A$11482, $A290, Sellables!$G$2:$G$11482)</f>
        <v>113.724</v>
      </c>
      <c s="32" r="P290">
        <f>SUMIF(Skills!$A$2:$A$9999, A290, Skills!$F$2:$F$9999)</f>
        <v>0</v>
      </c>
      <c s="14" r="Q290">
        <f>(N290+O290)+P290</f>
        <v>272.064</v>
      </c>
      <c s="23" r="R290">
        <f>(E290+L290)-M290</f>
        <v>246.37</v>
      </c>
      <c s="70" r="S290">
        <f>Q290-R290</f>
        <v>25.694</v>
      </c>
      <c s="29" r="T290">
        <f> (Q290/R290) - 1</f>
        <v>0.104290295084629</v>
      </c>
      <c t="str" s="70" r="U290">
        <f>R290/X290</f>
        <v>#DIV/0!:divZero</v>
      </c>
      <c t="str" s="70" r="V290">
        <f>Q290/X290</f>
        <v>#DIV/0!:divZero</v>
      </c>
      <c t="s" s="30" r="W290">
        <v>56</v>
      </c>
      <c s="30" r="X290">
        <v>0</v>
      </c>
      <c t="s" s="30" r="Y290">
        <v>182</v>
      </c>
      <c t="s" s="30" r="Z290">
        <v>42</v>
      </c>
      <c s="30" r="AA290">
        <v>0</v>
      </c>
      <c s="30" r="AB290">
        <v>0</v>
      </c>
      <c s="30" r="AC290">
        <v>0</v>
      </c>
      <c s="30" r="AD290">
        <v>0</v>
      </c>
      <c s="30" r="AE290"/>
      <c t="str" s="8" r="AF290">
        <f>(I290+J290)/R290</f>
        <v>#VALUE!:notNumber:NA</v>
      </c>
      <c t="str" s="28" r="AG290">
        <f>G290/$X290</f>
        <v>#DIV/0!:divZero</v>
      </c>
      <c t="str" s="28" r="AH290">
        <f>H290/$X290</f>
        <v>#DIV/0!:divZero</v>
      </c>
      <c t="str" s="28" r="AI290">
        <f>I290/$X290</f>
        <v>#DIV/0!:divZero</v>
      </c>
      <c t="str" s="28" r="AJ290">
        <f>J290/$X290</f>
        <v>#DIV/0!:divZero</v>
      </c>
      <c t="str" s="28" r="AK290">
        <f>K290/$X290</f>
        <v>#DIV/0!:divZero</v>
      </c>
      <c s="30" r="AL290">
        <v>1</v>
      </c>
    </row>
    <row r="291">
      <c s="30" r="A291">
        <v>290</v>
      </c>
      <c t="s" s="30" r="B291">
        <v>38</v>
      </c>
      <c s="62" r="C291">
        <v>41585</v>
      </c>
      <c s="52" r="D291">
        <v>0.916666666666667</v>
      </c>
      <c s="55" r="E291">
        <v>200</v>
      </c>
      <c s="55" r="F291"/>
      <c t="s" s="55" r="G291">
        <v>39</v>
      </c>
      <c t="s" s="55" r="H291">
        <v>39</v>
      </c>
      <c t="s" s="55" r="I291">
        <v>39</v>
      </c>
      <c t="s" s="55" r="J291">
        <v>39</v>
      </c>
      <c t="s" s="55" r="K291">
        <v>39</v>
      </c>
      <c s="80" r="L291">
        <v>38.89</v>
      </c>
      <c s="79" r="M291">
        <v>116.21</v>
      </c>
      <c s="79" r="N291">
        <v>47.53</v>
      </c>
      <c s="32" r="O291">
        <f>SUMIF(Sellables!$A$2:$A$11482, $A291, Sellables!$G$2:$G$11482)</f>
        <v>0</v>
      </c>
      <c s="32" r="P291">
        <f>SUMIF(Skills!$A$2:$A$9999, A291, Skills!$F$2:$F$9999)</f>
        <v>0</v>
      </c>
      <c s="14" r="Q291">
        <f>((N291+O291)+P291)+AA291</f>
        <v>47.53</v>
      </c>
      <c s="14" r="R291">
        <f>(E291+L291)-M291</f>
        <v>122.68</v>
      </c>
      <c s="70" r="S291">
        <f>Q291-R291</f>
        <v>-75.15</v>
      </c>
      <c s="29" r="T291">
        <f> (Q291/R291) - 1</f>
        <v>-0.61256928594718</v>
      </c>
      <c t="str" s="70" r="U291">
        <f>R291/X291</f>
        <v>#DIV/0!:divZero</v>
      </c>
      <c t="str" s="70" r="V291">
        <f>Q291/X291</f>
        <v>#DIV/0!:divZero</v>
      </c>
      <c t="s" s="30" r="W291">
        <v>237</v>
      </c>
      <c s="30" r="X291">
        <v>0</v>
      </c>
      <c t="s" s="30" r="Y291">
        <v>238</v>
      </c>
      <c t="s" s="30" r="Z291">
        <v>42</v>
      </c>
      <c s="30" r="AA291">
        <v>0</v>
      </c>
      <c s="30" r="AB291">
        <v>1</v>
      </c>
      <c s="30" r="AC291">
        <v>0</v>
      </c>
      <c s="30" r="AD291">
        <v>0</v>
      </c>
      <c s="30" r="AE291"/>
      <c t="str" s="8" r="AF291">
        <f>(I291+J291)/R291</f>
        <v>#VALUE!:notNumber:NA</v>
      </c>
      <c t="str" s="28" r="AG291">
        <f>G291/$X291</f>
        <v>#DIV/0!:divZero</v>
      </c>
      <c t="str" s="28" r="AH291">
        <f>H291/$X291</f>
        <v>#DIV/0!:divZero</v>
      </c>
      <c t="str" s="28" r="AI291">
        <f>I291/$X291</f>
        <v>#DIV/0!:divZero</v>
      </c>
      <c t="str" s="28" r="AJ291">
        <f>J291/$X291</f>
        <v>#DIV/0!:divZero</v>
      </c>
      <c t="str" s="28" r="AK291">
        <f>K291/$X291</f>
        <v>#DIV/0!:divZero</v>
      </c>
      <c s="30" r="AL291">
        <v>1</v>
      </c>
    </row>
    <row r="292">
      <c s="30" r="A292">
        <v>291</v>
      </c>
      <c t="s" s="30" r="B292">
        <v>38</v>
      </c>
      <c s="62" r="C292">
        <v>41586</v>
      </c>
      <c s="52" r="D292">
        <v>0.708333333333333</v>
      </c>
      <c s="55" r="E292">
        <v>550</v>
      </c>
      <c s="55" r="F292"/>
      <c t="s" s="55" r="G292">
        <v>39</v>
      </c>
      <c t="s" s="55" r="H292">
        <v>39</v>
      </c>
      <c t="s" s="55" r="I292">
        <v>39</v>
      </c>
      <c t="s" s="55" r="J292">
        <v>39</v>
      </c>
      <c t="s" s="55" r="K292">
        <v>39</v>
      </c>
      <c s="80" r="L292">
        <v>144.12</v>
      </c>
      <c s="79" r="M292">
        <v>220.24</v>
      </c>
      <c s="79" r="N292">
        <v>276.11</v>
      </c>
      <c s="32" r="O292">
        <f>SUMIF(Sellables!$A$2:$A$11482, $A292, Sellables!$G$2:$G$11482)</f>
        <v>300</v>
      </c>
      <c s="32" r="P292">
        <f>SUMIF(Skills!$A$2:$A$9999, A292, Skills!$F$2:$F$9999)</f>
        <v>0</v>
      </c>
      <c s="14" r="Q292">
        <f>((N292+O292)+P292)+AA292</f>
        <v>576.11</v>
      </c>
      <c s="14" r="R292">
        <f>(E292+L292)-M292</f>
        <v>473.88</v>
      </c>
      <c s="70" r="S292">
        <f>Q292-R292</f>
        <v>102.23</v>
      </c>
      <c s="29" r="T292">
        <f> (Q292/R292) - 1</f>
        <v>0.215729720604372</v>
      </c>
      <c s="70" r="U292">
        <f>R292/X292</f>
        <v>6.23526315789474</v>
      </c>
      <c s="70" r="V292">
        <f>Q292/X292</f>
        <v>7.58039473684211</v>
      </c>
      <c t="s" s="30" r="W292">
        <v>234</v>
      </c>
      <c s="30" r="X292">
        <v>76</v>
      </c>
      <c t="s" s="30" r="Y292">
        <v>238</v>
      </c>
      <c t="s" s="30" r="Z292">
        <v>42</v>
      </c>
      <c s="30" r="AA292">
        <v>0</v>
      </c>
      <c s="30" r="AB292">
        <v>0</v>
      </c>
      <c s="30" r="AC292">
        <v>0</v>
      </c>
      <c s="30" r="AD292">
        <v>0</v>
      </c>
      <c s="30" r="AE292"/>
      <c t="str" s="8" r="AF292">
        <f>(I292+J292)/R292</f>
        <v>#VALUE!:notNumber:NA</v>
      </c>
      <c t="str" s="28" r="AG292">
        <f>G292/$X292</f>
        <v>#VALUE!:notNumber:NA</v>
      </c>
      <c t="str" s="28" r="AH292">
        <f>H292/$X292</f>
        <v>#VALUE!:notNumber:NA</v>
      </c>
      <c t="str" s="28" r="AI292">
        <f>I292/$X292</f>
        <v>#VALUE!:notNumber:NA</v>
      </c>
      <c t="str" s="28" r="AJ292">
        <f>J292/$X292</f>
        <v>#VALUE!:notNumber:NA</v>
      </c>
      <c t="str" s="28" r="AK292">
        <f>K292/$X292</f>
        <v>#VALUE!:notNumber:NA</v>
      </c>
      <c s="30" r="AL292">
        <v>1</v>
      </c>
    </row>
    <row r="293">
      <c s="30" r="A293">
        <v>292</v>
      </c>
      <c t="s" s="30" r="B293">
        <v>55</v>
      </c>
      <c s="62" r="C293">
        <v>41586</v>
      </c>
      <c s="52" r="D293">
        <v>0.770833333333333</v>
      </c>
      <c s="55" r="E293">
        <f>696*0.05</f>
        <v>34.8</v>
      </c>
      <c s="55" r="F293"/>
      <c t="s" s="55" r="G293">
        <v>39</v>
      </c>
      <c t="s" s="55" r="H293">
        <v>39</v>
      </c>
      <c t="s" s="55" r="I293">
        <v>39</v>
      </c>
      <c t="s" s="55" r="J293">
        <v>39</v>
      </c>
      <c t="s" s="55" r="K293">
        <v>39</v>
      </c>
      <c s="80" r="L293">
        <v>0</v>
      </c>
      <c s="79" r="M293">
        <v>0</v>
      </c>
      <c s="79" r="N293">
        <f>(24.55-2.52)-1.32</f>
        <v>20.71</v>
      </c>
      <c s="32" r="O293">
        <f>SUMIF(Sellables!$A$2:$A$11482, $A293, Sellables!$G$2:$G$11482)</f>
        <v>4.0392</v>
      </c>
      <c s="32" r="P293">
        <f>SUMIF(Skills!$A$2:$A$9999, A293, Skills!$F$2:$F$9999)</f>
        <v>0</v>
      </c>
      <c s="14" r="Q293">
        <f>(N293+O293)+P293</f>
        <v>24.7492</v>
      </c>
      <c s="23" r="R293">
        <f>(E293+L293)-M293</f>
        <v>34.8</v>
      </c>
      <c s="70" r="S293">
        <f>Q293-R293</f>
        <v>-10.0508</v>
      </c>
      <c s="29" r="T293">
        <f> (Q293/R293) - 1</f>
        <v>-0.288816091954023</v>
      </c>
      <c t="str" s="70" r="U293">
        <f>R293/X293</f>
        <v>#DIV/0!:divZero</v>
      </c>
      <c t="str" s="70" r="V293">
        <f>Q293/X293</f>
        <v>#DIV/0!:divZero</v>
      </c>
      <c t="s" s="30" r="W293">
        <v>241</v>
      </c>
      <c s="30" r="X293">
        <v>0</v>
      </c>
      <c t="s" s="30" r="Y293">
        <v>235</v>
      </c>
      <c t="s" s="30" r="Z293">
        <v>42</v>
      </c>
      <c s="30" r="AA293">
        <v>0</v>
      </c>
      <c s="30" r="AB293">
        <v>0</v>
      </c>
      <c s="30" r="AC293">
        <v>0</v>
      </c>
      <c s="30" r="AD293">
        <v>0</v>
      </c>
      <c s="30" r="AE293"/>
      <c t="str" s="8" r="AF293">
        <f>(I293+J293)/R293</f>
        <v>#VALUE!:notNumber:NA</v>
      </c>
      <c t="str" s="28" r="AG293">
        <f>G293/$X293</f>
        <v>#DIV/0!:divZero</v>
      </c>
      <c t="str" s="28" r="AH293">
        <f>H293/$X293</f>
        <v>#DIV/0!:divZero</v>
      </c>
      <c t="str" s="28" r="AI293">
        <f>I293/$X293</f>
        <v>#DIV/0!:divZero</v>
      </c>
      <c t="str" s="28" r="AJ293">
        <f>J293/$X293</f>
        <v>#DIV/0!:divZero</v>
      </c>
      <c t="str" s="28" r="AK293">
        <f>K293/$X293</f>
        <v>#DIV/0!:divZero</v>
      </c>
      <c s="30" r="AL293">
        <v>1</v>
      </c>
    </row>
    <row r="294">
      <c s="30" r="A294">
        <v>293</v>
      </c>
      <c t="s" s="30" r="B294">
        <v>38</v>
      </c>
      <c s="62" r="C294">
        <v>41586</v>
      </c>
      <c s="52" r="D294">
        <v>0.895833333333333</v>
      </c>
      <c s="55" r="E294">
        <v>500</v>
      </c>
      <c s="55" r="F294"/>
      <c t="s" s="55" r="G294">
        <v>39</v>
      </c>
      <c t="s" s="55" r="H294">
        <v>39</v>
      </c>
      <c t="s" s="55" r="I294">
        <v>39</v>
      </c>
      <c t="s" s="55" r="J294">
        <v>39</v>
      </c>
      <c t="s" s="55" r="K294">
        <v>39</v>
      </c>
      <c s="80" r="L294">
        <v>100.11</v>
      </c>
      <c s="79" r="M294">
        <v>308.4</v>
      </c>
      <c s="79" r="N294">
        <v>217.75</v>
      </c>
      <c s="32" r="O294">
        <f>SUMIF(Sellables!$A$2:$A$11482, $A294, Sellables!$G$2:$G$11482)</f>
        <v>0</v>
      </c>
      <c s="32" r="P294">
        <f>SUMIF(Skills!$A$2:$A$9999, A294, Skills!$F$2:$F$9999)</f>
        <v>0</v>
      </c>
      <c s="14" r="Q294">
        <f>((N294+O294)+P294)+AA294</f>
        <v>217.75</v>
      </c>
      <c s="14" r="R294">
        <f>(E294+L294)-M294</f>
        <v>291.71</v>
      </c>
      <c s="70" r="S294">
        <f>Q294-R294</f>
        <v>-73.96</v>
      </c>
      <c s="29" r="T294">
        <f> (Q294/R294) - 1</f>
        <v>-0.253539474135271</v>
      </c>
      <c s="70" r="U294">
        <f>R294/X294</f>
        <v>5.20910714285714</v>
      </c>
      <c s="70" r="V294">
        <f>Q294/X294</f>
        <v>3.88839285714286</v>
      </c>
      <c t="s" s="30" r="W294">
        <v>234</v>
      </c>
      <c s="30" r="X294">
        <v>56</v>
      </c>
      <c t="s" s="30" r="Y294">
        <v>238</v>
      </c>
      <c t="s" s="30" r="Z294">
        <v>42</v>
      </c>
      <c s="30" r="AA294">
        <v>0</v>
      </c>
      <c s="30" r="AB294">
        <v>0</v>
      </c>
      <c s="30" r="AC294">
        <v>1</v>
      </c>
      <c s="30" r="AD294">
        <v>0</v>
      </c>
      <c s="30" r="AE294"/>
      <c t="str" s="8" r="AF294">
        <f>(I294+J294)/R294</f>
        <v>#VALUE!:notNumber:NA</v>
      </c>
      <c t="str" s="28" r="AG294">
        <f>G294/$X294</f>
        <v>#VALUE!:notNumber:NA</v>
      </c>
      <c t="str" s="28" r="AH294">
        <f>H294/$X294</f>
        <v>#VALUE!:notNumber:NA</v>
      </c>
      <c t="str" s="28" r="AI294">
        <f>I294/$X294</f>
        <v>#VALUE!:notNumber:NA</v>
      </c>
      <c t="str" s="28" r="AJ294">
        <f>J294/$X294</f>
        <v>#VALUE!:notNumber:NA</v>
      </c>
      <c t="str" s="28" r="AK294">
        <f>K294/$X294</f>
        <v>#VALUE!:notNumber:NA</v>
      </c>
      <c s="30" r="AL294">
        <v>1</v>
      </c>
    </row>
    <row r="295">
      <c s="30" r="A295">
        <v>294</v>
      </c>
      <c t="s" s="30" r="B295">
        <v>38</v>
      </c>
      <c s="62" r="C295">
        <v>41587</v>
      </c>
      <c s="52" r="D295">
        <v>0.541666666666667</v>
      </c>
      <c s="55" r="E295">
        <v>500</v>
      </c>
      <c s="55" r="F295"/>
      <c t="s" s="55" r="G295">
        <v>39</v>
      </c>
      <c t="s" s="55" r="H295">
        <v>39</v>
      </c>
      <c t="s" s="55" r="I295">
        <v>39</v>
      </c>
      <c t="s" s="55" r="J295">
        <v>39</v>
      </c>
      <c t="s" s="55" r="K295">
        <v>39</v>
      </c>
      <c s="80" r="L295">
        <v>112.39</v>
      </c>
      <c s="79" r="M295">
        <v>222.62</v>
      </c>
      <c s="79" r="N295">
        <f>8.28+253.34</f>
        <v>261.62</v>
      </c>
      <c s="32" r="O295">
        <f>SUMIF(Sellables!$A$2:$A$11482, $A295, Sellables!$G$2:$G$11482)</f>
        <v>0</v>
      </c>
      <c s="32" r="P295">
        <f>SUMIF(Skills!$A$2:$A$9999, A295, Skills!$F$2:$F$9999)</f>
        <v>0</v>
      </c>
      <c s="14" r="Q295">
        <f>((N295+O295)+P295)+AA295</f>
        <v>261.62</v>
      </c>
      <c s="14" r="R295">
        <f>(E295+L295)-M295</f>
        <v>389.77</v>
      </c>
      <c s="70" r="S295">
        <f>Q295-R295</f>
        <v>-128.15</v>
      </c>
      <c s="29" r="T295">
        <f> (Q295/R295) - 1</f>
        <v>-0.32878364163481</v>
      </c>
      <c s="70" r="U295">
        <f>R295/X295</f>
        <v>6.60627118644068</v>
      </c>
      <c s="70" r="V295">
        <f>Q295/X295</f>
        <v>4.43423728813559</v>
      </c>
      <c t="s" s="30" r="W295">
        <v>234</v>
      </c>
      <c s="30" r="X295">
        <v>59</v>
      </c>
      <c t="s" s="30" r="Y295">
        <v>238</v>
      </c>
      <c t="s" s="30" r="Z295">
        <v>42</v>
      </c>
      <c s="30" r="AA295">
        <v>0</v>
      </c>
      <c s="30" r="AB295">
        <v>0</v>
      </c>
      <c s="30" r="AC295">
        <v>1</v>
      </c>
      <c s="30" r="AD295">
        <v>0</v>
      </c>
      <c s="30" r="AE295"/>
      <c t="str" s="8" r="AF295">
        <f>(I295+J295)/R295</f>
        <v>#VALUE!:notNumber:NA</v>
      </c>
      <c t="str" s="28" r="AG295">
        <f>G295/$X295</f>
        <v>#VALUE!:notNumber:NA</v>
      </c>
      <c t="str" s="28" r="AH295">
        <f>H295/$X295</f>
        <v>#VALUE!:notNumber:NA</v>
      </c>
      <c t="str" s="28" r="AI295">
        <f>I295/$X295</f>
        <v>#VALUE!:notNumber:NA</v>
      </c>
      <c t="str" s="28" r="AJ295">
        <f>J295/$X295</f>
        <v>#VALUE!:notNumber:NA</v>
      </c>
      <c t="str" s="28" r="AK295">
        <f>K295/$X295</f>
        <v>#VALUE!:notNumber:NA</v>
      </c>
      <c s="30" r="AL295">
        <v>1</v>
      </c>
    </row>
    <row r="296">
      <c s="30" r="A296">
        <v>295</v>
      </c>
      <c t="s" s="30" r="B296">
        <v>55</v>
      </c>
      <c s="62" r="C296">
        <v>41587</v>
      </c>
      <c s="52" r="D296">
        <v>0.555555555555556</v>
      </c>
      <c s="55" r="E296">
        <f>331*0.71</f>
        <v>235.01</v>
      </c>
      <c s="55" r="F296"/>
      <c t="s" s="55" r="G296">
        <v>39</v>
      </c>
      <c t="s" s="55" r="H296">
        <v>39</v>
      </c>
      <c t="s" s="55" r="I296">
        <v>39</v>
      </c>
      <c t="s" s="55" r="J296">
        <v>39</v>
      </c>
      <c t="s" s="55" r="K296">
        <v>39</v>
      </c>
      <c s="80" r="L296">
        <v>0</v>
      </c>
      <c s="79" r="M296">
        <v>0</v>
      </c>
      <c s="79" r="N296">
        <f>289.91-101.10</f>
        <v>188.81</v>
      </c>
      <c s="32" r="O296">
        <f>SUMIF(Sellables!$A$2:$A$11482, $A296, Sellables!$G$2:$G$11482)</f>
        <v>108.177</v>
      </c>
      <c s="32" r="P296">
        <f>SUMIF(Skills!$A$2:$A$9999, A296, Skills!$F$2:$F$9999)</f>
        <v>0</v>
      </c>
      <c s="14" r="Q296">
        <f>(N296+O296)+P296</f>
        <v>296.987</v>
      </c>
      <c s="23" r="R296">
        <f>(E296+L296)-M296</f>
        <v>235.01</v>
      </c>
      <c s="70" r="S296">
        <f>Q296-R296</f>
        <v>61.977</v>
      </c>
      <c s="29" r="T296">
        <f> (Q296/R296) - 1</f>
        <v>0.263720692736479</v>
      </c>
      <c t="str" s="70" r="U296">
        <f>R296/X296</f>
        <v>#DIV/0!:divZero</v>
      </c>
      <c t="str" s="70" r="V296">
        <f>Q296/X296</f>
        <v>#DIV/0!:divZero</v>
      </c>
      <c t="s" s="30" r="W296">
        <v>56</v>
      </c>
      <c s="30" r="X296">
        <v>0</v>
      </c>
      <c t="s" s="30" r="Y296">
        <v>235</v>
      </c>
      <c t="s" s="30" r="Z296">
        <v>42</v>
      </c>
      <c s="30" r="AA296">
        <v>0</v>
      </c>
      <c s="30" r="AB296">
        <v>0</v>
      </c>
      <c s="30" r="AC296">
        <v>1</v>
      </c>
      <c s="30" r="AD296">
        <v>0</v>
      </c>
      <c s="30" r="AE296"/>
      <c t="str" s="8" r="AF296">
        <f>(I296+J296)/R296</f>
        <v>#VALUE!:notNumber:NA</v>
      </c>
      <c t="str" s="28" r="AG296">
        <f>G296/$X296</f>
        <v>#DIV/0!:divZero</v>
      </c>
      <c t="str" s="28" r="AH296">
        <f>H296/$X296</f>
        <v>#DIV/0!:divZero</v>
      </c>
      <c t="str" s="28" r="AI296">
        <f>I296/$X296</f>
        <v>#DIV/0!:divZero</v>
      </c>
      <c t="str" s="28" r="AJ296">
        <f>J296/$X296</f>
        <v>#DIV/0!:divZero</v>
      </c>
      <c t="str" s="28" r="AK296">
        <f>K296/$X296</f>
        <v>#DIV/0!:divZero</v>
      </c>
      <c s="30" r="AL296">
        <v>1</v>
      </c>
    </row>
    <row r="297">
      <c s="30" r="A297">
        <v>296</v>
      </c>
      <c t="s" s="30" r="B297">
        <v>55</v>
      </c>
      <c s="62" r="C297">
        <v>41587</v>
      </c>
      <c s="52" r="D297">
        <v>0.576388888888889</v>
      </c>
      <c s="55" r="E297">
        <f>226*0.61</f>
        <v>137.86</v>
      </c>
      <c s="55" r="F297"/>
      <c t="s" s="55" r="G297">
        <v>39</v>
      </c>
      <c t="s" s="55" r="H297">
        <v>39</v>
      </c>
      <c t="s" s="55" r="I297">
        <v>39</v>
      </c>
      <c t="s" s="55" r="J297">
        <v>39</v>
      </c>
      <c t="s" s="55" r="K297">
        <v>39</v>
      </c>
      <c s="80" r="L297">
        <v>0</v>
      </c>
      <c s="79" r="M297">
        <v>0</v>
      </c>
      <c s="79" r="N297">
        <f>(109.90-21.28)-23.84</f>
        <v>64.78</v>
      </c>
      <c s="32" r="O297">
        <f>SUMIF(Sellables!$A$2:$A$11482, $A297, Sellables!$G$2:$G$11482)</f>
        <v>47.776</v>
      </c>
      <c s="32" r="P297">
        <f>SUMIF(Skills!$A$2:$A$9999, A297, Skills!$F$2:$F$9999)</f>
        <v>0</v>
      </c>
      <c s="14" r="Q297">
        <f>(N297+O297)+P297</f>
        <v>112.556</v>
      </c>
      <c s="23" r="R297">
        <f>(E297+L297)-M297</f>
        <v>137.86</v>
      </c>
      <c s="70" r="S297">
        <f>Q297-R297</f>
        <v>-25.304</v>
      </c>
      <c s="29" r="T297">
        <f> (Q297/R297) - 1</f>
        <v>-0.183548527491658</v>
      </c>
      <c t="str" s="70" r="U297">
        <f>R297/X297</f>
        <v>#DIV/0!:divZero</v>
      </c>
      <c t="str" s="70" r="V297">
        <f>Q297/X297</f>
        <v>#DIV/0!:divZero</v>
      </c>
      <c t="s" s="30" r="W297">
        <v>98</v>
      </c>
      <c s="30" r="X297">
        <v>0</v>
      </c>
      <c t="s" s="30" r="Y297">
        <v>235</v>
      </c>
      <c t="s" s="30" r="Z297">
        <v>42</v>
      </c>
      <c s="30" r="AA297">
        <v>0</v>
      </c>
      <c s="30" r="AB297">
        <v>0</v>
      </c>
      <c s="30" r="AC297">
        <v>0</v>
      </c>
      <c s="30" r="AD297">
        <v>0</v>
      </c>
      <c s="30" r="AE297"/>
      <c t="str" s="8" r="AF297">
        <f>(I297+J297)/R297</f>
        <v>#VALUE!:notNumber:NA</v>
      </c>
      <c t="str" s="28" r="AG297">
        <f>G297/$X297</f>
        <v>#DIV/0!:divZero</v>
      </c>
      <c t="str" s="28" r="AH297">
        <f>H297/$X297</f>
        <v>#DIV/0!:divZero</v>
      </c>
      <c t="str" s="28" r="AI297">
        <f>I297/$X297</f>
        <v>#DIV/0!:divZero</v>
      </c>
      <c t="str" s="28" r="AJ297">
        <f>J297/$X297</f>
        <v>#DIV/0!:divZero</v>
      </c>
      <c t="str" s="28" r="AK297">
        <f>K297/$X297</f>
        <v>#DIV/0!:divZero</v>
      </c>
      <c s="30" r="AL297">
        <v>1</v>
      </c>
    </row>
    <row r="298">
      <c s="30" r="A298">
        <v>297</v>
      </c>
      <c t="s" s="30" r="B298">
        <v>55</v>
      </c>
      <c s="62" r="C298">
        <v>41587</v>
      </c>
      <c s="52" r="D298">
        <v>0.604166666666667</v>
      </c>
      <c s="55" r="E298">
        <f>712*0.07</f>
        <v>49.84</v>
      </c>
      <c s="55" r="F298"/>
      <c t="s" s="55" r="G298">
        <v>39</v>
      </c>
      <c t="s" s="55" r="H298">
        <v>39</v>
      </c>
      <c t="s" s="55" r="I298">
        <v>39</v>
      </c>
      <c t="s" s="55" r="J298">
        <v>39</v>
      </c>
      <c t="s" s="55" r="K298">
        <v>39</v>
      </c>
      <c s="80" r="L298">
        <v>0</v>
      </c>
      <c s="79" r="M298">
        <v>0</v>
      </c>
      <c s="79" r="N298">
        <v>49.84</v>
      </c>
      <c s="32" r="O298">
        <f>SUMIF(Sellables!$A$2:$A$11482, $A298, Sellables!$G$2:$G$11482)</f>
        <v>0</v>
      </c>
      <c s="32" r="P298">
        <f>SUMIF(Skills!$A$2:$A$9999, A298, Skills!$F$2:$F$9999)</f>
        <v>0</v>
      </c>
      <c s="14" r="Q298">
        <f>(N298+O298)+P298</f>
        <v>49.84</v>
      </c>
      <c s="23" r="R298">
        <f>(E298+L298)-M298</f>
        <v>49.84</v>
      </c>
      <c s="70" r="S298">
        <f>Q298-R298</f>
        <v>0</v>
      </c>
      <c s="29" r="T298">
        <f> (Q298/R298) - 1</f>
        <v>0</v>
      </c>
      <c t="str" s="70" r="U298">
        <f>R298/X298</f>
        <v>#DIV/0!:divZero</v>
      </c>
      <c t="str" s="70" r="V298">
        <f>Q298/X298</f>
        <v>#DIV/0!:divZero</v>
      </c>
      <c t="s" s="30" r="W298">
        <v>120</v>
      </c>
      <c s="30" r="X298">
        <v>0</v>
      </c>
      <c t="s" s="30" r="Y298">
        <v>235</v>
      </c>
      <c t="s" s="30" r="Z298">
        <v>42</v>
      </c>
      <c s="30" r="AA298">
        <v>0</v>
      </c>
      <c s="30" r="AB298">
        <v>0</v>
      </c>
      <c s="30" r="AC298">
        <v>0</v>
      </c>
      <c s="30" r="AD298">
        <v>0</v>
      </c>
      <c s="30" r="AE298"/>
      <c t="str" s="8" r="AF298">
        <f>(I298+J298)/R298</f>
        <v>#VALUE!:notNumber:NA</v>
      </c>
      <c t="str" s="28" r="AG298">
        <f>G298/$X298</f>
        <v>#DIV/0!:divZero</v>
      </c>
      <c t="str" s="28" r="AH298">
        <f>H298/$X298</f>
        <v>#DIV/0!:divZero</v>
      </c>
      <c t="str" s="28" r="AI298">
        <f>I298/$X298</f>
        <v>#DIV/0!:divZero</v>
      </c>
      <c t="str" s="28" r="AJ298">
        <f>J298/$X298</f>
        <v>#DIV/0!:divZero</v>
      </c>
      <c t="str" s="28" r="AK298">
        <f>K298/$X298</f>
        <v>#DIV/0!:divZero</v>
      </c>
      <c s="30" r="AL298">
        <v>1</v>
      </c>
    </row>
    <row r="299">
      <c s="30" r="A299">
        <v>298</v>
      </c>
      <c t="s" s="30" r="B299">
        <v>38</v>
      </c>
      <c s="62" r="C299">
        <v>41587</v>
      </c>
      <c s="52" r="D299">
        <v>0.631944444444444</v>
      </c>
      <c s="55" r="E299">
        <v>500</v>
      </c>
      <c s="55" r="F299"/>
      <c t="s" s="55" r="G299">
        <v>39</v>
      </c>
      <c t="s" s="55" r="H299">
        <v>39</v>
      </c>
      <c t="s" s="55" r="I299">
        <v>39</v>
      </c>
      <c t="s" s="55" r="J299">
        <v>39</v>
      </c>
      <c t="s" s="55" r="K299">
        <v>39</v>
      </c>
      <c s="80" r="L299">
        <v>172.07</v>
      </c>
      <c s="79" r="M299">
        <v>121.84</v>
      </c>
      <c s="79" r="N299">
        <v>494.13</v>
      </c>
      <c s="32" r="O299">
        <f>SUMIF(Sellables!$A$2:$A$11482, $A299, Sellables!$G$2:$G$11482)</f>
        <v>0</v>
      </c>
      <c s="32" r="P299">
        <f>SUMIF(Skills!$A$2:$A$9999, A299, Skills!$F$2:$F$9999)</f>
        <v>0</v>
      </c>
      <c s="14" r="Q299">
        <f>((N299+O299)+P299)+AA299</f>
        <v>494.13</v>
      </c>
      <c s="14" r="R299">
        <f>(E299+L299)-M299</f>
        <v>550.23</v>
      </c>
      <c s="70" r="S299">
        <f>Q299-R299</f>
        <v>-56.0999999999999</v>
      </c>
      <c s="29" r="T299">
        <f> (Q299/R299) - 1</f>
        <v>-0.101957363284444</v>
      </c>
      <c s="70" r="U299">
        <f>R299/X299</f>
        <v>6.47329411764706</v>
      </c>
      <c s="70" r="V299">
        <f>Q299/X299</f>
        <v>5.81329411764706</v>
      </c>
      <c t="s" s="30" r="W299">
        <v>234</v>
      </c>
      <c s="30" r="X299">
        <v>85</v>
      </c>
      <c t="s" s="30" r="Y299">
        <v>238</v>
      </c>
      <c t="s" s="30" r="Z299">
        <v>42</v>
      </c>
      <c s="30" r="AA299">
        <v>0</v>
      </c>
      <c s="30" r="AB299">
        <v>0</v>
      </c>
      <c s="30" r="AC299">
        <v>3</v>
      </c>
      <c s="30" r="AD299">
        <v>0</v>
      </c>
      <c s="30" r="AE299"/>
      <c t="str" s="8" r="AF299">
        <f>(I299+J299)/R299</f>
        <v>#VALUE!:notNumber:NA</v>
      </c>
      <c t="str" s="28" r="AG299">
        <f>G299/$X299</f>
        <v>#VALUE!:notNumber:NA</v>
      </c>
      <c t="str" s="28" r="AH299">
        <f>H299/$X299</f>
        <v>#VALUE!:notNumber:NA</v>
      </c>
      <c t="str" s="28" r="AI299">
        <f>I299/$X299</f>
        <v>#VALUE!:notNumber:NA</v>
      </c>
      <c t="str" s="28" r="AJ299">
        <f>J299/$X299</f>
        <v>#VALUE!:notNumber:NA</v>
      </c>
      <c t="str" s="28" r="AK299">
        <f>K299/$X299</f>
        <v>#VALUE!:notNumber:NA</v>
      </c>
      <c s="30" r="AL299">
        <v>1</v>
      </c>
    </row>
    <row r="300">
      <c s="30" r="A300">
        <v>299</v>
      </c>
      <c t="s" s="30" r="B300">
        <v>38</v>
      </c>
      <c s="62" r="C300">
        <v>41587</v>
      </c>
      <c s="52" r="D300">
        <v>0.677083333333333</v>
      </c>
      <c s="55" r="E300">
        <v>500</v>
      </c>
      <c s="55" r="F300"/>
      <c t="s" s="55" r="G300">
        <v>39</v>
      </c>
      <c t="s" s="55" r="H300">
        <v>39</v>
      </c>
      <c t="s" s="55" r="I300">
        <v>39</v>
      </c>
      <c t="s" s="55" r="J300">
        <v>39</v>
      </c>
      <c t="s" s="55" r="K300">
        <v>39</v>
      </c>
      <c s="80" r="L300">
        <v>67.71</v>
      </c>
      <c s="79" r="M300">
        <v>365.84</v>
      </c>
      <c s="79" r="N300">
        <v>118.46</v>
      </c>
      <c s="32" r="O300">
        <f>SUMIF(Sellables!$A$2:$A$11482, $A300, Sellables!$G$2:$G$11482)</f>
        <v>0</v>
      </c>
      <c s="32" r="P300">
        <f>SUMIF(Skills!$A$2:$A$9999, A300, Skills!$F$2:$F$9999)</f>
        <v>31.222421</v>
      </c>
      <c s="14" r="Q300">
        <f>((N300+O300)+P300)+AA300</f>
        <v>149.682421</v>
      </c>
      <c s="14" r="R300">
        <f>(E300+L300)-M300</f>
        <v>201.87</v>
      </c>
      <c s="70" r="S300">
        <f>Q300-R300</f>
        <v>-52.1875790000001</v>
      </c>
      <c s="29" r="T300">
        <f> (Q300/R300) - 1</f>
        <v>-0.258520726209937</v>
      </c>
      <c s="70" r="U300">
        <f>R300/X300</f>
        <v>15.5284615384615</v>
      </c>
      <c s="70" r="V300">
        <f>Q300/X300</f>
        <v>11.5140323846154</v>
      </c>
      <c t="s" s="30" r="W300">
        <v>237</v>
      </c>
      <c s="30" r="X300">
        <v>13</v>
      </c>
      <c t="s" s="30" r="Y300">
        <v>238</v>
      </c>
      <c t="s" s="30" r="Z300">
        <v>42</v>
      </c>
      <c s="30" r="AA300">
        <v>0</v>
      </c>
      <c s="30" r="AB300">
        <v>0</v>
      </c>
      <c s="30" r="AC300">
        <v>0</v>
      </c>
      <c s="30" r="AD300">
        <v>0</v>
      </c>
      <c s="30" r="AE300"/>
      <c t="str" s="8" r="AF300">
        <f>(I300+J300)/R300</f>
        <v>#VALUE!:notNumber:NA</v>
      </c>
      <c t="str" s="28" r="AG300">
        <f>G300/$X300</f>
        <v>#VALUE!:notNumber:NA</v>
      </c>
      <c t="str" s="28" r="AH300">
        <f>H300/$X300</f>
        <v>#VALUE!:notNumber:NA</v>
      </c>
      <c t="str" s="28" r="AI300">
        <f>I300/$X300</f>
        <v>#VALUE!:notNumber:NA</v>
      </c>
      <c t="str" s="28" r="AJ300">
        <f>J300/$X300</f>
        <v>#VALUE!:notNumber:NA</v>
      </c>
      <c t="str" s="28" r="AK300">
        <f>K300/$X300</f>
        <v>#VALUE!:notNumber:NA</v>
      </c>
      <c s="30" r="AL300">
        <v>1</v>
      </c>
    </row>
    <row r="301">
      <c s="30" r="A301">
        <v>300</v>
      </c>
      <c t="s" s="30" r="B301">
        <v>55</v>
      </c>
      <c s="62" r="C301">
        <v>41587</v>
      </c>
      <c s="52" r="D301">
        <v>0.71875</v>
      </c>
      <c s="55" r="E301">
        <f>306*1.9</f>
        <v>581.4</v>
      </c>
      <c s="55" r="F301"/>
      <c t="s" s="55" r="G301">
        <v>39</v>
      </c>
      <c t="s" s="55" r="H301">
        <v>39</v>
      </c>
      <c t="s" s="55" r="I301">
        <v>39</v>
      </c>
      <c t="s" s="55" r="J301">
        <v>39</v>
      </c>
      <c t="s" s="55" r="K301">
        <v>39</v>
      </c>
      <c s="80" r="L301">
        <v>0</v>
      </c>
      <c s="79" r="M301">
        <v>0</v>
      </c>
      <c s="79" r="N301">
        <f>(((428.04-0.03)-241.07)-37.34)-38</f>
        <v>111.6</v>
      </c>
      <c s="32" r="O301">
        <f>SUMIF(Sellables!$A$2:$A$11482, $A301, Sellables!$G$2:$G$11482)</f>
        <v>463.1828</v>
      </c>
      <c s="32" r="P301">
        <f>SUMIF(Skills!$A$2:$A$9999, A301, Skills!$F$2:$F$9999)</f>
        <v>0</v>
      </c>
      <c s="14" r="Q301">
        <f>(N301+O301)+P301</f>
        <v>574.7828</v>
      </c>
      <c s="23" r="R301">
        <f>(E301+L301)-M301</f>
        <v>581.4</v>
      </c>
      <c s="70" r="S301">
        <f>Q301-R301</f>
        <v>-6.61719999999991</v>
      </c>
      <c s="29" r="T301">
        <f> (Q301/R301) - 1</f>
        <v>-0.011381492948056</v>
      </c>
      <c t="str" s="70" r="U301">
        <f>R301/X301</f>
        <v>#DIV/0!:divZero</v>
      </c>
      <c t="str" s="70" r="V301">
        <f>Q301/X301</f>
        <v>#DIV/0!:divZero</v>
      </c>
      <c t="s" s="30" r="W301">
        <v>204</v>
      </c>
      <c s="30" r="X301">
        <v>0</v>
      </c>
      <c t="s" s="30" r="Y301">
        <v>104</v>
      </c>
      <c t="s" s="30" r="Z301">
        <v>42</v>
      </c>
      <c s="30" r="AA301">
        <v>0</v>
      </c>
      <c s="30" r="AB301">
        <v>0</v>
      </c>
      <c s="30" r="AC301">
        <v>0</v>
      </c>
      <c s="30" r="AD301">
        <v>0</v>
      </c>
      <c s="30" r="AE301"/>
      <c t="str" s="8" r="AF301">
        <f>(I301+J301)/R301</f>
        <v>#VALUE!:notNumber:NA</v>
      </c>
      <c t="str" s="28" r="AG301">
        <f>G301/$X301</f>
        <v>#DIV/0!:divZero</v>
      </c>
      <c t="str" s="28" r="AH301">
        <f>H301/$X301</f>
        <v>#DIV/0!:divZero</v>
      </c>
      <c t="str" s="28" r="AI301">
        <f>I301/$X301</f>
        <v>#DIV/0!:divZero</v>
      </c>
      <c t="str" s="28" r="AJ301">
        <f>J301/$X301</f>
        <v>#DIV/0!:divZero</v>
      </c>
      <c t="str" s="28" r="AK301">
        <f>K301/$X301</f>
        <v>#DIV/0!:divZero</v>
      </c>
      <c s="30" r="AL301">
        <v>1</v>
      </c>
    </row>
    <row r="302">
      <c s="30" r="A302">
        <v>301</v>
      </c>
      <c t="s" s="30" r="B302">
        <v>55</v>
      </c>
      <c s="62" r="C302">
        <v>41587</v>
      </c>
      <c s="52" r="D302">
        <v>0.729166666666667</v>
      </c>
      <c s="55" r="E302">
        <f>53*2.1</f>
        <v>111.3</v>
      </c>
      <c s="55" r="F302"/>
      <c t="s" s="55" r="G302">
        <v>39</v>
      </c>
      <c t="s" s="55" r="H302">
        <v>39</v>
      </c>
      <c t="s" s="55" r="I302">
        <v>39</v>
      </c>
      <c t="s" s="55" r="J302">
        <v>39</v>
      </c>
      <c t="s" s="55" r="K302">
        <v>39</v>
      </c>
      <c s="80" r="L302">
        <v>0</v>
      </c>
      <c s="79" r="M302">
        <v>0</v>
      </c>
      <c s="79" r="N302">
        <f>(86.99-16.80)-43.09</f>
        <v>27.1</v>
      </c>
      <c s="32" r="O302">
        <f>SUMIF(Sellables!$A$2:$A$11482, $A302, Sellables!$G$2:$G$11482)</f>
        <v>102.8172</v>
      </c>
      <c s="32" r="P302">
        <f>SUMIF(Skills!$A$2:$A$9999, A302, Skills!$F$2:$F$9999)</f>
        <v>0</v>
      </c>
      <c s="14" r="Q302">
        <f>(N302+O302)+P302</f>
        <v>129.9172</v>
      </c>
      <c s="23" r="R302">
        <f>(E302+L302)-M302</f>
        <v>111.3</v>
      </c>
      <c s="70" r="S302">
        <f>Q302-R302</f>
        <v>18.6172</v>
      </c>
      <c s="29" r="T302">
        <f> (Q302/R302) - 1</f>
        <v>0.167270440251572</v>
      </c>
      <c t="str" s="70" r="U302">
        <f>R302/X302</f>
        <v>#DIV/0!:divZero</v>
      </c>
      <c t="str" s="70" r="V302">
        <f>Q302/X302</f>
        <v>#DIV/0!:divZero</v>
      </c>
      <c t="s" s="30" r="W302">
        <v>227</v>
      </c>
      <c s="30" r="X302">
        <v>0</v>
      </c>
      <c t="s" s="30" r="Y302">
        <v>104</v>
      </c>
      <c t="s" s="30" r="Z302">
        <v>42</v>
      </c>
      <c s="30" r="AA302">
        <v>0</v>
      </c>
      <c s="30" r="AB302">
        <v>0</v>
      </c>
      <c s="30" r="AC302">
        <v>0</v>
      </c>
      <c s="30" r="AD302">
        <v>0</v>
      </c>
      <c s="30" r="AE302"/>
      <c t="str" s="8" r="AF302">
        <f>(I302+J302)/R302</f>
        <v>#VALUE!:notNumber:NA</v>
      </c>
      <c t="str" s="28" r="AG302">
        <f>G302/$X302</f>
        <v>#DIV/0!:divZero</v>
      </c>
      <c t="str" s="28" r="AH302">
        <f>H302/$X302</f>
        <v>#DIV/0!:divZero</v>
      </c>
      <c t="str" s="28" r="AI302">
        <f>I302/$X302</f>
        <v>#DIV/0!:divZero</v>
      </c>
      <c t="str" s="28" r="AJ302">
        <f>J302/$X302</f>
        <v>#DIV/0!:divZero</v>
      </c>
      <c t="str" s="28" r="AK302">
        <f>K302/$X302</f>
        <v>#DIV/0!:divZero</v>
      </c>
      <c s="30" r="AL302">
        <v>1</v>
      </c>
    </row>
    <row r="303">
      <c s="30" r="A303">
        <v>302</v>
      </c>
      <c t="s" s="30" r="B303">
        <v>55</v>
      </c>
      <c s="62" r="C303">
        <v>41587</v>
      </c>
      <c s="52" r="D303">
        <v>0.75</v>
      </c>
      <c s="55" r="E303">
        <f>37*1.77</f>
        <v>65.49</v>
      </c>
      <c s="55" r="F303"/>
      <c t="s" s="55" r="G303">
        <v>39</v>
      </c>
      <c t="s" s="55" r="H303">
        <v>39</v>
      </c>
      <c t="s" s="55" r="I303">
        <v>39</v>
      </c>
      <c t="s" s="55" r="J303">
        <v>39</v>
      </c>
      <c t="s" s="55" r="K303">
        <v>39</v>
      </c>
      <c s="80" r="L303">
        <v>0</v>
      </c>
      <c s="79" r="M303">
        <v>0</v>
      </c>
      <c s="79" r="N303">
        <v>51.52</v>
      </c>
      <c s="32" r="O303">
        <f>SUMIF(Sellables!$A$2:$A$11482, $A303, Sellables!$G$2:$G$11482)</f>
        <v>0</v>
      </c>
      <c s="32" r="P303">
        <f>SUMIF(Skills!$A$2:$A$9999, A303, Skills!$F$2:$F$9999)</f>
        <v>0</v>
      </c>
      <c s="14" r="Q303">
        <f>(N303+O303)+P303</f>
        <v>51.52</v>
      </c>
      <c s="23" r="R303">
        <f>(E303+L303)-M303</f>
        <v>65.49</v>
      </c>
      <c s="70" r="S303">
        <f>Q303-R303</f>
        <v>-13.97</v>
      </c>
      <c s="29" r="T303">
        <f> (Q303/R303) - 1</f>
        <v>-0.213315009925179</v>
      </c>
      <c t="str" s="70" r="U303">
        <f>R303/X303</f>
        <v>#DIV/0!:divZero</v>
      </c>
      <c t="str" s="70" r="V303">
        <f>Q303/X303</f>
        <v>#DIV/0!:divZero</v>
      </c>
      <c t="s" s="30" r="W303">
        <v>176</v>
      </c>
      <c s="30" r="X303">
        <v>0</v>
      </c>
      <c t="s" s="30" r="Y303">
        <v>104</v>
      </c>
      <c t="s" s="30" r="Z303">
        <v>42</v>
      </c>
      <c s="30" r="AA303">
        <v>0</v>
      </c>
      <c s="30" r="AB303">
        <v>0</v>
      </c>
      <c s="30" r="AC303">
        <v>0</v>
      </c>
      <c s="30" r="AD303">
        <v>0</v>
      </c>
      <c s="30" r="AE303"/>
      <c t="str" s="8" r="AF303">
        <f>(I303+J303)/R303</f>
        <v>#VALUE!:notNumber:NA</v>
      </c>
      <c t="str" s="28" r="AG303">
        <f>G303/$X303</f>
        <v>#DIV/0!:divZero</v>
      </c>
      <c t="str" s="28" r="AH303">
        <f>H303/$X303</f>
        <v>#DIV/0!:divZero</v>
      </c>
      <c t="str" s="28" r="AI303">
        <f>I303/$X303</f>
        <v>#DIV/0!:divZero</v>
      </c>
      <c t="str" s="28" r="AJ303">
        <f>J303/$X303</f>
        <v>#DIV/0!:divZero</v>
      </c>
      <c t="str" s="28" r="AK303">
        <f>K303/$X303</f>
        <v>#DIV/0!:divZero</v>
      </c>
      <c s="30" r="AL303">
        <v>1</v>
      </c>
    </row>
    <row r="304">
      <c s="30" r="A304">
        <v>303</v>
      </c>
      <c t="s" s="30" r="B304">
        <v>55</v>
      </c>
      <c s="62" r="C304">
        <v>41587</v>
      </c>
      <c s="52" r="D304">
        <v>0.802083333333333</v>
      </c>
      <c s="55" r="E304">
        <f>169*0.16</f>
        <v>27.04</v>
      </c>
      <c s="55" r="F304"/>
      <c t="s" s="55" r="G304">
        <v>39</v>
      </c>
      <c t="s" s="55" r="H304">
        <v>39</v>
      </c>
      <c t="s" s="55" r="I304">
        <v>39</v>
      </c>
      <c t="s" s="55" r="J304">
        <v>39</v>
      </c>
      <c t="s" s="55" r="K304">
        <v>39</v>
      </c>
      <c s="80" r="L304">
        <v>0</v>
      </c>
      <c s="79" r="M304">
        <v>0</v>
      </c>
      <c s="79" r="N304">
        <f>(19.81-8.32)-9.64</f>
        <v>1.85</v>
      </c>
      <c s="32" r="O304">
        <f>SUMIF(Sellables!$A$2:$A$11482, $A304, Sellables!$G$2:$G$11482)</f>
        <v>21.56</v>
      </c>
      <c s="32" r="P304">
        <f>SUMIF(Skills!$A$2:$A$9999, A304, Skills!$F$2:$F$9999)</f>
        <v>0</v>
      </c>
      <c s="14" r="Q304">
        <f>(N304+O304)+P304</f>
        <v>23.41</v>
      </c>
      <c s="23" r="R304">
        <f>(E304+L304)-M304</f>
        <v>27.04</v>
      </c>
      <c s="70" r="S304">
        <f>Q304-R304</f>
        <v>-3.63</v>
      </c>
      <c s="29" r="T304">
        <f> (Q304/R304) - 1</f>
        <v>-0.134245562130177</v>
      </c>
      <c t="str" s="70" r="U304">
        <f>R304/X304</f>
        <v>#DIV/0!:divZero</v>
      </c>
      <c t="str" s="70" r="V304">
        <f>Q304/X304</f>
        <v>#DIV/0!:divZero</v>
      </c>
      <c t="s" s="30" r="W304">
        <v>242</v>
      </c>
      <c s="30" r="X304">
        <v>0</v>
      </c>
      <c t="s" s="30" r="Y304">
        <v>104</v>
      </c>
      <c t="s" s="30" r="Z304">
        <v>42</v>
      </c>
      <c s="30" r="AA304">
        <v>0</v>
      </c>
      <c s="30" r="AB304">
        <v>0</v>
      </c>
      <c s="30" r="AC304">
        <v>0</v>
      </c>
      <c s="30" r="AD304">
        <v>0</v>
      </c>
      <c s="30" r="AE304"/>
      <c t="str" s="8" r="AF304">
        <f>(I304+J304)/R304</f>
        <v>#VALUE!:notNumber:NA</v>
      </c>
      <c t="str" s="28" r="AG304">
        <f>G304/$X304</f>
        <v>#DIV/0!:divZero</v>
      </c>
      <c t="str" s="28" r="AH304">
        <f>H304/$X304</f>
        <v>#DIV/0!:divZero</v>
      </c>
      <c t="str" s="28" r="AI304">
        <f>I304/$X304</f>
        <v>#DIV/0!:divZero</v>
      </c>
      <c t="str" s="28" r="AJ304">
        <f>J304/$X304</f>
        <v>#DIV/0!:divZero</v>
      </c>
      <c t="str" s="28" r="AK304">
        <f>K304/$X304</f>
        <v>#DIV/0!:divZero</v>
      </c>
      <c s="30" r="AL304">
        <v>1</v>
      </c>
    </row>
    <row r="305">
      <c s="30" r="A305">
        <v>304</v>
      </c>
      <c t="s" s="30" r="B305">
        <v>55</v>
      </c>
      <c s="62" r="C305">
        <v>41587</v>
      </c>
      <c s="52" r="D305">
        <v>0.833333333333333</v>
      </c>
      <c s="55" r="E305">
        <f>426*0.07</f>
        <v>29.82</v>
      </c>
      <c s="55" r="F305"/>
      <c t="s" s="55" r="G305">
        <v>39</v>
      </c>
      <c t="s" s="55" r="H305">
        <v>39</v>
      </c>
      <c t="s" s="55" r="I305">
        <v>39</v>
      </c>
      <c t="s" s="55" r="J305">
        <v>39</v>
      </c>
      <c t="s" s="55" r="K305">
        <v>39</v>
      </c>
      <c s="80" r="L305">
        <v>0</v>
      </c>
      <c s="79" r="M305">
        <v>0</v>
      </c>
      <c s="79" r="N305">
        <f>46.41-8.60</f>
        <v>37.81</v>
      </c>
      <c s="32" r="O305">
        <f>SUMIF(Sellables!$A$2:$A$11482, $A305, Sellables!$G$2:$G$11482)</f>
        <v>9.288</v>
      </c>
      <c s="32" r="P305">
        <f>SUMIF(Skills!$A$2:$A$9999, A305, Skills!$F$2:$F$9999)</f>
        <v>0</v>
      </c>
      <c s="14" r="Q305">
        <f>(N305+O305)+P305</f>
        <v>47.098</v>
      </c>
      <c s="23" r="R305">
        <f>(E305+L305)-M305</f>
        <v>29.82</v>
      </c>
      <c s="70" r="S305">
        <f>Q305-R305</f>
        <v>17.278</v>
      </c>
      <c s="29" r="T305">
        <f> (Q305/R305) - 1</f>
        <v>0.579409792085848</v>
      </c>
      <c t="str" s="70" r="U305">
        <f>R305/X305</f>
        <v>#DIV/0!:divZero</v>
      </c>
      <c t="str" s="70" r="V305">
        <f>Q305/X305</f>
        <v>#DIV/0!:divZero</v>
      </c>
      <c t="s" s="30" r="W305">
        <v>243</v>
      </c>
      <c s="30" r="X305">
        <v>0</v>
      </c>
      <c t="s" s="30" r="Y305">
        <v>87</v>
      </c>
      <c t="s" s="30" r="Z305">
        <v>65</v>
      </c>
      <c s="30" r="AA305">
        <v>0</v>
      </c>
      <c s="30" r="AB305">
        <v>0</v>
      </c>
      <c s="30" r="AC305">
        <v>0</v>
      </c>
      <c s="30" r="AD305">
        <v>0</v>
      </c>
      <c s="30" r="AE305"/>
      <c t="str" s="8" r="AF305">
        <f>(I305+J305)/R305</f>
        <v>#VALUE!:notNumber:NA</v>
      </c>
      <c t="str" s="28" r="AG305">
        <f>G305/$X305</f>
        <v>#DIV/0!:divZero</v>
      </c>
      <c t="str" s="28" r="AH305">
        <f>H305/$X305</f>
        <v>#DIV/0!:divZero</v>
      </c>
      <c t="str" s="28" r="AI305">
        <f>I305/$X305</f>
        <v>#DIV/0!:divZero</v>
      </c>
      <c t="str" s="28" r="AJ305">
        <f>J305/$X305</f>
        <v>#DIV/0!:divZero</v>
      </c>
      <c t="str" s="28" r="AK305">
        <f>K305/$X305</f>
        <v>#DIV/0!:divZero</v>
      </c>
      <c s="30" r="AL305">
        <v>1</v>
      </c>
    </row>
    <row r="306">
      <c s="30" r="A306">
        <v>305</v>
      </c>
      <c t="s" s="30" r="B306">
        <v>38</v>
      </c>
      <c s="62" r="C306">
        <v>41587</v>
      </c>
      <c s="52" r="D306">
        <v>0.833333333333333</v>
      </c>
      <c s="55" r="E306">
        <v>500</v>
      </c>
      <c s="55" r="F306"/>
      <c t="s" s="55" r="G306">
        <v>39</v>
      </c>
      <c t="s" s="55" r="H306">
        <v>39</v>
      </c>
      <c t="s" s="55" r="I306">
        <v>39</v>
      </c>
      <c t="s" s="55" r="J306">
        <v>39</v>
      </c>
      <c t="s" s="55" r="K306">
        <v>39</v>
      </c>
      <c s="80" r="L306">
        <v>33.94</v>
      </c>
      <c s="79" r="M306">
        <v>405.15</v>
      </c>
      <c s="79" r="N306">
        <v>127.21</v>
      </c>
      <c s="32" r="O306">
        <f>SUMIF(Sellables!$A$2:$A$11482, $A306, Sellables!$G$2:$G$11482)</f>
        <v>0</v>
      </c>
      <c s="32" r="P306">
        <f>SUMIF(Skills!$A$2:$A$9999, A306, Skills!$F$2:$F$9999)</f>
        <v>0</v>
      </c>
      <c s="14" r="Q306">
        <f>((N306+O306)+P306)+AA306</f>
        <v>127.21</v>
      </c>
      <c s="14" r="R306">
        <f>(E306+L306)-M306</f>
        <v>128.79</v>
      </c>
      <c s="70" r="S306">
        <f>Q306-R306</f>
        <v>-1.58000000000008</v>
      </c>
      <c s="29" r="T306">
        <f> (Q306/R306) - 1</f>
        <v>-0.012268033232394</v>
      </c>
      <c t="str" s="70" r="U306">
        <f>R306/X306</f>
        <v>#DIV/0!:divZero</v>
      </c>
      <c t="str" s="70" r="V306">
        <f>Q306/X306</f>
        <v>#DIV/0!:divZero</v>
      </c>
      <c t="s" s="30" r="W306">
        <v>233</v>
      </c>
      <c s="30" r="X306">
        <v>0</v>
      </c>
      <c t="s" s="30" r="Y306">
        <v>244</v>
      </c>
      <c t="s" s="30" r="Z306">
        <v>65</v>
      </c>
      <c s="30" r="AA306">
        <v>0</v>
      </c>
      <c s="30" r="AB306">
        <v>0</v>
      </c>
      <c s="30" r="AC306">
        <v>1</v>
      </c>
      <c s="30" r="AD306">
        <v>0</v>
      </c>
      <c s="30" r="AE306"/>
      <c t="str" s="8" r="AF306">
        <f>(I306+J306)/R306</f>
        <v>#VALUE!:notNumber:NA</v>
      </c>
      <c t="str" s="28" r="AG306">
        <f>G306/$X306</f>
        <v>#DIV/0!:divZero</v>
      </c>
      <c t="str" s="28" r="AH306">
        <f>H306/$X306</f>
        <v>#DIV/0!:divZero</v>
      </c>
      <c t="str" s="28" r="AI306">
        <f>I306/$X306</f>
        <v>#DIV/0!:divZero</v>
      </c>
      <c t="str" s="28" r="AJ306">
        <f>J306/$X306</f>
        <v>#DIV/0!:divZero</v>
      </c>
      <c t="str" s="28" r="AK306">
        <f>K306/$X306</f>
        <v>#DIV/0!:divZero</v>
      </c>
      <c s="30" r="AL306">
        <v>1</v>
      </c>
    </row>
    <row r="307">
      <c s="30" r="A307">
        <v>306</v>
      </c>
      <c t="s" s="30" r="B307">
        <v>93</v>
      </c>
      <c s="62" r="C307">
        <v>41587</v>
      </c>
      <c s="52" r="D307">
        <v>0.875</v>
      </c>
      <c s="55" r="E307">
        <v>50</v>
      </c>
      <c s="55" r="F307"/>
      <c t="s" s="55" r="G307">
        <v>39</v>
      </c>
      <c t="s" s="55" r="H307">
        <v>39</v>
      </c>
      <c t="s" s="55" r="I307">
        <v>39</v>
      </c>
      <c t="s" s="55" r="J307">
        <v>39</v>
      </c>
      <c t="s" s="55" r="K307">
        <v>39</v>
      </c>
      <c s="80" r="L307">
        <v>1.94</v>
      </c>
      <c s="79" r="M307">
        <v>9.56</v>
      </c>
      <c s="79" r="N307">
        <v>0</v>
      </c>
      <c s="32" r="O307">
        <f>SUMIF(Sellables!$A$2:$A$11482, $A307, Sellables!$G$2:$G$11482)</f>
        <v>52.9013</v>
      </c>
      <c s="32" r="P307">
        <f>SUMIF(Skills!$A$2:$A$9999, A307, Skills!$F$2:$F$9999)</f>
        <v>0</v>
      </c>
      <c s="14" r="Q307">
        <f>((N307+O307)+P307)+AA307</f>
        <v>52.9013</v>
      </c>
      <c s="14" r="R307">
        <f>(E307+L307)-M307</f>
        <v>42.38</v>
      </c>
      <c s="70" r="S307">
        <f>Q307-R307</f>
        <v>10.5213</v>
      </c>
      <c s="29" r="T307">
        <f> (Q307/R307) - 1</f>
        <v>0.248260972156678</v>
      </c>
      <c t="str" s="70" r="U307">
        <f>R307/X307</f>
        <v>#DIV/0!:divZero</v>
      </c>
      <c t="str" s="70" r="V307">
        <f>Q307/X307</f>
        <v>#DIV/0!:divZero</v>
      </c>
      <c t="s" s="30" r="W307">
        <v>93</v>
      </c>
      <c s="30" r="X307">
        <v>0</v>
      </c>
      <c t="s" s="30" r="Y307">
        <v>244</v>
      </c>
      <c t="s" s="30" r="Z307">
        <v>65</v>
      </c>
      <c s="30" r="AA307">
        <v>0</v>
      </c>
      <c s="30" r="AB307">
        <v>0</v>
      </c>
      <c s="30" r="AC307">
        <v>0</v>
      </c>
      <c s="30" r="AD307">
        <v>0</v>
      </c>
      <c s="30" r="AE307"/>
      <c t="str" s="8" r="AF307">
        <f>(I307+J307)/R307</f>
        <v>#VALUE!:notNumber:NA</v>
      </c>
      <c t="str" s="28" r="AG307">
        <f>G307/$X307</f>
        <v>#DIV/0!:divZero</v>
      </c>
      <c t="str" s="28" r="AH307">
        <f>H307/$X307</f>
        <v>#DIV/0!:divZero</v>
      </c>
      <c t="str" s="28" r="AI307">
        <f>I307/$X307</f>
        <v>#DIV/0!:divZero</v>
      </c>
      <c t="str" s="28" r="AJ307">
        <f>J307/$X307</f>
        <v>#DIV/0!:divZero</v>
      </c>
      <c t="str" s="28" r="AK307">
        <f>K307/$X307</f>
        <v>#DIV/0!:divZero</v>
      </c>
      <c s="30" r="AL307">
        <v>1</v>
      </c>
    </row>
    <row r="308">
      <c s="30" r="A308">
        <v>307</v>
      </c>
      <c t="s" s="30" r="B308">
        <v>38</v>
      </c>
      <c s="62" r="C308">
        <v>41587</v>
      </c>
      <c s="52" r="D308">
        <v>0.90625</v>
      </c>
      <c s="55" r="E308">
        <v>500</v>
      </c>
      <c s="55" r="F308"/>
      <c t="s" s="55" r="G308">
        <v>39</v>
      </c>
      <c t="s" s="55" r="H308">
        <v>39</v>
      </c>
      <c t="s" s="55" r="I308">
        <v>39</v>
      </c>
      <c t="s" s="55" r="J308">
        <v>39</v>
      </c>
      <c t="s" s="55" r="K308">
        <v>39</v>
      </c>
      <c s="80" r="L308">
        <v>83.39</v>
      </c>
      <c s="79" r="M308">
        <v>288.88</v>
      </c>
      <c s="79" r="N308">
        <f>128.91+4.2</f>
        <v>133.11</v>
      </c>
      <c s="32" r="O308">
        <f>SUMIF(Sellables!$A$2:$A$11482, $A308, Sellables!$G$2:$G$11482)</f>
        <v>0</v>
      </c>
      <c s="32" r="P308">
        <f>SUMIF(Skills!$A$2:$A$9999, A308, Skills!$F$2:$F$9999)</f>
        <v>0</v>
      </c>
      <c s="14" r="Q308">
        <f>((N308+O308)+P308)+AA308</f>
        <v>133.11</v>
      </c>
      <c s="14" r="R308">
        <f>(E308+L308)-M308</f>
        <v>294.51</v>
      </c>
      <c s="70" r="S308">
        <f>Q308-R308</f>
        <v>-161.4</v>
      </c>
      <c s="29" r="T308">
        <f> (Q308/R308) - 1</f>
        <v>-0.54802892940817</v>
      </c>
      <c t="str" s="70" r="U308">
        <f>R308/X308</f>
        <v>#DIV/0!:divZero</v>
      </c>
      <c t="str" s="70" r="V308">
        <f>Q308/X308</f>
        <v>#DIV/0!:divZero</v>
      </c>
      <c t="s" s="30" r="W308">
        <v>159</v>
      </c>
      <c s="30" r="X308">
        <v>0</v>
      </c>
      <c t="s" s="30" r="Y308">
        <v>67</v>
      </c>
      <c t="s" s="30" r="Z308">
        <v>65</v>
      </c>
      <c s="30" r="AA308">
        <v>0</v>
      </c>
      <c s="30" r="AB308">
        <v>0</v>
      </c>
      <c s="30" r="AC308">
        <v>0</v>
      </c>
      <c s="30" r="AD308">
        <v>0</v>
      </c>
      <c s="30" r="AE308"/>
      <c t="str" s="8" r="AF308">
        <f>(I308+J308)/R308</f>
        <v>#VALUE!:notNumber:NA</v>
      </c>
      <c t="str" s="28" r="AG308">
        <f>G308/$X308</f>
        <v>#DIV/0!:divZero</v>
      </c>
      <c t="str" s="28" r="AH308">
        <f>H308/$X308</f>
        <v>#DIV/0!:divZero</v>
      </c>
      <c t="str" s="28" r="AI308">
        <f>I308/$X308</f>
        <v>#DIV/0!:divZero</v>
      </c>
      <c t="str" s="28" r="AJ308">
        <f>J308/$X308</f>
        <v>#DIV/0!:divZero</v>
      </c>
      <c t="str" s="28" r="AK308">
        <f>K308/$X308</f>
        <v>#DIV/0!:divZero</v>
      </c>
      <c s="30" r="AL308">
        <v>1</v>
      </c>
    </row>
    <row r="309">
      <c s="30" r="A309">
        <v>308</v>
      </c>
      <c t="s" s="30" r="B309">
        <v>38</v>
      </c>
      <c s="62" r="C309">
        <v>41587</v>
      </c>
      <c s="52" r="D309">
        <v>0.947916666666667</v>
      </c>
      <c s="55" r="E309">
        <v>500</v>
      </c>
      <c s="55" r="F309"/>
      <c t="s" s="55" r="G309">
        <v>39</v>
      </c>
      <c t="s" s="55" r="H309">
        <v>39</v>
      </c>
      <c t="s" s="55" r="I309">
        <v>39</v>
      </c>
      <c t="s" s="55" r="J309">
        <v>39</v>
      </c>
      <c t="s" s="55" r="K309">
        <v>39</v>
      </c>
      <c s="80" r="L309">
        <v>169.6</v>
      </c>
      <c s="79" r="M309">
        <v>91.75</v>
      </c>
      <c s="79" r="N309">
        <v>567</v>
      </c>
      <c s="32" r="O309">
        <f>SUMIF(Sellables!$A$2:$A$11482, $A309, Sellables!$G$2:$G$11482)</f>
        <v>0</v>
      </c>
      <c s="32" r="P309">
        <f>SUMIF(Skills!$A$2:$A$9999, A309, Skills!$F$2:$F$9999)</f>
        <v>0</v>
      </c>
      <c s="14" r="Q309">
        <f>((N309+O309)+P309)+AA309</f>
        <v>567</v>
      </c>
      <c s="14" r="R309">
        <f>(E309+L309)-M309</f>
        <v>577.85</v>
      </c>
      <c s="70" r="S309">
        <f>Q309-R309</f>
        <v>-10.85</v>
      </c>
      <c s="29" r="T309">
        <f> (Q309/R309) - 1</f>
        <v>-0.01877649909146</v>
      </c>
      <c s="70" r="U309">
        <f>R309/X309</f>
        <v>6.35</v>
      </c>
      <c s="70" r="V309">
        <f>Q309/X309</f>
        <v>6.23076923076923</v>
      </c>
      <c t="s" s="30" r="W309">
        <v>234</v>
      </c>
      <c s="30" r="X309">
        <v>91</v>
      </c>
      <c t="s" s="30" r="Y309">
        <v>238</v>
      </c>
      <c t="s" s="30" r="Z309">
        <v>42</v>
      </c>
      <c s="30" r="AA309">
        <v>0</v>
      </c>
      <c s="30" r="AB309">
        <v>1</v>
      </c>
      <c s="30" r="AC309">
        <v>1</v>
      </c>
      <c s="30" r="AD309">
        <v>0</v>
      </c>
      <c s="30" r="AE309"/>
      <c t="str" s="8" r="AF309">
        <f>(I309+J309)/R309</f>
        <v>#VALUE!:notNumber:NA</v>
      </c>
      <c t="str" s="28" r="AG309">
        <f>G309/$X309</f>
        <v>#VALUE!:notNumber:NA</v>
      </c>
      <c t="str" s="28" r="AH309">
        <f>H309/$X309</f>
        <v>#VALUE!:notNumber:NA</v>
      </c>
      <c t="str" s="28" r="AI309">
        <f>I309/$X309</f>
        <v>#VALUE!:notNumber:NA</v>
      </c>
      <c t="str" s="28" r="AJ309">
        <f>J309/$X309</f>
        <v>#VALUE!:notNumber:NA</v>
      </c>
      <c t="str" s="28" r="AK309">
        <f>K309/$X309</f>
        <v>#VALUE!:notNumber:NA</v>
      </c>
      <c s="30" r="AL309">
        <v>1</v>
      </c>
    </row>
    <row r="310">
      <c s="30" r="A310">
        <v>309</v>
      </c>
      <c t="s" s="30" r="B310">
        <v>55</v>
      </c>
      <c s="62" r="C310">
        <v>41587</v>
      </c>
      <c s="52" r="D310">
        <v>0.989583333333333</v>
      </c>
      <c s="55" r="E310">
        <f>63*0.11</f>
        <v>6.93</v>
      </c>
      <c s="55" r="F310"/>
      <c t="s" s="55" r="G310">
        <v>39</v>
      </c>
      <c t="s" s="55" r="H310">
        <v>39</v>
      </c>
      <c t="s" s="55" r="I310">
        <v>39</v>
      </c>
      <c t="s" s="55" r="J310">
        <v>39</v>
      </c>
      <c t="s" s="55" r="K310">
        <v>39</v>
      </c>
      <c s="80" r="L310">
        <v>0</v>
      </c>
      <c s="79" r="M310">
        <v>0</v>
      </c>
      <c s="79" r="N310">
        <f>8.77-5.17</f>
        <v>3.6</v>
      </c>
      <c s="32" r="O310">
        <f>SUMIF(Sellables!$A$2:$A$11482, $A310, Sellables!$G$2:$G$11482)</f>
        <v>5.5836</v>
      </c>
      <c s="32" r="P310">
        <f>SUMIF(Skills!$A$2:$A$9999, A310, Skills!$F$2:$F$9999)</f>
        <v>0</v>
      </c>
      <c s="14" r="Q310">
        <f>(N310+O310)+P310</f>
        <v>9.1836</v>
      </c>
      <c s="23" r="R310">
        <f>(E310+L310)-M310</f>
        <v>6.93</v>
      </c>
      <c s="70" r="S310">
        <f>Q310-R310</f>
        <v>2.2536</v>
      </c>
      <c s="29" r="T310">
        <f> (Q310/R310) - 1</f>
        <v>0.325194805194805</v>
      </c>
      <c t="str" s="70" r="U310">
        <f>R310/X310</f>
        <v>#DIV/0!:divZero</v>
      </c>
      <c t="str" s="70" r="V310">
        <f>Q310/X310</f>
        <v>#DIV/0!:divZero</v>
      </c>
      <c t="s" s="30" r="W310">
        <v>91</v>
      </c>
      <c s="30" r="X310">
        <v>0</v>
      </c>
      <c t="s" s="30" r="Y310">
        <v>87</v>
      </c>
      <c t="s" s="30" r="Z310">
        <v>65</v>
      </c>
      <c s="30" r="AA310">
        <v>0</v>
      </c>
      <c s="30" r="AB310">
        <v>0</v>
      </c>
      <c s="30" r="AC310">
        <v>0</v>
      </c>
      <c s="30" r="AD310">
        <v>0</v>
      </c>
      <c s="30" r="AE310"/>
      <c t="str" s="8" r="AF310">
        <f>(I310+J310)/R310</f>
        <v>#VALUE!:notNumber:NA</v>
      </c>
      <c t="str" s="28" r="AG310">
        <f>G310/$X310</f>
        <v>#DIV/0!:divZero</v>
      </c>
      <c t="str" s="28" r="AH310">
        <f>H310/$X310</f>
        <v>#DIV/0!:divZero</v>
      </c>
      <c t="str" s="28" r="AI310">
        <f>I310/$X310</f>
        <v>#DIV/0!:divZero</v>
      </c>
      <c t="str" s="28" r="AJ310">
        <f>J310/$X310</f>
        <v>#DIV/0!:divZero</v>
      </c>
      <c t="str" s="28" r="AK310">
        <f>K310/$X310</f>
        <v>#DIV/0!:divZero</v>
      </c>
      <c s="30" r="AL310">
        <v>1</v>
      </c>
    </row>
    <row r="311">
      <c s="30" r="A311">
        <v>310</v>
      </c>
      <c t="s" s="30" r="B311">
        <v>55</v>
      </c>
      <c s="62" r="C311">
        <v>41587</v>
      </c>
      <c s="52" r="D311">
        <v>0.993055555555556</v>
      </c>
      <c s="55" r="E311">
        <f>39*0.61</f>
        <v>23.79</v>
      </c>
      <c s="55" r="F311"/>
      <c t="s" s="55" r="G311">
        <v>39</v>
      </c>
      <c t="s" s="55" r="H311">
        <v>39</v>
      </c>
      <c t="s" s="55" r="I311">
        <v>39</v>
      </c>
      <c t="s" s="55" r="J311">
        <v>39</v>
      </c>
      <c t="s" s="55" r="K311">
        <v>39</v>
      </c>
      <c s="80" r="L311">
        <v>0</v>
      </c>
      <c s="79" r="M311">
        <v>0</v>
      </c>
      <c s="79" r="N311">
        <f>21.61-3.68</f>
        <v>17.93</v>
      </c>
      <c s="32" r="O311">
        <f>SUMIF(Sellables!$A$2:$A$11482, $A311, Sellables!$G$2:$G$11482)</f>
        <v>3.9744</v>
      </c>
      <c s="32" r="P311">
        <f>SUMIF(Skills!$A$2:$A$9999, A311, Skills!$F$2:$F$9999)</f>
        <v>0</v>
      </c>
      <c s="14" r="Q311">
        <f>(N311+O311)+P311</f>
        <v>21.9044</v>
      </c>
      <c s="23" r="R311">
        <f>(E311+L311)-M311</f>
        <v>23.79</v>
      </c>
      <c s="70" r="S311">
        <f>Q311-R311</f>
        <v>-1.8856</v>
      </c>
      <c s="29" r="T311">
        <f> (Q311/R311) - 1</f>
        <v>-0.079260193358554</v>
      </c>
      <c t="str" s="70" r="U311">
        <f>R311/X311</f>
        <v>#DIV/0!:divZero</v>
      </c>
      <c t="str" s="70" r="V311">
        <f>Q311/X311</f>
        <v>#DIV/0!:divZero</v>
      </c>
      <c t="s" s="30" r="W311">
        <v>245</v>
      </c>
      <c s="30" r="X311">
        <v>0</v>
      </c>
      <c t="s" s="30" r="Y311">
        <v>87</v>
      </c>
      <c t="s" s="30" r="Z311">
        <v>65</v>
      </c>
      <c s="30" r="AA311">
        <v>0</v>
      </c>
      <c s="30" r="AB311">
        <v>0</v>
      </c>
      <c s="30" r="AC311">
        <v>0</v>
      </c>
      <c s="30" r="AD311">
        <v>0</v>
      </c>
      <c s="30" r="AE311"/>
      <c t="str" s="8" r="AF311">
        <f>(I311+J311)/R311</f>
        <v>#VALUE!:notNumber:NA</v>
      </c>
      <c t="str" s="28" r="AG311">
        <f>G311/$X311</f>
        <v>#DIV/0!:divZero</v>
      </c>
      <c t="str" s="28" r="AH311">
        <f>H311/$X311</f>
        <v>#DIV/0!:divZero</v>
      </c>
      <c t="str" s="28" r="AI311">
        <f>I311/$X311</f>
        <v>#DIV/0!:divZero</v>
      </c>
      <c t="str" s="28" r="AJ311">
        <f>J311/$X311</f>
        <v>#DIV/0!:divZero</v>
      </c>
      <c t="str" s="28" r="AK311">
        <f>K311/$X311</f>
        <v>#DIV/0!:divZero</v>
      </c>
      <c s="30" r="AL311">
        <v>1</v>
      </c>
    </row>
    <row r="312">
      <c s="30" r="A312">
        <v>311</v>
      </c>
      <c t="s" s="30" r="B312">
        <v>38</v>
      </c>
      <c s="62" r="C312">
        <v>41588</v>
      </c>
      <c s="52" r="D312">
        <v>0.020833333333333</v>
      </c>
      <c s="55" r="E312">
        <v>500</v>
      </c>
      <c s="55" r="F312"/>
      <c t="s" s="55" r="G312">
        <v>39</v>
      </c>
      <c t="s" s="55" r="H312">
        <v>39</v>
      </c>
      <c t="s" s="55" r="I312">
        <v>39</v>
      </c>
      <c t="s" s="55" r="J312">
        <v>39</v>
      </c>
      <c t="s" s="55" r="K312">
        <v>39</v>
      </c>
      <c s="80" r="L312">
        <v>72.96</v>
      </c>
      <c s="79" r="M312">
        <v>339.77</v>
      </c>
      <c s="79" r="N312">
        <v>111.43</v>
      </c>
      <c s="32" r="O312">
        <f>SUMIF(Sellables!$A$2:$A$11482, $A312, Sellables!$G$2:$G$11482)</f>
        <v>0</v>
      </c>
      <c s="32" r="P312">
        <f>SUMIF(Skills!$A$2:$A$9999, A312, Skills!$F$2:$F$9999)</f>
        <v>0</v>
      </c>
      <c s="14" r="Q312">
        <f>((N312+O312)+P312)+AA312</f>
        <v>111.43</v>
      </c>
      <c s="14" r="R312">
        <f>(E312+L312)-M312</f>
        <v>233.19</v>
      </c>
      <c s="70" r="S312">
        <f>Q312-R312</f>
        <v>-121.76</v>
      </c>
      <c s="29" r="T312">
        <f> (Q312/R312) - 1</f>
        <v>-0.522149320296754</v>
      </c>
      <c t="str" s="70" r="U312">
        <f>R312/X312</f>
        <v>#DIV/0!:divZero</v>
      </c>
      <c t="str" s="70" r="V312">
        <f>Q312/X312</f>
        <v>#DIV/0!:divZero</v>
      </c>
      <c t="s" s="30" r="W312">
        <v>246</v>
      </c>
      <c s="30" r="X312">
        <v>0</v>
      </c>
      <c t="s" s="30" r="Y312">
        <v>238</v>
      </c>
      <c t="s" s="30" r="Z312">
        <v>42</v>
      </c>
      <c s="30" r="AA312">
        <v>0</v>
      </c>
      <c s="30" r="AB312">
        <v>0</v>
      </c>
      <c s="30" r="AC312">
        <v>0</v>
      </c>
      <c s="30" r="AD312">
        <v>0</v>
      </c>
      <c s="30" r="AE312"/>
      <c t="str" s="8" r="AF312">
        <f>(I312+J312)/R312</f>
        <v>#VALUE!:notNumber:NA</v>
      </c>
      <c t="str" s="28" r="AG312">
        <f>G312/$X312</f>
        <v>#DIV/0!:divZero</v>
      </c>
      <c t="str" s="28" r="AH312">
        <f>H312/$X312</f>
        <v>#DIV/0!:divZero</v>
      </c>
      <c t="str" s="28" r="AI312">
        <f>I312/$X312</f>
        <v>#DIV/0!:divZero</v>
      </c>
      <c t="str" s="28" r="AJ312">
        <f>J312/$X312</f>
        <v>#DIV/0!:divZero</v>
      </c>
      <c t="str" s="28" r="AK312">
        <f>K312/$X312</f>
        <v>#DIV/0!:divZero</v>
      </c>
      <c s="30" r="AL312">
        <v>1</v>
      </c>
    </row>
    <row r="313">
      <c s="30" r="A313">
        <v>312</v>
      </c>
      <c t="s" s="30" r="B313">
        <v>38</v>
      </c>
      <c s="62" r="C313">
        <v>41588</v>
      </c>
      <c s="52" r="D313">
        <v>0.5</v>
      </c>
      <c s="55" r="E313">
        <v>500</v>
      </c>
      <c s="55" r="F313"/>
      <c t="s" s="55" r="G313">
        <v>39</v>
      </c>
      <c t="s" s="55" r="H313">
        <v>39</v>
      </c>
      <c t="s" s="55" r="I313">
        <v>39</v>
      </c>
      <c t="s" s="55" r="J313">
        <v>39</v>
      </c>
      <c t="s" s="55" r="K313">
        <v>39</v>
      </c>
      <c s="80" r="L313">
        <v>140.45</v>
      </c>
      <c s="79" r="M313">
        <v>201.12</v>
      </c>
      <c s="79" r="N313">
        <v>177.24</v>
      </c>
      <c s="32" r="O313">
        <f>SUMIF(Sellables!$A$2:$A$11482, $A313, Sellables!$G$2:$G$11482)</f>
        <v>140.4</v>
      </c>
      <c s="32" r="P313">
        <f>SUMIF(Skills!$A$2:$A$9999, A313, Skills!$F$2:$F$9999)</f>
        <v>0</v>
      </c>
      <c s="14" r="Q313">
        <f>((N313+O313)+P313)+AA313</f>
        <v>317.64</v>
      </c>
      <c s="14" r="R313">
        <f>(E313+L313)-M313</f>
        <v>439.33</v>
      </c>
      <c s="70" r="S313">
        <f>Q313-R313</f>
        <v>-121.69</v>
      </c>
      <c s="29" r="T313">
        <f> (Q313/R313) - 1</f>
        <v>-0.276989961987572</v>
      </c>
      <c t="str" s="70" r="U313">
        <f>R313/X313</f>
        <v>#DIV/0!:divZero</v>
      </c>
      <c t="str" s="70" r="V313">
        <f>Q313/X313</f>
        <v>#DIV/0!:divZero</v>
      </c>
      <c t="s" s="30" r="W313">
        <v>247</v>
      </c>
      <c s="30" r="X313">
        <v>0</v>
      </c>
      <c t="s" s="30" r="Y313">
        <v>203</v>
      </c>
      <c t="s" s="30" r="Z313">
        <v>42</v>
      </c>
      <c s="30" r="AA313">
        <v>0</v>
      </c>
      <c s="30" r="AB313">
        <v>0</v>
      </c>
      <c s="30" r="AC313">
        <v>1</v>
      </c>
      <c s="30" r="AD313">
        <v>0</v>
      </c>
      <c s="30" r="AE313"/>
      <c t="str" s="8" r="AF313">
        <f>(I313+J313)/R313</f>
        <v>#VALUE!:notNumber:NA</v>
      </c>
      <c t="str" s="28" r="AG313">
        <f>G313/$X313</f>
        <v>#DIV/0!:divZero</v>
      </c>
      <c t="str" s="28" r="AH313">
        <f>H313/$X313</f>
        <v>#DIV/0!:divZero</v>
      </c>
      <c t="str" s="28" r="AI313">
        <f>I313/$X313</f>
        <v>#DIV/0!:divZero</v>
      </c>
      <c t="str" s="28" r="AJ313">
        <f>J313/$X313</f>
        <v>#DIV/0!:divZero</v>
      </c>
      <c t="str" s="28" r="AK313">
        <f>K313/$X313</f>
        <v>#DIV/0!:divZero</v>
      </c>
      <c s="30" r="AL313">
        <v>1</v>
      </c>
    </row>
    <row r="314">
      <c s="30" r="A314">
        <v>313</v>
      </c>
      <c t="s" s="30" r="B314">
        <v>38</v>
      </c>
      <c s="62" r="C314">
        <v>41588</v>
      </c>
      <c s="52" r="D314">
        <v>0.625</v>
      </c>
      <c s="55" r="E314">
        <v>500</v>
      </c>
      <c s="55" r="F314"/>
      <c t="s" s="55" r="G314">
        <v>39</v>
      </c>
      <c t="s" s="55" r="H314">
        <v>39</v>
      </c>
      <c t="s" s="55" r="I314">
        <v>39</v>
      </c>
      <c t="s" s="55" r="J314">
        <v>39</v>
      </c>
      <c t="s" s="55" r="K314">
        <v>39</v>
      </c>
      <c s="80" r="L314">
        <v>213.81</v>
      </c>
      <c s="79" r="M314">
        <v>118.59</v>
      </c>
      <c s="79" r="N314">
        <v>413.13</v>
      </c>
      <c s="32" r="O314">
        <f>SUMIF(Sellables!$A$2:$A$11482, $A314, Sellables!$G$2:$G$11482)</f>
        <v>0</v>
      </c>
      <c s="32" r="P314">
        <f>SUMIF(Skills!$A$2:$A$9999, A314, Skills!$F$2:$F$9999)</f>
        <v>0</v>
      </c>
      <c s="14" r="Q314">
        <f>((N314+O314)+P314)+AA314</f>
        <v>413.13</v>
      </c>
      <c s="14" r="R314">
        <f>(E314+L314)-M314</f>
        <v>595.22</v>
      </c>
      <c s="70" r="S314">
        <f>Q314-R314</f>
        <v>-182.09</v>
      </c>
      <c s="29" r="T314">
        <f> (Q314/R314) - 1</f>
        <v>-0.305920499983199</v>
      </c>
      <c t="str" s="70" r="U314">
        <f>R314/X314</f>
        <v>#DIV/0!:divZero</v>
      </c>
      <c t="str" s="70" r="V314">
        <f>Q314/X314</f>
        <v>#DIV/0!:divZero</v>
      </c>
      <c t="s" s="30" r="W314">
        <v>237</v>
      </c>
      <c s="30" r="X314">
        <v>0</v>
      </c>
      <c t="s" s="30" r="Y314">
        <v>238</v>
      </c>
      <c t="s" s="30" r="Z314">
        <v>42</v>
      </c>
      <c s="30" r="AA314">
        <v>0</v>
      </c>
      <c s="30" r="AB314">
        <v>0</v>
      </c>
      <c s="30" r="AC314">
        <v>1</v>
      </c>
      <c s="30" r="AD314">
        <v>0</v>
      </c>
      <c s="30" r="AE314"/>
      <c t="str" s="8" r="AF314">
        <f>(I314+J314)/R314</f>
        <v>#VALUE!:notNumber:NA</v>
      </c>
      <c t="str" s="28" r="AG314">
        <f>G314/$X314</f>
        <v>#DIV/0!:divZero</v>
      </c>
      <c t="str" s="28" r="AH314">
        <f>H314/$X314</f>
        <v>#DIV/0!:divZero</v>
      </c>
      <c t="str" s="28" r="AI314">
        <f>I314/$X314</f>
        <v>#DIV/0!:divZero</v>
      </c>
      <c t="str" s="28" r="AJ314">
        <f>J314/$X314</f>
        <v>#DIV/0!:divZero</v>
      </c>
      <c t="str" s="28" r="AK314">
        <f>K314/$X314</f>
        <v>#DIV/0!:divZero</v>
      </c>
      <c s="30" r="AL314">
        <v>1</v>
      </c>
    </row>
    <row r="315">
      <c s="30" r="A315">
        <v>314</v>
      </c>
      <c t="s" s="30" r="B315">
        <v>38</v>
      </c>
      <c s="62" r="C315">
        <v>41588</v>
      </c>
      <c s="52" r="D315">
        <v>0.6875</v>
      </c>
      <c s="55" r="E315">
        <v>500</v>
      </c>
      <c s="55" r="F315"/>
      <c t="s" s="55" r="G315">
        <v>39</v>
      </c>
      <c t="s" s="55" r="H315">
        <v>39</v>
      </c>
      <c t="s" s="55" r="I315">
        <v>39</v>
      </c>
      <c t="s" s="55" r="J315">
        <v>39</v>
      </c>
      <c t="s" s="55" r="K315">
        <v>39</v>
      </c>
      <c s="80" r="L315">
        <v>238.06</v>
      </c>
      <c s="79" r="M315">
        <v>77.68</v>
      </c>
      <c s="79" r="N315">
        <v>466.52</v>
      </c>
      <c s="32" r="O315">
        <f>SUMIF(Sellables!$A$2:$A$11482, $A315, Sellables!$G$2:$G$11482)</f>
        <v>0</v>
      </c>
      <c s="32" r="P315">
        <f>SUMIF(Skills!$A$2:$A$9999, A315, Skills!$F$2:$F$9999)</f>
        <v>0</v>
      </c>
      <c s="14" r="Q315">
        <f>((N315+O315)+P315)+AA315</f>
        <v>466.52</v>
      </c>
      <c s="14" r="R315">
        <f>(E315+L315)-M315</f>
        <v>660.38</v>
      </c>
      <c s="70" r="S315">
        <f>Q315-R315</f>
        <v>-193.86</v>
      </c>
      <c s="29" r="T315">
        <f> (Q315/R315) - 1</f>
        <v>-0.293558254338411</v>
      </c>
      <c t="str" s="70" r="U315">
        <f>R315/X315</f>
        <v>#DIV/0!:divZero</v>
      </c>
      <c t="str" s="70" r="V315">
        <f>Q315/X315</f>
        <v>#DIV/0!:divZero</v>
      </c>
      <c t="s" s="30" r="W315">
        <v>237</v>
      </c>
      <c s="30" r="X315">
        <v>0</v>
      </c>
      <c t="s" s="30" r="Y315">
        <v>238</v>
      </c>
      <c t="s" s="30" r="Z315">
        <v>42</v>
      </c>
      <c s="30" r="AA315">
        <v>0</v>
      </c>
      <c s="30" r="AB315">
        <v>1</v>
      </c>
      <c s="30" r="AC315">
        <v>2</v>
      </c>
      <c s="30" r="AD315">
        <v>0</v>
      </c>
      <c s="30" r="AE315"/>
      <c t="str" s="8" r="AF315">
        <f>(I315+J315)/R315</f>
        <v>#VALUE!:notNumber:NA</v>
      </c>
      <c t="str" s="28" r="AG315">
        <f>G315/$X315</f>
        <v>#DIV/0!:divZero</v>
      </c>
      <c t="str" s="28" r="AH315">
        <f>H315/$X315</f>
        <v>#DIV/0!:divZero</v>
      </c>
      <c t="str" s="28" r="AI315">
        <f>I315/$X315</f>
        <v>#DIV/0!:divZero</v>
      </c>
      <c t="str" s="28" r="AJ315">
        <f>J315/$X315</f>
        <v>#DIV/0!:divZero</v>
      </c>
      <c t="str" s="28" r="AK315">
        <f>K315/$X315</f>
        <v>#DIV/0!:divZero</v>
      </c>
      <c s="30" r="AL315">
        <v>1</v>
      </c>
    </row>
    <row r="316">
      <c s="30" r="A316">
        <v>315</v>
      </c>
      <c t="s" s="30" r="B316">
        <v>38</v>
      </c>
      <c s="62" r="C316">
        <v>41588</v>
      </c>
      <c s="52" r="D316">
        <v>0.739583333333333</v>
      </c>
      <c s="55" r="E316">
        <v>500</v>
      </c>
      <c s="55" r="F316"/>
      <c t="s" s="55" r="G316">
        <v>39</v>
      </c>
      <c t="s" s="55" r="H316">
        <v>39</v>
      </c>
      <c t="s" s="55" r="I316">
        <v>39</v>
      </c>
      <c t="s" s="55" r="J316">
        <v>39</v>
      </c>
      <c t="s" s="55" r="K316">
        <v>39</v>
      </c>
      <c s="80" r="L316">
        <v>180.16</v>
      </c>
      <c s="79" r="M316">
        <v>101.61</v>
      </c>
      <c s="79" r="N316">
        <v>443.13</v>
      </c>
      <c s="32" r="O316">
        <f>SUMIF(Sellables!$A$2:$A$11482, $A316, Sellables!$G$2:$G$11482)</f>
        <v>0</v>
      </c>
      <c s="32" r="P316">
        <f>SUMIF(Skills!$A$2:$A$9999, A316, Skills!$F$2:$F$9999)</f>
        <v>0</v>
      </c>
      <c s="14" r="Q316">
        <f>((N316+O316)+P316)+AA316</f>
        <v>443.13</v>
      </c>
      <c s="14" r="R316">
        <f>(E316+L316)-M316</f>
        <v>578.55</v>
      </c>
      <c s="70" r="S316">
        <f>Q316-R316</f>
        <v>-135.42</v>
      </c>
      <c s="29" r="T316">
        <f> (Q316/R316) - 1</f>
        <v>-0.234067928441794</v>
      </c>
      <c s="70" r="U316">
        <f>R316/X316</f>
        <v>6.15478723404255</v>
      </c>
      <c s="70" r="V316">
        <f>Q316/X316</f>
        <v>4.71414893617021</v>
      </c>
      <c t="s" s="30" r="W316">
        <v>234</v>
      </c>
      <c s="30" r="X316">
        <v>94</v>
      </c>
      <c t="s" s="30" r="Y316">
        <v>238</v>
      </c>
      <c t="s" s="30" r="Z316">
        <v>42</v>
      </c>
      <c s="30" r="AA316">
        <v>0</v>
      </c>
      <c s="30" r="AB316">
        <v>0</v>
      </c>
      <c s="30" r="AC316">
        <v>1</v>
      </c>
      <c s="30" r="AD316">
        <v>0</v>
      </c>
      <c s="30" r="AE316"/>
      <c t="str" s="8" r="AF316">
        <f>(I316+J316)/R316</f>
        <v>#VALUE!:notNumber:NA</v>
      </c>
      <c t="str" s="28" r="AG316">
        <f>G316/$X316</f>
        <v>#VALUE!:notNumber:NA</v>
      </c>
      <c t="str" s="28" r="AH316">
        <f>H316/$X316</f>
        <v>#VALUE!:notNumber:NA</v>
      </c>
      <c t="str" s="28" r="AI316">
        <f>I316/$X316</f>
        <v>#VALUE!:notNumber:NA</v>
      </c>
      <c t="str" s="28" r="AJ316">
        <f>J316/$X316</f>
        <v>#VALUE!:notNumber:NA</v>
      </c>
      <c t="str" s="28" r="AK316">
        <f>K316/$X316</f>
        <v>#VALUE!:notNumber:NA</v>
      </c>
      <c s="30" r="AL316">
        <v>1</v>
      </c>
    </row>
    <row r="317">
      <c s="30" r="A317">
        <v>316</v>
      </c>
      <c t="s" s="30" r="B317">
        <v>38</v>
      </c>
      <c s="62" r="C317">
        <v>41588</v>
      </c>
      <c s="52" r="D317">
        <v>0.791666666666667</v>
      </c>
      <c s="55" r="E317">
        <v>150</v>
      </c>
      <c s="55" r="F317"/>
      <c t="s" s="55" r="G317">
        <v>39</v>
      </c>
      <c t="s" s="55" r="H317">
        <v>39</v>
      </c>
      <c t="s" s="55" r="I317">
        <v>39</v>
      </c>
      <c t="s" s="55" r="J317">
        <v>39</v>
      </c>
      <c t="s" s="55" r="K317">
        <v>39</v>
      </c>
      <c s="80" r="L317">
        <v>13.77</v>
      </c>
      <c s="79" r="M317">
        <v>70.98</v>
      </c>
      <c s="79" r="N317">
        <v>74.89</v>
      </c>
      <c s="32" r="O317">
        <f>SUMIF(Sellables!$A$2:$A$11482, $A317, Sellables!$G$2:$G$11482)</f>
        <v>4.3927</v>
      </c>
      <c s="32" r="P317">
        <f>SUMIF(Skills!$A$2:$A$9999, A317, Skills!$F$2:$F$9999)</f>
        <v>0</v>
      </c>
      <c s="14" r="Q317">
        <f>((N317+O317)+P317)+AA317</f>
        <v>79.2827</v>
      </c>
      <c s="14" r="R317">
        <f>(E317+L317)-M317</f>
        <v>92.79</v>
      </c>
      <c s="70" r="S317">
        <f>Q317-R317</f>
        <v>-13.5073</v>
      </c>
      <c s="29" r="T317">
        <f> (Q317/R317) - 1</f>
        <v>-0.145568487983619</v>
      </c>
      <c s="70" r="U317">
        <f>R317/X317</f>
        <v>0.9665625</v>
      </c>
      <c s="70" r="V317">
        <f>Q317/X317</f>
        <v>0.825861458333333</v>
      </c>
      <c t="s" s="30" r="W317">
        <v>131</v>
      </c>
      <c s="30" r="X317">
        <v>96</v>
      </c>
      <c t="s" s="30" r="Y317">
        <v>238</v>
      </c>
      <c t="s" s="30" r="Z317">
        <v>42</v>
      </c>
      <c s="30" r="AA317">
        <v>0</v>
      </c>
      <c s="30" r="AB317">
        <v>0</v>
      </c>
      <c s="30" r="AC317">
        <v>2</v>
      </c>
      <c s="30" r="AD317">
        <v>0</v>
      </c>
      <c s="30" r="AE317"/>
      <c t="str" s="8" r="AF317">
        <f>(I317+J317)/R317</f>
        <v>#VALUE!:notNumber:NA</v>
      </c>
      <c t="str" s="28" r="AG317">
        <f>G317/$X317</f>
        <v>#VALUE!:notNumber:NA</v>
      </c>
      <c t="str" s="28" r="AH317">
        <f>H317/$X317</f>
        <v>#VALUE!:notNumber:NA</v>
      </c>
      <c t="str" s="28" r="AI317">
        <f>I317/$X317</f>
        <v>#VALUE!:notNumber:NA</v>
      </c>
      <c t="str" s="28" r="AJ317">
        <f>J317/$X317</f>
        <v>#VALUE!:notNumber:NA</v>
      </c>
      <c t="str" s="28" r="AK317">
        <f>K317/$X317</f>
        <v>#VALUE!:notNumber:NA</v>
      </c>
      <c s="30" r="AL317">
        <v>1</v>
      </c>
    </row>
    <row r="318">
      <c s="30" r="A318">
        <v>317</v>
      </c>
      <c t="s" s="30" r="B318">
        <v>55</v>
      </c>
      <c s="62" r="C318">
        <v>41588</v>
      </c>
      <c s="52" r="D318">
        <v>0.8125</v>
      </c>
      <c s="55" r="E318">
        <f>27*1.21</f>
        <v>32.67</v>
      </c>
      <c s="55" r="F318"/>
      <c t="s" s="55" r="G318">
        <v>39</v>
      </c>
      <c t="s" s="55" r="H318">
        <v>39</v>
      </c>
      <c t="s" s="55" r="I318">
        <v>39</v>
      </c>
      <c t="s" s="55" r="J318">
        <v>39</v>
      </c>
      <c t="s" s="55" r="K318">
        <v>39</v>
      </c>
      <c s="80" r="L318">
        <v>0</v>
      </c>
      <c s="79" r="M318">
        <v>0</v>
      </c>
      <c s="79" r="N318">
        <f>21.52-3.78</f>
        <v>17.74</v>
      </c>
      <c s="32" r="O318">
        <f>SUMIF(Sellables!$A$2:$A$11482, $A318, Sellables!$G$2:$G$11482)</f>
        <v>4.0824</v>
      </c>
      <c s="32" r="P318">
        <f>SUMIF(Skills!$A$2:$A$9999, A318, Skills!$F$2:$F$9999)</f>
        <v>0</v>
      </c>
      <c s="14" r="Q318">
        <f>(N318+O318)+P318</f>
        <v>21.8224</v>
      </c>
      <c s="23" r="R318">
        <f>(E318+L318)-M318</f>
        <v>32.67</v>
      </c>
      <c s="70" r="S318">
        <f>Q318-R318</f>
        <v>-10.8476</v>
      </c>
      <c s="29" r="T318">
        <f> (Q318/R318) - 1</f>
        <v>-0.332035506580961</v>
      </c>
      <c t="str" s="70" r="U318">
        <f>R318/X318</f>
        <v>#DIV/0!:divZero</v>
      </c>
      <c t="str" s="70" r="V318">
        <f>Q318/X318</f>
        <v>#DIV/0!:divZero</v>
      </c>
      <c t="s" s="30" r="W318">
        <v>248</v>
      </c>
      <c s="30" r="X318">
        <v>0</v>
      </c>
      <c t="s" s="30" r="Y318">
        <v>235</v>
      </c>
      <c t="s" s="30" r="Z318">
        <v>42</v>
      </c>
      <c s="30" r="AA318">
        <v>0</v>
      </c>
      <c s="30" r="AB318">
        <v>0</v>
      </c>
      <c s="30" r="AC318">
        <v>0</v>
      </c>
      <c s="30" r="AD318">
        <v>0</v>
      </c>
      <c s="30" r="AE318"/>
      <c t="str" s="8" r="AF318">
        <f>(I318+J318)/R318</f>
        <v>#VALUE!:notNumber:NA</v>
      </c>
      <c t="str" s="28" r="AG318">
        <f>G318/$X318</f>
        <v>#DIV/0!:divZero</v>
      </c>
      <c t="str" s="28" r="AH318">
        <f>H318/$X318</f>
        <v>#DIV/0!:divZero</v>
      </c>
      <c t="str" s="28" r="AI318">
        <f>I318/$X318</f>
        <v>#DIV/0!:divZero</v>
      </c>
      <c t="str" s="28" r="AJ318">
        <f>J318/$X318</f>
        <v>#DIV/0!:divZero</v>
      </c>
      <c t="str" s="28" r="AK318">
        <f>K318/$X318</f>
        <v>#DIV/0!:divZero</v>
      </c>
      <c s="30" r="AL318">
        <v>1</v>
      </c>
    </row>
    <row r="319">
      <c s="30" r="A319">
        <v>318</v>
      </c>
      <c t="s" s="30" r="B319">
        <v>55</v>
      </c>
      <c s="62" r="C319">
        <v>41588</v>
      </c>
      <c s="52" r="D319">
        <v>0.993055555555556</v>
      </c>
      <c s="55" r="E319">
        <f>210*0.07</f>
        <v>14.7</v>
      </c>
      <c s="55" r="F319"/>
      <c t="s" s="55" r="G319">
        <v>39</v>
      </c>
      <c t="s" s="55" r="H319">
        <v>39</v>
      </c>
      <c t="s" s="55" r="I319">
        <v>39</v>
      </c>
      <c t="s" s="55" r="J319">
        <v>39</v>
      </c>
      <c t="s" s="55" r="K319">
        <v>39</v>
      </c>
      <c s="80" r="L319">
        <v>0</v>
      </c>
      <c s="79" r="M319">
        <v>0</v>
      </c>
      <c s="79" r="N319">
        <v>9</v>
      </c>
      <c s="32" r="O319">
        <f>SUMIF(Sellables!$A$2:$A$11482, $A319, Sellables!$G$2:$G$11482)</f>
        <v>0</v>
      </c>
      <c s="32" r="P319">
        <f>SUMIF(Skills!$A$2:$A$9999, A319, Skills!$F$2:$F$9999)</f>
        <v>0</v>
      </c>
      <c s="14" r="Q319">
        <f>(N319+O319)+P319</f>
        <v>9</v>
      </c>
      <c s="23" r="R319">
        <f>(E319+L319)-M319</f>
        <v>14.7</v>
      </c>
      <c s="70" r="S319">
        <f>Q319-R319</f>
        <v>-5.7</v>
      </c>
      <c s="29" r="T319">
        <f> (Q319/R319) - 1</f>
        <v>-0.387755102040816</v>
      </c>
      <c t="str" s="70" r="U319">
        <f>R319/X319</f>
        <v>#DIV/0!:divZero</v>
      </c>
      <c t="str" s="70" r="V319">
        <f>Q319/X319</f>
        <v>#DIV/0!:divZero</v>
      </c>
      <c t="s" s="30" r="W319">
        <v>190</v>
      </c>
      <c s="30" r="X319">
        <v>0</v>
      </c>
      <c t="s" s="30" r="Y319">
        <v>235</v>
      </c>
      <c t="s" s="30" r="Z319">
        <v>42</v>
      </c>
      <c s="30" r="AA319">
        <v>0</v>
      </c>
      <c s="30" r="AB319">
        <v>0</v>
      </c>
      <c s="30" r="AC319">
        <v>0</v>
      </c>
      <c s="30" r="AD319">
        <v>0</v>
      </c>
      <c s="30" r="AE319"/>
      <c t="str" s="8" r="AF319">
        <f>(I319+J319)/R319</f>
        <v>#VALUE!:notNumber:NA</v>
      </c>
      <c t="str" s="28" r="AG319">
        <f>G319/$X319</f>
        <v>#DIV/0!:divZero</v>
      </c>
      <c t="str" s="28" r="AH319">
        <f>H319/$X319</f>
        <v>#DIV/0!:divZero</v>
      </c>
      <c t="str" s="28" r="AI319">
        <f>I319/$X319</f>
        <v>#DIV/0!:divZero</v>
      </c>
      <c t="str" s="28" r="AJ319">
        <f>J319/$X319</f>
        <v>#DIV/0!:divZero</v>
      </c>
      <c t="str" s="28" r="AK319">
        <f>K319/$X319</f>
        <v>#DIV/0!:divZero</v>
      </c>
      <c s="30" r="AL319">
        <v>1</v>
      </c>
    </row>
    <row r="320">
      <c s="30" r="A320">
        <v>319</v>
      </c>
      <c t="s" s="30" r="B320">
        <v>38</v>
      </c>
      <c s="62" r="C320">
        <v>41588</v>
      </c>
      <c s="52" r="D320">
        <v>0.833333333333333</v>
      </c>
      <c s="55" r="E320">
        <v>500</v>
      </c>
      <c s="55" r="F320"/>
      <c t="s" s="55" r="G320">
        <v>39</v>
      </c>
      <c t="s" s="55" r="H320">
        <v>39</v>
      </c>
      <c t="s" s="55" r="I320">
        <v>39</v>
      </c>
      <c t="s" s="55" r="J320">
        <v>39</v>
      </c>
      <c t="s" s="55" r="K320">
        <v>39</v>
      </c>
      <c s="80" r="L320">
        <v>162.61</v>
      </c>
      <c s="79" r="M320">
        <v>137.24</v>
      </c>
      <c s="79" r="N320">
        <v>566</v>
      </c>
      <c s="32" r="O320">
        <f>SUMIF(Sellables!$A$2:$A$11482, $A320, Sellables!$G$2:$G$11482)</f>
        <v>36</v>
      </c>
      <c s="32" r="P320">
        <f>SUMIF(Skills!$A$2:$A$9999, A320, Skills!$F$2:$F$9999)</f>
        <v>0</v>
      </c>
      <c s="14" r="Q320">
        <f>((N320+O320)+P320)+AA320</f>
        <v>602</v>
      </c>
      <c s="14" r="R320">
        <f>(E320+L320)-M320</f>
        <v>525.37</v>
      </c>
      <c s="70" r="S320">
        <f>Q320-R320</f>
        <v>76.63</v>
      </c>
      <c s="29" r="T320">
        <f> (Q320/R320) - 1</f>
        <v>0.145859108818547</v>
      </c>
      <c s="70" r="U320">
        <f>R320/X320</f>
        <v>3.69978873239437</v>
      </c>
      <c s="70" r="V320">
        <f>Q320/X320</f>
        <v>4.23943661971831</v>
      </c>
      <c t="s" s="30" r="W320">
        <v>249</v>
      </c>
      <c s="30" r="X320">
        <v>142</v>
      </c>
      <c t="s" s="30" r="Y320">
        <v>238</v>
      </c>
      <c t="s" s="30" r="Z320">
        <v>42</v>
      </c>
      <c s="30" r="AA320">
        <v>0</v>
      </c>
      <c s="30" r="AB320">
        <v>0</v>
      </c>
      <c s="30" r="AC320">
        <v>2</v>
      </c>
      <c s="30" r="AD320">
        <v>0</v>
      </c>
      <c s="30" r="AE320"/>
      <c t="str" s="8" r="AF320">
        <f>(I320+J320)/R320</f>
        <v>#VALUE!:notNumber:NA</v>
      </c>
      <c t="str" s="28" r="AG320">
        <f>G320/$X320</f>
        <v>#VALUE!:notNumber:NA</v>
      </c>
      <c t="str" s="28" r="AH320">
        <f>H320/$X320</f>
        <v>#VALUE!:notNumber:NA</v>
      </c>
      <c t="str" s="28" r="AI320">
        <f>I320/$X320</f>
        <v>#VALUE!:notNumber:NA</v>
      </c>
      <c t="str" s="28" r="AJ320">
        <f>J320/$X320</f>
        <v>#VALUE!:notNumber:NA</v>
      </c>
      <c t="str" s="28" r="AK320">
        <f>K320/$X320</f>
        <v>#VALUE!:notNumber:NA</v>
      </c>
      <c s="30" r="AL320">
        <v>1</v>
      </c>
    </row>
    <row r="321">
      <c s="30" r="A321">
        <v>320</v>
      </c>
      <c t="s" s="30" r="B321">
        <v>55</v>
      </c>
      <c s="62" r="C321">
        <v>41588</v>
      </c>
      <c s="52" r="D321">
        <v>0.993055555555556</v>
      </c>
      <c s="55" r="E321">
        <f>1889*0.71</f>
        <v>1341.19</v>
      </c>
      <c s="55" r="F321"/>
      <c t="s" s="55" r="G321">
        <v>39</v>
      </c>
      <c t="s" s="55" r="H321">
        <v>39</v>
      </c>
      <c t="s" s="55" r="I321">
        <v>39</v>
      </c>
      <c t="s" s="55" r="J321">
        <v>39</v>
      </c>
      <c t="s" s="55" r="K321">
        <v>39</v>
      </c>
      <c s="80" r="L321">
        <v>0</v>
      </c>
      <c s="79" r="M321">
        <v>0</v>
      </c>
      <c s="79" r="N321">
        <f>(1352.61-515.10)-588.23</f>
        <v>249.28</v>
      </c>
      <c s="32" r="O321">
        <f>SUMIF(Sellables!$A$2:$A$11482, $A321, Sellables!$G$2:$G$11482)</f>
        <v>1136.00069</v>
      </c>
      <c s="32" r="P321">
        <f>SUMIF(Skills!$A$2:$A$9999, A321, Skills!$F$2:$F$9999)</f>
        <v>0</v>
      </c>
      <c s="14" r="Q321">
        <f>(N321+O321)+P321</f>
        <v>1385.28069</v>
      </c>
      <c s="23" r="R321">
        <f>(E321+L321)-M321</f>
        <v>1341.19</v>
      </c>
      <c s="70" r="S321">
        <f>Q321-R321</f>
        <v>44.0906900000002</v>
      </c>
      <c s="29" r="T321">
        <f> (Q321/R321) - 1</f>
        <v>0.032874305653934</v>
      </c>
      <c t="str" s="70" r="U321">
        <f>R321/X321</f>
        <v>#DIV/0!:divZero</v>
      </c>
      <c t="str" s="70" r="V321">
        <f>Q321/X321</f>
        <v>#DIV/0!:divZero</v>
      </c>
      <c t="s" s="30" r="W321">
        <v>56</v>
      </c>
      <c s="30" r="X321">
        <v>0</v>
      </c>
      <c t="s" s="30" r="Y321">
        <v>235</v>
      </c>
      <c t="s" s="30" r="Z321">
        <v>42</v>
      </c>
      <c s="30" r="AA321">
        <v>0</v>
      </c>
      <c s="30" r="AB321">
        <v>1</v>
      </c>
      <c s="30" r="AC321">
        <v>2</v>
      </c>
      <c s="30" r="AD321">
        <v>0</v>
      </c>
      <c s="30" r="AE321"/>
      <c t="str" s="8" r="AF321">
        <f>(I321+J321)/R321</f>
        <v>#VALUE!:notNumber:NA</v>
      </c>
      <c t="str" s="28" r="AG321">
        <f>G321/$X321</f>
        <v>#DIV/0!:divZero</v>
      </c>
      <c t="str" s="28" r="AH321">
        <f>H321/$X321</f>
        <v>#DIV/0!:divZero</v>
      </c>
      <c t="str" s="28" r="AI321">
        <f>I321/$X321</f>
        <v>#DIV/0!:divZero</v>
      </c>
      <c t="str" s="28" r="AJ321">
        <f>J321/$X321</f>
        <v>#DIV/0!:divZero</v>
      </c>
      <c t="str" s="28" r="AK321">
        <f>K321/$X321</f>
        <v>#DIV/0!:divZero</v>
      </c>
      <c s="30" r="AL321">
        <v>1</v>
      </c>
    </row>
    <row r="322">
      <c s="30" r="A322">
        <v>321</v>
      </c>
      <c t="s" s="30" r="B322">
        <v>55</v>
      </c>
      <c s="62" r="C322">
        <v>41589</v>
      </c>
      <c s="52" r="D322">
        <v>0.395833333333333</v>
      </c>
      <c s="55" r="E322">
        <f>386*0.61</f>
        <v>235.46</v>
      </c>
      <c s="55" r="F322"/>
      <c t="s" s="55" r="G322">
        <v>39</v>
      </c>
      <c t="s" s="55" r="H322">
        <v>39</v>
      </c>
      <c t="s" s="55" r="I322">
        <v>39</v>
      </c>
      <c t="s" s="55" r="J322">
        <v>39</v>
      </c>
      <c t="s" s="55" r="K322">
        <v>39</v>
      </c>
      <c s="80" r="L322">
        <v>0</v>
      </c>
      <c s="79" r="M322">
        <v>0</v>
      </c>
      <c s="79" r="N322">
        <f>199.21-30.24</f>
        <v>168.97</v>
      </c>
      <c s="32" r="O322">
        <f>SUMIF(Sellables!$A$2:$A$11482, $A322, Sellables!$G$2:$G$11482)</f>
        <v>32.6592</v>
      </c>
      <c s="32" r="P322">
        <f>SUMIF(Skills!$A$2:$A$9999, A322, Skills!$F$2:$F$9999)</f>
        <v>0</v>
      </c>
      <c s="14" r="Q322">
        <f>(N322+O322)+P322</f>
        <v>201.6292</v>
      </c>
      <c s="23" r="R322">
        <f>(E322+L322)-M322</f>
        <v>235.46</v>
      </c>
      <c s="70" r="S322">
        <f>Q322-R322</f>
        <v>-33.8308</v>
      </c>
      <c s="29" r="T322">
        <f> (Q322/R322) - 1</f>
        <v>-0.143679605877856</v>
      </c>
      <c t="str" s="70" r="U322">
        <f>R322/X322</f>
        <v>#DIV/0!:divZero</v>
      </c>
      <c t="str" s="70" r="V322">
        <f>Q322/X322</f>
        <v>#DIV/0!:divZero</v>
      </c>
      <c t="s" s="30" r="W322">
        <v>98</v>
      </c>
      <c s="30" r="X322">
        <v>0</v>
      </c>
      <c t="s" s="30" r="Y322">
        <v>235</v>
      </c>
      <c t="s" s="30" r="Z322">
        <v>42</v>
      </c>
      <c s="30" r="AA322">
        <v>0</v>
      </c>
      <c s="30" r="AB322">
        <v>0</v>
      </c>
      <c s="30" r="AC322">
        <v>0</v>
      </c>
      <c s="30" r="AD322">
        <v>0</v>
      </c>
      <c s="30" r="AE322"/>
      <c t="str" s="8" r="AF322">
        <f>(I322+J322)/R322</f>
        <v>#VALUE!:notNumber:NA</v>
      </c>
      <c t="str" s="28" r="AG322">
        <f>G322/$X322</f>
        <v>#DIV/0!:divZero</v>
      </c>
      <c t="str" s="28" r="AH322">
        <f>H322/$X322</f>
        <v>#DIV/0!:divZero</v>
      </c>
      <c t="str" s="28" r="AI322">
        <f>I322/$X322</f>
        <v>#DIV/0!:divZero</v>
      </c>
      <c t="str" s="28" r="AJ322">
        <f>J322/$X322</f>
        <v>#DIV/0!:divZero</v>
      </c>
      <c t="str" s="28" r="AK322">
        <f>K322/$X322</f>
        <v>#DIV/0!:divZero</v>
      </c>
      <c s="30" r="AL322">
        <v>1</v>
      </c>
    </row>
    <row r="323">
      <c s="30" r="A323">
        <v>322</v>
      </c>
      <c t="s" s="30" r="B323">
        <v>55</v>
      </c>
      <c s="62" r="C323">
        <v>41589</v>
      </c>
      <c s="52" r="D323">
        <v>0.4375</v>
      </c>
      <c s="55" r="E323">
        <f>207*0.31</f>
        <v>64.17</v>
      </c>
      <c s="55" r="F323"/>
      <c t="s" s="55" r="G323">
        <v>39</v>
      </c>
      <c t="s" s="55" r="H323">
        <v>39</v>
      </c>
      <c t="s" s="55" r="I323">
        <v>39</v>
      </c>
      <c t="s" s="55" r="J323">
        <v>39</v>
      </c>
      <c t="s" s="55" r="K323">
        <v>39</v>
      </c>
      <c s="80" r="L323">
        <v>0</v>
      </c>
      <c s="79" r="M323">
        <v>0</v>
      </c>
      <c s="79" r="N323">
        <f>55.17-9.05</f>
        <v>46.12</v>
      </c>
      <c s="32" r="O323">
        <f>SUMIF(Sellables!$A$2:$A$11482, $A323, Sellables!$G$2:$G$11482)</f>
        <v>9.774</v>
      </c>
      <c s="32" r="P323">
        <f>SUMIF(Skills!$A$2:$A$9999, A323, Skills!$F$2:$F$9999)</f>
        <v>0</v>
      </c>
      <c s="14" r="Q323">
        <f>(N323+O323)+P323</f>
        <v>55.894</v>
      </c>
      <c s="23" r="R323">
        <f>(E323+L323)-M323</f>
        <v>64.17</v>
      </c>
      <c s="70" r="S323">
        <f>Q323-R323</f>
        <v>-8.276</v>
      </c>
      <c s="29" r="T323">
        <f> (Q323/R323) - 1</f>
        <v>-0.12896992364033</v>
      </c>
      <c t="str" s="70" r="U323">
        <f>R323/X323</f>
        <v>#DIV/0!:divZero</v>
      </c>
      <c t="str" s="70" r="V323">
        <f>Q323/X323</f>
        <v>#DIV/0!:divZero</v>
      </c>
      <c t="s" s="30" r="W323">
        <v>133</v>
      </c>
      <c s="30" r="X323">
        <v>0</v>
      </c>
      <c t="s" s="30" r="Y323">
        <v>235</v>
      </c>
      <c t="s" s="30" r="Z323">
        <v>42</v>
      </c>
      <c s="30" r="AA323">
        <v>0</v>
      </c>
      <c s="30" r="AB323">
        <v>0</v>
      </c>
      <c s="30" r="AC323">
        <v>0</v>
      </c>
      <c s="30" r="AD323">
        <v>0</v>
      </c>
      <c s="30" r="AE323"/>
      <c t="str" s="8" r="AF323">
        <f>(I323+J323)/R323</f>
        <v>#VALUE!:notNumber:NA</v>
      </c>
      <c t="str" s="28" r="AG323">
        <f>G323/$X323</f>
        <v>#DIV/0!:divZero</v>
      </c>
      <c t="str" s="28" r="AH323">
        <f>H323/$X323</f>
        <v>#DIV/0!:divZero</v>
      </c>
      <c t="str" s="28" r="AI323">
        <f>I323/$X323</f>
        <v>#DIV/0!:divZero</v>
      </c>
      <c t="str" s="28" r="AJ323">
        <f>J323/$X323</f>
        <v>#DIV/0!:divZero</v>
      </c>
      <c t="str" s="28" r="AK323">
        <f>K323/$X323</f>
        <v>#DIV/0!:divZero</v>
      </c>
      <c s="30" r="AL323">
        <v>1</v>
      </c>
    </row>
    <row r="324">
      <c s="30" r="A324">
        <v>323</v>
      </c>
      <c t="s" s="30" r="B324">
        <v>55</v>
      </c>
      <c s="62" r="C324">
        <v>41589</v>
      </c>
      <c s="52" r="D324">
        <v>0.458333333333333</v>
      </c>
      <c s="55" r="E324">
        <f>1388*0.07</f>
        <v>97.16</v>
      </c>
      <c s="55" r="F324"/>
      <c t="s" s="55" r="G324">
        <v>39</v>
      </c>
      <c t="s" s="55" r="H324">
        <v>39</v>
      </c>
      <c t="s" s="55" r="I324">
        <v>39</v>
      </c>
      <c t="s" s="55" r="J324">
        <v>39</v>
      </c>
      <c t="s" s="55" r="K324">
        <v>39</v>
      </c>
      <c s="80" r="L324">
        <v>0</v>
      </c>
      <c s="79" r="M324">
        <v>0</v>
      </c>
      <c s="79" r="N324">
        <f>134.52-60.18</f>
        <v>74.34</v>
      </c>
      <c s="32" r="O324">
        <f>SUMIF(Sellables!$A$2:$A$11482, $A324, Sellables!$G$2:$G$11482)</f>
        <v>64.9944</v>
      </c>
      <c s="32" r="P324">
        <f>SUMIF(Skills!$A$2:$A$9999, A324, Skills!$F$2:$F$9999)</f>
        <v>0</v>
      </c>
      <c s="14" r="Q324">
        <f>(N324+O324)+P324</f>
        <v>139.3344</v>
      </c>
      <c s="23" r="R324">
        <f>(E324+L324)-M324</f>
        <v>97.16</v>
      </c>
      <c s="70" r="S324">
        <f>Q324-R324</f>
        <v>42.1744</v>
      </c>
      <c s="29" r="T324">
        <f> (Q324/R324) - 1</f>
        <v>0.434071634417456</v>
      </c>
      <c t="str" s="70" r="U324">
        <f>R324/X324</f>
        <v>#DIV/0!:divZero</v>
      </c>
      <c t="str" s="70" r="V324">
        <f>Q324/X324</f>
        <v>#DIV/0!:divZero</v>
      </c>
      <c t="s" s="30" r="W324">
        <v>250</v>
      </c>
      <c s="30" r="X324">
        <v>0</v>
      </c>
      <c t="s" s="30" r="Y324">
        <v>235</v>
      </c>
      <c t="s" s="30" r="Z324">
        <v>42</v>
      </c>
      <c s="30" r="AA324">
        <v>0</v>
      </c>
      <c s="30" r="AB324">
        <v>0</v>
      </c>
      <c s="30" r="AC324">
        <v>0</v>
      </c>
      <c s="30" r="AD324">
        <v>0</v>
      </c>
      <c s="30" r="AE324"/>
      <c t="str" s="8" r="AF324">
        <f>(I324+J324)/R324</f>
        <v>#VALUE!:notNumber:NA</v>
      </c>
      <c t="str" s="28" r="AG324">
        <f>G324/$X324</f>
        <v>#DIV/0!:divZero</v>
      </c>
      <c t="str" s="28" r="AH324">
        <f>H324/$X324</f>
        <v>#DIV/0!:divZero</v>
      </c>
      <c t="str" s="28" r="AI324">
        <f>I324/$X324</f>
        <v>#DIV/0!:divZero</v>
      </c>
      <c t="str" s="28" r="AJ324">
        <f>J324/$X324</f>
        <v>#DIV/0!:divZero</v>
      </c>
      <c t="str" s="28" r="AK324">
        <f>K324/$X324</f>
        <v>#DIV/0!:divZero</v>
      </c>
      <c s="30" r="AL324">
        <v>1</v>
      </c>
    </row>
    <row r="325">
      <c s="30" r="A325">
        <v>324</v>
      </c>
      <c t="s" s="30" r="B325">
        <v>55</v>
      </c>
      <c s="62" r="C325">
        <v>41589</v>
      </c>
      <c s="52" r="D325">
        <v>0.458333333333333</v>
      </c>
      <c s="55" r="E325">
        <f>13*2</f>
        <v>26</v>
      </c>
      <c s="55" r="F325"/>
      <c t="s" s="55" r="G325">
        <v>39</v>
      </c>
      <c t="s" s="55" r="H325">
        <v>39</v>
      </c>
      <c t="s" s="55" r="I325">
        <v>39</v>
      </c>
      <c t="s" s="55" r="J325">
        <v>39</v>
      </c>
      <c t="s" s="55" r="K325">
        <v>39</v>
      </c>
      <c s="80" r="L325">
        <v>0</v>
      </c>
      <c s="79" r="M325">
        <v>0</v>
      </c>
      <c s="79" r="N325">
        <f>(17.60-9.40)-1.8</f>
        <v>6.4</v>
      </c>
      <c s="32" r="O325">
        <f>SUMIF(Sellables!$A$2:$A$11482, $A325, Sellables!$G$2:$G$11482)</f>
        <v>12.546</v>
      </c>
      <c s="32" r="P325">
        <f>SUMIF(Skills!$A$2:$A$9999, A325, Skills!$F$2:$F$9999)</f>
        <v>0</v>
      </c>
      <c s="14" r="Q325">
        <f>(N325+O325)+P325</f>
        <v>18.946</v>
      </c>
      <c s="23" r="R325">
        <f>(E325+L325)-M325</f>
        <v>26</v>
      </c>
      <c s="70" r="S325">
        <f>Q325-R325</f>
        <v>-7.054</v>
      </c>
      <c s="29" r="T325">
        <f> (Q325/R325) - 1</f>
        <v>-0.271307692307692</v>
      </c>
      <c t="str" s="70" r="U325">
        <f>R325/X325</f>
        <v>#DIV/0!:divZero</v>
      </c>
      <c t="str" s="70" r="V325">
        <f>Q325/X325</f>
        <v>#DIV/0!:divZero</v>
      </c>
      <c t="s" s="30" r="W325">
        <v>192</v>
      </c>
      <c s="30" r="X325">
        <v>0</v>
      </c>
      <c t="s" s="30" r="Y325">
        <v>235</v>
      </c>
      <c t="s" s="30" r="Z325">
        <v>42</v>
      </c>
      <c s="30" r="AA325">
        <v>0</v>
      </c>
      <c s="30" r="AB325">
        <v>0</v>
      </c>
      <c s="30" r="AC325">
        <v>0</v>
      </c>
      <c s="30" r="AD325">
        <v>0</v>
      </c>
      <c s="30" r="AE325"/>
      <c t="str" s="8" r="AF325">
        <f>(I325+J325)/R325</f>
        <v>#VALUE!:notNumber:NA</v>
      </c>
      <c t="str" s="28" r="AG325">
        <f>G325/$X325</f>
        <v>#DIV/0!:divZero</v>
      </c>
      <c t="str" s="28" r="AH325">
        <f>H325/$X325</f>
        <v>#DIV/0!:divZero</v>
      </c>
      <c t="str" s="28" r="AI325">
        <f>I325/$X325</f>
        <v>#DIV/0!:divZero</v>
      </c>
      <c t="str" s="28" r="AJ325">
        <f>J325/$X325</f>
        <v>#DIV/0!:divZero</v>
      </c>
      <c t="str" s="28" r="AK325">
        <f>K325/$X325</f>
        <v>#DIV/0!:divZero</v>
      </c>
      <c s="30" r="AL325">
        <v>1</v>
      </c>
    </row>
    <row r="326">
      <c s="30" r="A326">
        <v>325</v>
      </c>
      <c t="s" s="30" r="B326">
        <v>55</v>
      </c>
      <c s="62" r="C326">
        <v>41589</v>
      </c>
      <c s="52" r="D326">
        <v>0.458333333333333</v>
      </c>
      <c s="55" r="E326">
        <f>170*1.9</f>
        <v>323</v>
      </c>
      <c s="55" r="F326"/>
      <c t="s" s="55" r="G326">
        <v>39</v>
      </c>
      <c t="s" s="55" r="H326">
        <v>39</v>
      </c>
      <c t="s" s="55" r="I326">
        <v>39</v>
      </c>
      <c t="s" s="55" r="J326">
        <v>39</v>
      </c>
      <c t="s" s="55" r="K326">
        <v>39</v>
      </c>
      <c s="80" r="L326">
        <v>0</v>
      </c>
      <c s="79" r="M326">
        <v>0</v>
      </c>
      <c s="79" r="N326">
        <f>((318.60-158.01)-83.29)-22.80</f>
        <v>54.5</v>
      </c>
      <c s="32" r="O326">
        <f>SUMIF(Sellables!$A$2:$A$11482, $A326, Sellables!$G$2:$G$11482)</f>
        <v>340.404</v>
      </c>
      <c s="32" r="P326">
        <f>SUMIF(Skills!$A$2:$A$9999, A326, Skills!$F$2:$F$9999)</f>
        <v>0</v>
      </c>
      <c s="14" r="Q326">
        <f>(N326+O326)+P326</f>
        <v>394.904</v>
      </c>
      <c s="23" r="R326">
        <f>(E326+L326)-M326</f>
        <v>323</v>
      </c>
      <c s="70" r="S326">
        <f>Q326-R326</f>
        <v>71.9040000000001</v>
      </c>
      <c s="29" r="T326">
        <f> (Q326/R326) - 1</f>
        <v>0.222613003095976</v>
      </c>
      <c t="str" s="70" r="U326">
        <f>R326/X326</f>
        <v>#DIV/0!:divZero</v>
      </c>
      <c t="str" s="70" r="V326">
        <f>Q326/X326</f>
        <v>#DIV/0!:divZero</v>
      </c>
      <c t="s" s="30" r="W326">
        <v>204</v>
      </c>
      <c s="30" r="X326">
        <v>0</v>
      </c>
      <c t="s" s="30" r="Y326">
        <v>235</v>
      </c>
      <c t="s" s="30" r="Z326">
        <v>42</v>
      </c>
      <c s="30" r="AA326">
        <v>0</v>
      </c>
      <c s="30" r="AB326">
        <v>0</v>
      </c>
      <c s="30" r="AC326">
        <v>0</v>
      </c>
      <c s="30" r="AD326">
        <v>0</v>
      </c>
      <c s="30" r="AE326"/>
      <c t="str" s="8" r="AF326">
        <f>(I326+J326)/R326</f>
        <v>#VALUE!:notNumber:NA</v>
      </c>
      <c t="str" s="28" r="AG326">
        <f>G326/$X326</f>
        <v>#DIV/0!:divZero</v>
      </c>
      <c t="str" s="28" r="AH326">
        <f>H326/$X326</f>
        <v>#DIV/0!:divZero</v>
      </c>
      <c t="str" s="28" r="AI326">
        <f>I326/$X326</f>
        <v>#DIV/0!:divZero</v>
      </c>
      <c t="str" s="28" r="AJ326">
        <f>J326/$X326</f>
        <v>#DIV/0!:divZero</v>
      </c>
      <c t="str" s="28" r="AK326">
        <f>K326/$X326</f>
        <v>#DIV/0!:divZero</v>
      </c>
      <c s="30" r="AL326">
        <v>1</v>
      </c>
    </row>
    <row r="327">
      <c s="30" r="A327">
        <v>326</v>
      </c>
      <c t="s" s="30" r="B327">
        <v>55</v>
      </c>
      <c s="62" r="C327">
        <v>41589</v>
      </c>
      <c s="52" r="D327">
        <v>0.458333333333333</v>
      </c>
      <c s="55" r="E327">
        <f>61*1.9</f>
        <v>115.9</v>
      </c>
      <c s="55" r="F327"/>
      <c t="s" s="55" r="G327">
        <v>39</v>
      </c>
      <c t="s" s="55" r="H327">
        <v>39</v>
      </c>
      <c t="s" s="55" r="I327">
        <v>39</v>
      </c>
      <c t="s" s="55" r="J327">
        <v>39</v>
      </c>
      <c t="s" s="55" r="K327">
        <v>39</v>
      </c>
      <c s="80" r="L327">
        <v>0</v>
      </c>
      <c s="79" r="M327">
        <v>0</v>
      </c>
      <c s="79" r="N327">
        <f>((149.44-111.89)-3.35)-9.60</f>
        <v>24.6</v>
      </c>
      <c s="32" r="O327">
        <f>SUMIF(Sellables!$A$2:$A$11482, $A327, Sellables!$G$2:$G$11482)</f>
        <v>148.6512</v>
      </c>
      <c s="32" r="P327">
        <f>SUMIF(Skills!$A$2:$A$9999, A327, Skills!$F$2:$F$9999)</f>
        <v>0</v>
      </c>
      <c s="14" r="Q327">
        <f>(N327+O327)+P327</f>
        <v>173.2512</v>
      </c>
      <c s="23" r="R327">
        <f>(E327+L327)-M327</f>
        <v>115.9</v>
      </c>
      <c s="70" r="S327">
        <f>Q327-R327</f>
        <v>57.3512</v>
      </c>
      <c s="29" r="T327">
        <f> (Q327/R327) - 1</f>
        <v>0.494833477135462</v>
      </c>
      <c t="str" s="70" r="U327">
        <f>R327/X327</f>
        <v>#DIV/0!:divZero</v>
      </c>
      <c t="str" s="70" r="V327">
        <f>Q327/X327</f>
        <v>#DIV/0!:divZero</v>
      </c>
      <c t="s" s="30" r="W327">
        <v>150</v>
      </c>
      <c s="30" r="X327">
        <v>0</v>
      </c>
      <c t="s" s="30" r="Y327">
        <v>235</v>
      </c>
      <c t="s" s="30" r="Z327">
        <v>42</v>
      </c>
      <c s="30" r="AA327">
        <v>0</v>
      </c>
      <c s="30" r="AB327">
        <v>0</v>
      </c>
      <c s="30" r="AC327">
        <v>0</v>
      </c>
      <c s="30" r="AD327">
        <v>0</v>
      </c>
      <c s="30" r="AE327"/>
      <c t="str" s="8" r="AF327">
        <f>(I327+J327)/R327</f>
        <v>#VALUE!:notNumber:NA</v>
      </c>
      <c t="str" s="28" r="AG327">
        <f>G327/$X327</f>
        <v>#DIV/0!:divZero</v>
      </c>
      <c t="str" s="28" r="AH327">
        <f>H327/$X327</f>
        <v>#DIV/0!:divZero</v>
      </c>
      <c t="str" s="28" r="AI327">
        <f>I327/$X327</f>
        <v>#DIV/0!:divZero</v>
      </c>
      <c t="str" s="28" r="AJ327">
        <f>J327/$X327</f>
        <v>#DIV/0!:divZero</v>
      </c>
      <c t="str" s="28" r="AK327">
        <f>K327/$X327</f>
        <v>#DIV/0!:divZero</v>
      </c>
      <c s="30" r="AL327">
        <v>1</v>
      </c>
    </row>
    <row r="328">
      <c s="30" r="A328">
        <v>327</v>
      </c>
      <c t="s" s="30" r="B328">
        <v>38</v>
      </c>
      <c s="62" r="C328">
        <v>41589</v>
      </c>
      <c s="52" r="D328">
        <v>0.673611111111111</v>
      </c>
      <c s="55" r="E328">
        <v>500</v>
      </c>
      <c s="55" r="F328"/>
      <c t="s" s="55" r="G328">
        <v>39</v>
      </c>
      <c t="s" s="55" r="H328">
        <v>39</v>
      </c>
      <c t="s" s="55" r="I328">
        <v>39</v>
      </c>
      <c t="s" s="55" r="J328">
        <v>39</v>
      </c>
      <c t="s" s="55" r="K328">
        <v>39</v>
      </c>
      <c s="80" r="L328">
        <v>185.7</v>
      </c>
      <c s="79" r="M328">
        <v>122.66</v>
      </c>
      <c s="79" r="N328">
        <v>631.49</v>
      </c>
      <c s="32" r="O328">
        <f>SUMIF(Sellables!$A$2:$A$11482, $A328, Sellables!$G$2:$G$11482)</f>
        <v>222.894</v>
      </c>
      <c s="32" r="P328">
        <f>SUMIF(Skills!$A$2:$A$9999, A328, Skills!$F$2:$F$9999)</f>
        <v>0</v>
      </c>
      <c s="14" r="Q328">
        <f>((N328+O328)+P328)+AA328</f>
        <v>854.384</v>
      </c>
      <c s="14" r="R328">
        <f>(E328+L328)-M328</f>
        <v>563.04</v>
      </c>
      <c s="70" r="S328">
        <f>Q328-R328</f>
        <v>291.344</v>
      </c>
      <c s="29" r="T328">
        <f> (Q328/R328) - 1</f>
        <v>0.51744813867576</v>
      </c>
      <c s="70" r="U328">
        <f>R328/X328</f>
        <v>6.54697674418605</v>
      </c>
      <c s="70" r="V328">
        <f>Q328/X328</f>
        <v>9.9346976744186</v>
      </c>
      <c t="s" s="30" r="W328">
        <v>234</v>
      </c>
      <c s="30" r="X328">
        <v>86</v>
      </c>
      <c t="s" s="30" r="Y328">
        <v>238</v>
      </c>
      <c t="s" s="30" r="Z328">
        <v>42</v>
      </c>
      <c s="30" r="AA328">
        <v>0</v>
      </c>
      <c s="30" r="AB328">
        <v>0</v>
      </c>
      <c s="30" r="AC328">
        <v>4</v>
      </c>
      <c s="30" r="AD328">
        <v>0</v>
      </c>
      <c s="30" r="AE328"/>
      <c t="str" s="8" r="AF328">
        <f>(I328+J328)/R328</f>
        <v>#VALUE!:notNumber:NA</v>
      </c>
      <c t="str" s="28" r="AG328">
        <f>G328/$X328</f>
        <v>#VALUE!:notNumber:NA</v>
      </c>
      <c t="str" s="28" r="AH328">
        <f>H328/$X328</f>
        <v>#VALUE!:notNumber:NA</v>
      </c>
      <c t="str" s="28" r="AI328">
        <f>I328/$X328</f>
        <v>#VALUE!:notNumber:NA</v>
      </c>
      <c t="str" s="28" r="AJ328">
        <f>J328/$X328</f>
        <v>#VALUE!:notNumber:NA</v>
      </c>
      <c t="str" s="28" r="AK328">
        <f>K328/$X328</f>
        <v>#VALUE!:notNumber:NA</v>
      </c>
      <c s="30" r="AL328">
        <v>1</v>
      </c>
    </row>
    <row r="329">
      <c s="30" r="A329">
        <v>328</v>
      </c>
      <c t="s" s="30" r="B329">
        <v>38</v>
      </c>
      <c s="62" r="C329">
        <v>41589</v>
      </c>
      <c s="52" r="D329">
        <v>0.673611111111111</v>
      </c>
      <c s="55" r="E329">
        <v>500</v>
      </c>
      <c s="55" r="F329"/>
      <c t="s" s="55" r="G329">
        <v>39</v>
      </c>
      <c t="s" s="55" r="H329">
        <v>39</v>
      </c>
      <c t="s" s="55" r="I329">
        <v>39</v>
      </c>
      <c t="s" s="55" r="J329">
        <v>39</v>
      </c>
      <c t="s" s="55" r="K329">
        <v>39</v>
      </c>
      <c s="80" r="L329">
        <v>174.76</v>
      </c>
      <c s="79" r="M329">
        <v>124.97</v>
      </c>
      <c s="79" r="N329">
        <v>335.83</v>
      </c>
      <c s="32" r="O329">
        <f>SUMIF(Sellables!$A$2:$A$11482, $A329, Sellables!$G$2:$G$11482)</f>
        <v>0</v>
      </c>
      <c s="32" r="P329">
        <f>SUMIF(Skills!$A$2:$A$9999, A329, Skills!$F$2:$F$9999)</f>
        <v>0</v>
      </c>
      <c s="14" r="Q329">
        <f>((N329+O329)+P329)+AA329</f>
        <v>335.83</v>
      </c>
      <c s="14" r="R329">
        <f>(E329+L329)-M329</f>
        <v>549.79</v>
      </c>
      <c s="70" r="S329">
        <f>Q329-R329</f>
        <v>-213.96</v>
      </c>
      <c s="29" r="T329">
        <f> (Q329/R329) - 1</f>
        <v>-0.389166772767784</v>
      </c>
      <c s="70" r="U329">
        <f>R329/X329</f>
        <v>6.54511904761905</v>
      </c>
      <c s="70" r="V329">
        <f>Q329/X329</f>
        <v>3.99797619047619</v>
      </c>
      <c t="s" s="30" r="W329">
        <v>234</v>
      </c>
      <c s="30" r="X329">
        <v>84</v>
      </c>
      <c t="s" s="30" r="Y329">
        <v>238</v>
      </c>
      <c t="s" s="30" r="Z329">
        <v>42</v>
      </c>
      <c s="30" r="AA329">
        <v>0</v>
      </c>
      <c s="30" r="AB329">
        <v>0</v>
      </c>
      <c s="30" r="AC329">
        <v>1</v>
      </c>
      <c s="30" r="AD329">
        <v>0</v>
      </c>
      <c s="30" r="AE329"/>
      <c t="str" s="8" r="AF329">
        <f>(I329+J329)/R329</f>
        <v>#VALUE!:notNumber:NA</v>
      </c>
      <c t="str" s="28" r="AG329">
        <f>G329/$X329</f>
        <v>#VALUE!:notNumber:NA</v>
      </c>
      <c t="str" s="28" r="AH329">
        <f>H329/$X329</f>
        <v>#VALUE!:notNumber:NA</v>
      </c>
      <c t="str" s="28" r="AI329">
        <f>I329/$X329</f>
        <v>#VALUE!:notNumber:NA</v>
      </c>
      <c t="str" s="28" r="AJ329">
        <f>J329/$X329</f>
        <v>#VALUE!:notNumber:NA</v>
      </c>
      <c t="str" s="28" r="AK329">
        <f>K329/$X329</f>
        <v>#VALUE!:notNumber:NA</v>
      </c>
      <c s="30" r="AL329">
        <v>1</v>
      </c>
    </row>
    <row r="330">
      <c s="30" r="A330">
        <v>329</v>
      </c>
      <c t="s" s="30" r="B330">
        <v>38</v>
      </c>
      <c s="62" r="C330">
        <v>41589</v>
      </c>
      <c s="52" r="D330">
        <v>0.958333333333333</v>
      </c>
      <c s="55" r="E330">
        <v>500</v>
      </c>
      <c s="55" r="F330"/>
      <c t="s" s="55" r="G330">
        <v>39</v>
      </c>
      <c t="s" s="55" r="H330">
        <v>39</v>
      </c>
      <c t="s" s="55" r="I330">
        <v>39</v>
      </c>
      <c t="s" s="55" r="J330">
        <v>39</v>
      </c>
      <c t="s" s="55" r="K330">
        <v>39</v>
      </c>
      <c s="80" r="L330">
        <v>204.58</v>
      </c>
      <c s="79" r="M330">
        <v>76.79</v>
      </c>
      <c s="79" r="N330">
        <v>603.5</v>
      </c>
      <c s="32" r="O330">
        <f>SUMIF(Sellables!$A$2:$A$11482, $A330, Sellables!$G$2:$G$11482)</f>
        <v>0</v>
      </c>
      <c s="32" r="P330">
        <f>SUMIF(Skills!$A$2:$A$9999, A330, Skills!$F$2:$F$9999)</f>
        <v>0</v>
      </c>
      <c s="14" r="Q330">
        <f>((N330+O330)+P330)+AA330</f>
        <v>603.5</v>
      </c>
      <c s="14" r="R330">
        <f>(E330+L330)-M330</f>
        <v>627.79</v>
      </c>
      <c s="70" r="S330">
        <f>Q330-R330</f>
        <v>-24.2900000000001</v>
      </c>
      <c s="29" r="T330">
        <f> (Q330/R330) - 1</f>
        <v>-0.038691282116632</v>
      </c>
      <c s="70" r="U330">
        <f>R330/X330</f>
        <v>6.60831578947368</v>
      </c>
      <c s="70" r="V330">
        <f>Q330/X330</f>
        <v>6.35263157894737</v>
      </c>
      <c t="s" s="30" r="W330">
        <v>234</v>
      </c>
      <c s="30" r="X330">
        <v>95</v>
      </c>
      <c t="s" s="30" r="Y330">
        <v>238</v>
      </c>
      <c t="s" s="30" r="Z330">
        <v>42</v>
      </c>
      <c s="30" r="AA330">
        <v>0</v>
      </c>
      <c s="30" r="AB330">
        <v>0</v>
      </c>
      <c s="30" r="AC330">
        <v>2</v>
      </c>
      <c s="30" r="AD330">
        <v>0</v>
      </c>
      <c s="30" r="AE330"/>
      <c t="str" s="8" r="AF330">
        <f>(I330+J330)/R330</f>
        <v>#VALUE!:notNumber:NA</v>
      </c>
      <c t="str" s="28" r="AG330">
        <f>G330/$X330</f>
        <v>#VALUE!:notNumber:NA</v>
      </c>
      <c t="str" s="28" r="AH330">
        <f>H330/$X330</f>
        <v>#VALUE!:notNumber:NA</v>
      </c>
      <c t="str" s="28" r="AI330">
        <f>I330/$X330</f>
        <v>#VALUE!:notNumber:NA</v>
      </c>
      <c t="str" s="28" r="AJ330">
        <f>J330/$X330</f>
        <v>#VALUE!:notNumber:NA</v>
      </c>
      <c t="str" s="28" r="AK330">
        <f>K330/$X330</f>
        <v>#VALUE!:notNumber:NA</v>
      </c>
      <c s="30" r="AL330">
        <v>1</v>
      </c>
    </row>
    <row r="331">
      <c s="30" r="A331">
        <v>330</v>
      </c>
      <c t="s" s="30" r="B331">
        <v>38</v>
      </c>
      <c s="62" r="C331">
        <v>41590</v>
      </c>
      <c s="52" r="D331">
        <v>0.708333333333333</v>
      </c>
      <c s="55" r="E331">
        <v>500</v>
      </c>
      <c s="55" r="F331"/>
      <c t="s" s="55" r="G331">
        <v>39</v>
      </c>
      <c t="s" s="55" r="H331">
        <v>39</v>
      </c>
      <c t="s" s="55" r="I331">
        <v>39</v>
      </c>
      <c t="s" s="55" r="J331">
        <v>39</v>
      </c>
      <c t="s" s="55" r="K331">
        <v>39</v>
      </c>
      <c s="80" r="L331">
        <v>7.03</v>
      </c>
      <c s="79" r="M331">
        <v>477.73</v>
      </c>
      <c s="79" r="N331">
        <v>12.32</v>
      </c>
      <c s="32" r="O331">
        <f>SUMIF(Sellables!$A$2:$A$11482, $A331, Sellables!$G$2:$G$11482)</f>
        <v>0</v>
      </c>
      <c s="32" r="P331">
        <f>SUMIF(Skills!$A$2:$A$9999, A331, Skills!$F$2:$F$9999)</f>
        <v>0</v>
      </c>
      <c s="14" r="Q331">
        <f>((N331+O331)+P331)+AA331</f>
        <v>12.32</v>
      </c>
      <c s="14" r="R331">
        <f>(E331+L331)-M331</f>
        <v>29.3</v>
      </c>
      <c s="70" r="S331">
        <f>Q331-R331</f>
        <v>-16.98</v>
      </c>
      <c s="29" r="T331">
        <f> (Q331/R331) - 1</f>
        <v>-0.579522184300341</v>
      </c>
      <c s="70" r="U331">
        <f>R331/X331</f>
        <v>4.18571428571428</v>
      </c>
      <c s="70" r="V331">
        <f>Q331/X331</f>
        <v>1.76</v>
      </c>
      <c t="s" s="30" r="W331">
        <v>251</v>
      </c>
      <c s="30" r="X331">
        <v>7</v>
      </c>
      <c t="s" s="30" r="Y331">
        <v>252</v>
      </c>
      <c t="s" s="30" r="Z331">
        <v>42</v>
      </c>
      <c s="30" r="AA331">
        <v>0</v>
      </c>
      <c s="30" r="AB331">
        <v>0</v>
      </c>
      <c s="30" r="AC331">
        <v>0</v>
      </c>
      <c s="30" r="AD331">
        <v>0</v>
      </c>
      <c s="30" r="AE331"/>
      <c t="str" s="8" r="AF331">
        <f>(I331+J331)/R331</f>
        <v>#VALUE!:notNumber:NA</v>
      </c>
      <c t="str" s="28" r="AG331">
        <f>G331/$X331</f>
        <v>#VALUE!:notNumber:NA</v>
      </c>
      <c t="str" s="28" r="AH331">
        <f>H331/$X331</f>
        <v>#VALUE!:notNumber:NA</v>
      </c>
      <c t="str" s="28" r="AI331">
        <f>I331/$X331</f>
        <v>#VALUE!:notNumber:NA</v>
      </c>
      <c t="str" s="28" r="AJ331">
        <f>J331/$X331</f>
        <v>#VALUE!:notNumber:NA</v>
      </c>
      <c t="str" s="28" r="AK331">
        <f>K331/$X331</f>
        <v>#VALUE!:notNumber:NA</v>
      </c>
      <c s="30" r="AL331">
        <v>1</v>
      </c>
    </row>
    <row r="332">
      <c s="30" r="A332">
        <v>331</v>
      </c>
      <c t="s" s="30" r="B332">
        <v>38</v>
      </c>
      <c s="62" r="C332">
        <v>41590</v>
      </c>
      <c s="52" r="D332">
        <v>0.736111111111111</v>
      </c>
      <c s="55" r="E332">
        <v>600</v>
      </c>
      <c s="55" r="F332"/>
      <c t="s" s="55" r="G332">
        <v>39</v>
      </c>
      <c t="s" s="55" r="H332">
        <v>39</v>
      </c>
      <c t="s" s="55" r="I332">
        <v>39</v>
      </c>
      <c t="s" s="55" r="J332">
        <v>39</v>
      </c>
      <c t="s" s="55" r="K332">
        <v>39</v>
      </c>
      <c s="80" r="L332">
        <v>205.83</v>
      </c>
      <c s="79" r="M332">
        <v>174.63</v>
      </c>
      <c s="79" r="N332">
        <v>373.65</v>
      </c>
      <c s="32" r="O332">
        <f>SUMIF(Sellables!$A$2:$A$11482, $A332, Sellables!$G$2:$G$11482)</f>
        <v>0</v>
      </c>
      <c s="32" r="P332">
        <f>SUMIF(Skills!$A$2:$A$9999, A332, Skills!$F$2:$F$9999)</f>
        <v>0</v>
      </c>
      <c s="14" r="Q332">
        <f>((N332+O332)+P332)+AA332</f>
        <v>373.65</v>
      </c>
      <c s="14" r="R332">
        <f>(E332+L332)-M332</f>
        <v>631.2</v>
      </c>
      <c s="70" r="S332">
        <f>Q332-R332</f>
        <v>-257.55</v>
      </c>
      <c s="29" r="T332">
        <f> (Q332/R332) - 1</f>
        <v>-0.408032319391635</v>
      </c>
      <c s="70" r="U332">
        <f>R332/X332</f>
        <v>7.17272727272727</v>
      </c>
      <c s="70" r="V332">
        <f>Q332/X332</f>
        <v>4.24602272727273</v>
      </c>
      <c t="s" s="30" r="W332">
        <v>234</v>
      </c>
      <c s="30" r="X332">
        <v>88</v>
      </c>
      <c t="s" s="30" r="Y332">
        <v>238</v>
      </c>
      <c t="s" s="30" r="Z332">
        <v>42</v>
      </c>
      <c s="30" r="AA332">
        <v>0</v>
      </c>
      <c s="30" r="AB332">
        <v>1</v>
      </c>
      <c s="30" r="AC332">
        <v>1</v>
      </c>
      <c s="30" r="AD332">
        <v>0</v>
      </c>
      <c s="30" r="AE332"/>
      <c t="str" s="8" r="AF332">
        <f>(I332+J332)/R332</f>
        <v>#VALUE!:notNumber:NA</v>
      </c>
      <c t="str" s="28" r="AG332">
        <f>G332/$X332</f>
        <v>#VALUE!:notNumber:NA</v>
      </c>
      <c t="str" s="28" r="AH332">
        <f>H332/$X332</f>
        <v>#VALUE!:notNumber:NA</v>
      </c>
      <c t="str" s="28" r="AI332">
        <f>I332/$X332</f>
        <v>#VALUE!:notNumber:NA</v>
      </c>
      <c t="str" s="28" r="AJ332">
        <f>J332/$X332</f>
        <v>#VALUE!:notNumber:NA</v>
      </c>
      <c t="str" s="28" r="AK332">
        <f>K332/$X332</f>
        <v>#VALUE!:notNumber:NA</v>
      </c>
      <c s="30" r="AL332">
        <v>1</v>
      </c>
    </row>
    <row r="333">
      <c s="30" r="A333">
        <v>332</v>
      </c>
      <c t="s" s="30" r="B333">
        <v>38</v>
      </c>
      <c s="62" r="C333">
        <v>41590</v>
      </c>
      <c s="52" r="D333">
        <v>0.8125</v>
      </c>
      <c s="55" r="E333">
        <v>481</v>
      </c>
      <c s="55" r="F333"/>
      <c t="s" s="55" r="G333">
        <v>39</v>
      </c>
      <c t="s" s="55" r="H333">
        <v>39</v>
      </c>
      <c t="s" s="55" r="I333">
        <v>39</v>
      </c>
      <c t="s" s="55" r="J333">
        <v>39</v>
      </c>
      <c t="s" s="55" r="K333">
        <v>39</v>
      </c>
      <c s="80" r="L333">
        <f>136.31+72.42</f>
        <v>208.73</v>
      </c>
      <c s="79" r="M333">
        <f>13.74+38.31</f>
        <v>52.05</v>
      </c>
      <c s="79" r="N333">
        <f>18.04+1391.89</f>
        <v>1409.93</v>
      </c>
      <c s="32" r="O333">
        <f>SUMIF(Sellables!$A$2:$A$11482, $A333, Sellables!$G$2:$G$11482)</f>
        <v>0</v>
      </c>
      <c s="32" r="P333">
        <f>SUMIF(Skills!$A$2:$A$9999, A333, Skills!$F$2:$F$9999)</f>
        <v>0</v>
      </c>
      <c s="14" r="Q333">
        <f>((N333+O333)+P333)+AA333</f>
        <v>1409.93</v>
      </c>
      <c s="14" r="R333">
        <f>(E333+L333)-M333</f>
        <v>637.68</v>
      </c>
      <c s="70" r="S333">
        <f>Q333-R333</f>
        <v>772.25</v>
      </c>
      <c s="29" r="T333">
        <f> (Q333/R333) - 1</f>
        <v>1.21103061096475</v>
      </c>
      <c t="str" s="70" r="U333">
        <f>R333/X333</f>
        <v>#DIV/0!:divZero</v>
      </c>
      <c t="str" s="70" r="V333">
        <f>Q333/X333</f>
        <v>#DIV/0!:divZero</v>
      </c>
      <c t="s" s="30" r="W333">
        <v>237</v>
      </c>
      <c s="30" r="X333">
        <v>0</v>
      </c>
      <c t="s" s="30" r="Y333">
        <v>238</v>
      </c>
      <c t="s" s="30" r="Z333">
        <v>42</v>
      </c>
      <c s="30" r="AA333">
        <v>0</v>
      </c>
      <c s="30" r="AB333">
        <v>1</v>
      </c>
      <c s="30" r="AC333">
        <v>2</v>
      </c>
      <c s="30" r="AD333">
        <v>1</v>
      </c>
      <c s="30" r="AE333"/>
      <c t="str" s="8" r="AF333">
        <f>(I333+J333)/R333</f>
        <v>#VALUE!:notNumber:NA</v>
      </c>
      <c t="str" s="28" r="AG333">
        <f>G333/$X333</f>
        <v>#DIV/0!:divZero</v>
      </c>
      <c t="str" s="28" r="AH333">
        <f>H333/$X333</f>
        <v>#DIV/0!:divZero</v>
      </c>
      <c t="str" s="28" r="AI333">
        <f>I333/$X333</f>
        <v>#DIV/0!:divZero</v>
      </c>
      <c t="str" s="28" r="AJ333">
        <f>J333/$X333</f>
        <v>#DIV/0!:divZero</v>
      </c>
      <c t="str" s="28" r="AK333">
        <f>K333/$X333</f>
        <v>#DIV/0!:divZero</v>
      </c>
      <c s="30" r="AL333">
        <v>1</v>
      </c>
    </row>
    <row r="334">
      <c s="30" r="A334">
        <v>333</v>
      </c>
      <c t="s" s="30" r="B334">
        <v>38</v>
      </c>
      <c s="62" r="C334">
        <v>41590</v>
      </c>
      <c s="52" r="D334">
        <v>0.916666666666667</v>
      </c>
      <c s="55" r="E334">
        <v>500</v>
      </c>
      <c s="55" r="F334"/>
      <c t="s" s="55" r="G334">
        <v>39</v>
      </c>
      <c t="s" s="55" r="H334">
        <v>39</v>
      </c>
      <c t="s" s="55" r="I334">
        <v>39</v>
      </c>
      <c t="s" s="55" r="J334">
        <v>39</v>
      </c>
      <c t="s" s="55" r="K334">
        <v>39</v>
      </c>
      <c s="80" r="L334">
        <v>26.42</v>
      </c>
      <c s="79" r="M334">
        <v>424.96</v>
      </c>
      <c s="79" r="N334">
        <v>55.67</v>
      </c>
      <c s="32" r="O334">
        <f>SUMIF(Sellables!$A$2:$A$11482, $A334, Sellables!$G$2:$G$11482)</f>
        <v>49.608</v>
      </c>
      <c s="32" r="P334">
        <f>SUMIF(Skills!$A$2:$A$9999, A334, Skills!$F$2:$F$9999)</f>
        <v>0</v>
      </c>
      <c s="14" r="Q334">
        <f>((N334+O334)+P334)+AA334</f>
        <v>105.278</v>
      </c>
      <c s="14" r="R334">
        <f>(E334+L334)-M334</f>
        <v>101.46</v>
      </c>
      <c s="70" r="S334">
        <f>Q334-R334</f>
        <v>3.81800000000001</v>
      </c>
      <c s="29" r="T334">
        <f> (Q334/R334) - 1</f>
        <v>0.037630593337276</v>
      </c>
      <c s="70" r="U334">
        <f>R334/X334</f>
        <v>3.382</v>
      </c>
      <c s="70" r="V334">
        <f>Q334/X334</f>
        <v>3.50926666666667</v>
      </c>
      <c t="s" s="30" r="W334">
        <v>253</v>
      </c>
      <c s="30" r="X334">
        <v>30</v>
      </c>
      <c t="s" s="30" r="Y334">
        <v>254</v>
      </c>
      <c t="s" s="30" r="Z334">
        <v>42</v>
      </c>
      <c s="30" r="AA334">
        <v>0</v>
      </c>
      <c s="30" r="AB334">
        <v>0</v>
      </c>
      <c s="30" r="AC334">
        <v>1</v>
      </c>
      <c s="30" r="AD334">
        <v>0</v>
      </c>
      <c s="30" r="AE334"/>
      <c t="str" s="8" r="AF334">
        <f>(I334+J334)/R334</f>
        <v>#VALUE!:notNumber:NA</v>
      </c>
      <c t="str" s="28" r="AG334">
        <f>G334/$X334</f>
        <v>#VALUE!:notNumber:NA</v>
      </c>
      <c t="str" s="28" r="AH334">
        <f>H334/$X334</f>
        <v>#VALUE!:notNumber:NA</v>
      </c>
      <c t="str" s="28" r="AI334">
        <f>I334/$X334</f>
        <v>#VALUE!:notNumber:NA</v>
      </c>
      <c t="str" s="28" r="AJ334">
        <f>J334/$X334</f>
        <v>#VALUE!:notNumber:NA</v>
      </c>
      <c t="str" s="28" r="AK334">
        <f>K334/$X334</f>
        <v>#VALUE!:notNumber:NA</v>
      </c>
      <c s="30" r="AL334">
        <v>1</v>
      </c>
    </row>
    <row r="335">
      <c s="30" r="A335">
        <v>334</v>
      </c>
      <c t="s" s="30" r="B335">
        <v>38</v>
      </c>
      <c s="62" r="C335">
        <v>41590</v>
      </c>
      <c s="52" r="D335">
        <v>0.958333333333333</v>
      </c>
      <c s="55" r="E335">
        <v>500</v>
      </c>
      <c s="55" r="F335"/>
      <c t="s" s="55" r="G335">
        <v>39</v>
      </c>
      <c t="s" s="55" r="H335">
        <v>39</v>
      </c>
      <c t="s" s="55" r="I335">
        <v>39</v>
      </c>
      <c t="s" s="55" r="J335">
        <v>39</v>
      </c>
      <c t="s" s="55" r="K335">
        <v>39</v>
      </c>
      <c s="80" r="L335">
        <v>78.31</v>
      </c>
      <c s="79" r="M335">
        <v>347.61</v>
      </c>
      <c s="79" r="N335">
        <v>193.54</v>
      </c>
      <c s="32" r="O335">
        <f>SUMIF(Sellables!$A$2:$A$11482, $A335, Sellables!$G$2:$G$11482)</f>
        <v>0</v>
      </c>
      <c s="32" r="P335">
        <f>SUMIF(Skills!$A$2:$A$9999, A335, Skills!$F$2:$F$9999)</f>
        <v>0</v>
      </c>
      <c s="14" r="Q335">
        <f>((N335+O335)+P335)+AA335</f>
        <v>193.54</v>
      </c>
      <c s="14" r="R335">
        <f>(E335+L335)-M335</f>
        <v>230.7</v>
      </c>
      <c s="70" r="S335">
        <f>Q335-R335</f>
        <v>-37.1599999999999</v>
      </c>
      <c s="29" r="T335">
        <f> (Q335/R335) - 1</f>
        <v>-0.161074989163415</v>
      </c>
      <c t="str" s="70" r="U335">
        <f>R335/X335</f>
        <v>#DIV/0!:divZero</v>
      </c>
      <c t="str" s="70" r="V335">
        <f>Q335/X335</f>
        <v>#DIV/0!:divZero</v>
      </c>
      <c t="s" s="30" r="W335">
        <v>237</v>
      </c>
      <c s="30" r="X335">
        <v>0</v>
      </c>
      <c t="s" s="30" r="Y335">
        <v>238</v>
      </c>
      <c t="s" s="30" r="Z335">
        <v>42</v>
      </c>
      <c s="30" r="AA335">
        <v>0</v>
      </c>
      <c s="30" r="AB335">
        <v>0</v>
      </c>
      <c s="30" r="AC335">
        <v>1</v>
      </c>
      <c s="30" r="AD335">
        <v>0</v>
      </c>
      <c s="30" r="AE335"/>
      <c t="str" s="8" r="AF335">
        <f>(I335+J335)/R335</f>
        <v>#VALUE!:notNumber:NA</v>
      </c>
      <c t="str" s="28" r="AG335">
        <f>G335/$X335</f>
        <v>#DIV/0!:divZero</v>
      </c>
      <c t="str" s="28" r="AH335">
        <f>H335/$X335</f>
        <v>#DIV/0!:divZero</v>
      </c>
      <c t="str" s="28" r="AI335">
        <f>I335/$X335</f>
        <v>#DIV/0!:divZero</v>
      </c>
      <c t="str" s="28" r="AJ335">
        <f>J335/$X335</f>
        <v>#DIV/0!:divZero</v>
      </c>
      <c t="str" s="28" r="AK335">
        <f>K335/$X335</f>
        <v>#DIV/0!:divZero</v>
      </c>
      <c s="30" r="AL335">
        <v>1</v>
      </c>
    </row>
    <row r="336">
      <c s="30" r="A336">
        <v>335</v>
      </c>
      <c t="s" s="30" r="B336">
        <v>55</v>
      </c>
      <c s="62" r="C336">
        <v>41590</v>
      </c>
      <c s="52" r="D336">
        <v>0.708333333333333</v>
      </c>
      <c s="55" r="E336">
        <f>252*0.61</f>
        <v>153.72</v>
      </c>
      <c s="55" r="F336"/>
      <c t="s" s="55" r="G336">
        <v>39</v>
      </c>
      <c t="s" s="55" r="H336">
        <v>39</v>
      </c>
      <c t="s" s="55" r="I336">
        <v>39</v>
      </c>
      <c t="s" s="55" r="J336">
        <v>39</v>
      </c>
      <c t="s" s="55" r="K336">
        <v>39</v>
      </c>
      <c s="80" r="L336">
        <v>0</v>
      </c>
      <c s="79" r="M336">
        <v>0</v>
      </c>
      <c s="79" r="N336">
        <f>172.59-23.42</f>
        <v>149.17</v>
      </c>
      <c s="32" r="O336">
        <f>SUMIF(Sellables!$A$2:$A$11482, $A336, Sellables!$G$2:$G$11482)</f>
        <v>25.2936</v>
      </c>
      <c s="32" r="P336">
        <f>SUMIF(Skills!$A$2:$A$9999, A336, Skills!$F$2:$F$9999)</f>
        <v>0</v>
      </c>
      <c s="14" r="Q336">
        <f>(N336+O336)+P336</f>
        <v>174.4636</v>
      </c>
      <c s="23" r="R336">
        <f>(E336+L336)-M336</f>
        <v>153.72</v>
      </c>
      <c s="70" r="S336">
        <f>Q336-R336</f>
        <v>20.7436</v>
      </c>
      <c s="29" r="T336">
        <f> (Q336/R336) - 1</f>
        <v>0.134944054124382</v>
      </c>
      <c t="str" s="70" r="U336">
        <f>R336/X336</f>
        <v>#DIV/0!:divZero</v>
      </c>
      <c t="str" s="70" r="V336">
        <f>Q336/X336</f>
        <v>#DIV/0!:divZero</v>
      </c>
      <c t="s" s="30" r="W336">
        <v>98</v>
      </c>
      <c s="30" r="X336">
        <v>0</v>
      </c>
      <c t="s" s="30" r="Y336">
        <v>235</v>
      </c>
      <c t="s" s="30" r="Z336">
        <v>42</v>
      </c>
      <c s="30" r="AA336">
        <v>0</v>
      </c>
      <c s="30" r="AB336">
        <v>0</v>
      </c>
      <c s="30" r="AC336">
        <v>1</v>
      </c>
      <c s="30" r="AD336">
        <v>0</v>
      </c>
      <c s="30" r="AE336"/>
      <c t="str" s="8" r="AF336">
        <f>(I336+J336)/R336</f>
        <v>#VALUE!:notNumber:NA</v>
      </c>
      <c t="str" s="28" r="AG336">
        <f>G336/$X336</f>
        <v>#DIV/0!:divZero</v>
      </c>
      <c t="str" s="28" r="AH336">
        <f>H336/$X336</f>
        <v>#DIV/0!:divZero</v>
      </c>
      <c t="str" s="28" r="AI336">
        <f>I336/$X336</f>
        <v>#DIV/0!:divZero</v>
      </c>
      <c t="str" s="28" r="AJ336">
        <f>J336/$X336</f>
        <v>#DIV/0!:divZero</v>
      </c>
      <c t="str" s="28" r="AK336">
        <f>K336/$X336</f>
        <v>#DIV/0!:divZero</v>
      </c>
      <c s="30" r="AL336">
        <v>1</v>
      </c>
    </row>
    <row r="337">
      <c s="30" r="A337">
        <v>336</v>
      </c>
      <c t="s" s="30" r="B337">
        <v>55</v>
      </c>
      <c s="62" r="C337">
        <v>41590</v>
      </c>
      <c s="52" r="D337">
        <v>0.708333333333333</v>
      </c>
      <c s="55" r="E337">
        <f>106*0.31</f>
        <v>32.86</v>
      </c>
      <c s="55" r="F337"/>
      <c t="s" s="55" r="G337">
        <v>39</v>
      </c>
      <c t="s" s="55" r="H337">
        <v>39</v>
      </c>
      <c t="s" s="55" r="I337">
        <v>39</v>
      </c>
      <c t="s" s="55" r="J337">
        <v>39</v>
      </c>
      <c t="s" s="55" r="K337">
        <v>39</v>
      </c>
      <c s="80" r="L337">
        <v>0</v>
      </c>
      <c s="79" r="M337">
        <v>0</v>
      </c>
      <c s="79" r="N337">
        <f>31.46-4.37</f>
        <v>27.09</v>
      </c>
      <c s="32" r="O337">
        <f>SUMIF(Sellables!$A$2:$A$11482, $A337, Sellables!$G$2:$G$11482)</f>
        <v>4.7196</v>
      </c>
      <c s="32" r="P337">
        <f>SUMIF(Skills!$A$2:$A$9999, A337, Skills!$F$2:$F$9999)</f>
        <v>0</v>
      </c>
      <c s="14" r="Q337">
        <f>(N337+O337)+P337</f>
        <v>31.8096</v>
      </c>
      <c s="23" r="R337">
        <f>(E337+L337)-M337</f>
        <v>32.86</v>
      </c>
      <c s="70" r="S337">
        <f>Q337-R337</f>
        <v>-1.0504</v>
      </c>
      <c s="29" r="T337">
        <f> (Q337/R337) - 1</f>
        <v>-0.031965916007304</v>
      </c>
      <c t="str" s="70" r="U337">
        <f>R337/X337</f>
        <v>#DIV/0!:divZero</v>
      </c>
      <c t="str" s="70" r="V337">
        <f>Q337/X337</f>
        <v>#DIV/0!:divZero</v>
      </c>
      <c t="s" s="30" r="W337">
        <v>133</v>
      </c>
      <c s="30" r="X337">
        <v>0</v>
      </c>
      <c t="s" s="30" r="Y337">
        <v>235</v>
      </c>
      <c t="s" s="30" r="Z337">
        <v>42</v>
      </c>
      <c s="30" r="AA337">
        <v>0</v>
      </c>
      <c s="30" r="AB337">
        <v>0</v>
      </c>
      <c s="30" r="AC337">
        <v>0</v>
      </c>
      <c s="30" r="AD337">
        <v>0</v>
      </c>
      <c s="30" r="AE337"/>
      <c t="str" s="8" r="AF337">
        <f>(I337+J337)/R337</f>
        <v>#VALUE!:notNumber:NA</v>
      </c>
      <c t="str" s="28" r="AG337">
        <f>G337/$X337</f>
        <v>#DIV/0!:divZero</v>
      </c>
      <c t="str" s="28" r="AH337">
        <f>H337/$X337</f>
        <v>#DIV/0!:divZero</v>
      </c>
      <c t="str" s="28" r="AI337">
        <f>I337/$X337</f>
        <v>#DIV/0!:divZero</v>
      </c>
      <c t="str" s="28" r="AJ337">
        <f>J337/$X337</f>
        <v>#DIV/0!:divZero</v>
      </c>
      <c t="str" s="28" r="AK337">
        <f>K337/$X337</f>
        <v>#DIV/0!:divZero</v>
      </c>
      <c s="30" r="AL337">
        <v>1</v>
      </c>
    </row>
    <row r="338">
      <c s="30" r="A338">
        <v>337</v>
      </c>
      <c t="s" s="30" r="B338">
        <v>55</v>
      </c>
      <c s="62" r="C338">
        <v>41590</v>
      </c>
      <c s="52" r="D338">
        <v>0.708333333333333</v>
      </c>
      <c s="55" r="E338">
        <f>77*1.77</f>
        <v>136.29</v>
      </c>
      <c s="55" r="F338"/>
      <c t="s" s="55" r="G338">
        <v>39</v>
      </c>
      <c t="s" s="55" r="H338">
        <v>39</v>
      </c>
      <c t="s" s="55" r="I338">
        <v>39</v>
      </c>
      <c t="s" s="55" r="J338">
        <v>39</v>
      </c>
      <c t="s" s="55" r="K338">
        <v>39</v>
      </c>
      <c s="80" r="L338">
        <v>0</v>
      </c>
      <c s="79" r="M338">
        <v>0</v>
      </c>
      <c s="79" r="N338">
        <f>134.56</f>
        <v>134.56</v>
      </c>
      <c s="32" r="O338">
        <f>SUMIF(Sellables!$A$2:$A$11482, $A338, Sellables!$G$2:$G$11482)</f>
        <v>0</v>
      </c>
      <c s="32" r="P338">
        <f>SUMIF(Skills!$A$2:$A$9999, A338, Skills!$F$2:$F$9999)</f>
        <v>0</v>
      </c>
      <c s="14" r="Q338">
        <f>(N338+O338)+P338</f>
        <v>134.56</v>
      </c>
      <c s="23" r="R338">
        <f>(E338+L338)-M338</f>
        <v>136.29</v>
      </c>
      <c s="70" r="S338">
        <f>Q338-R338</f>
        <v>-1.72999999999999</v>
      </c>
      <c s="29" r="T338">
        <f> (Q338/R338) - 1</f>
        <v>-0.012693521168097</v>
      </c>
      <c t="str" s="70" r="U338">
        <f>R338/X338</f>
        <v>#DIV/0!:divZero</v>
      </c>
      <c t="str" s="70" r="V338">
        <f>Q338/X338</f>
        <v>#DIV/0!:divZero</v>
      </c>
      <c t="s" s="30" r="W338">
        <v>176</v>
      </c>
      <c s="30" r="X338">
        <v>0</v>
      </c>
      <c t="s" s="30" r="Y338">
        <v>235</v>
      </c>
      <c t="s" s="30" r="Z338">
        <v>42</v>
      </c>
      <c s="30" r="AA338">
        <v>0</v>
      </c>
      <c s="30" r="AB338">
        <v>0</v>
      </c>
      <c s="30" r="AC338">
        <v>0</v>
      </c>
      <c s="30" r="AD338">
        <v>0</v>
      </c>
      <c s="30" r="AE338"/>
      <c t="str" s="8" r="AF338">
        <f>(I338+J338)/R338</f>
        <v>#VALUE!:notNumber:NA</v>
      </c>
      <c t="str" s="28" r="AG338">
        <f>G338/$X338</f>
        <v>#DIV/0!:divZero</v>
      </c>
      <c t="str" s="28" r="AH338">
        <f>H338/$X338</f>
        <v>#DIV/0!:divZero</v>
      </c>
      <c t="str" s="28" r="AI338">
        <f>I338/$X338</f>
        <v>#DIV/0!:divZero</v>
      </c>
      <c t="str" s="28" r="AJ338">
        <f>J338/$X338</f>
        <v>#DIV/0!:divZero</v>
      </c>
      <c t="str" s="28" r="AK338">
        <f>K338/$X338</f>
        <v>#DIV/0!:divZero</v>
      </c>
      <c s="30" r="AL338">
        <v>1</v>
      </c>
    </row>
    <row r="339">
      <c s="30" r="A339">
        <v>338</v>
      </c>
      <c t="s" s="30" r="B339">
        <v>38</v>
      </c>
      <c s="62" r="C339">
        <v>41591</v>
      </c>
      <c s="52" r="D339">
        <v>0.40625</v>
      </c>
      <c s="55" r="E339">
        <v>500</v>
      </c>
      <c s="55" r="F339"/>
      <c t="s" s="55" r="G339">
        <v>39</v>
      </c>
      <c t="s" s="55" r="H339">
        <v>39</v>
      </c>
      <c t="s" s="55" r="I339">
        <v>39</v>
      </c>
      <c t="s" s="55" r="J339">
        <v>39</v>
      </c>
      <c t="s" s="55" r="K339">
        <v>39</v>
      </c>
      <c s="80" r="L339">
        <v>172.55</v>
      </c>
      <c s="79" r="M339">
        <v>92.2</v>
      </c>
      <c s="79" r="N339">
        <v>389.73</v>
      </c>
      <c s="32" r="O339">
        <f>SUMIF(Sellables!$A$2:$A$11482, $A339, Sellables!$G$2:$G$11482)</f>
        <v>0</v>
      </c>
      <c s="32" r="P339">
        <f>SUMIF(Skills!$A$2:$A$9999, A339, Skills!$F$2:$F$9999)</f>
        <v>0</v>
      </c>
      <c s="14" r="Q339">
        <f>((N339+O339)+P339)+AA339</f>
        <v>389.73</v>
      </c>
      <c s="14" r="R339">
        <f>(E339+L339)-M339</f>
        <v>580.35</v>
      </c>
      <c s="70" r="S339">
        <f>Q339-R339</f>
        <v>-190.62</v>
      </c>
      <c s="29" r="T339">
        <f> (Q339/R339) - 1</f>
        <v>-0.328456965624192</v>
      </c>
      <c s="70" r="U339">
        <f>R339/X339</f>
        <v>3.7441935483871</v>
      </c>
      <c s="70" r="V339">
        <f>Q339/X339</f>
        <v>2.51438709677419</v>
      </c>
      <c t="s" s="30" r="W339">
        <v>249</v>
      </c>
      <c s="30" r="X339">
        <v>155</v>
      </c>
      <c t="s" s="30" r="Y339">
        <v>238</v>
      </c>
      <c t="s" s="30" r="Z339">
        <v>42</v>
      </c>
      <c s="30" r="AA339">
        <v>0</v>
      </c>
      <c s="30" r="AB339">
        <v>1</v>
      </c>
      <c s="30" r="AC339">
        <v>1</v>
      </c>
      <c s="30" r="AD339">
        <v>0</v>
      </c>
      <c s="30" r="AE339"/>
      <c t="str" s="8" r="AF339">
        <f>(I339+J339)/R339</f>
        <v>#VALUE!:notNumber:NA</v>
      </c>
      <c t="str" s="28" r="AG339">
        <f>G339/$X339</f>
        <v>#VALUE!:notNumber:NA</v>
      </c>
      <c t="str" s="28" r="AH339">
        <f>H339/$X339</f>
        <v>#VALUE!:notNumber:NA</v>
      </c>
      <c t="str" s="28" r="AI339">
        <f>I339/$X339</f>
        <v>#VALUE!:notNumber:NA</v>
      </c>
      <c t="str" s="28" r="AJ339">
        <f>J339/$X339</f>
        <v>#VALUE!:notNumber:NA</v>
      </c>
      <c t="str" s="28" r="AK339">
        <f>K339/$X339</f>
        <v>#VALUE!:notNumber:NA</v>
      </c>
      <c s="30" r="AL339">
        <v>1</v>
      </c>
    </row>
    <row r="340">
      <c s="30" r="A340">
        <v>339</v>
      </c>
      <c t="s" s="30" r="B340">
        <v>55</v>
      </c>
      <c s="62" r="C340">
        <v>41591</v>
      </c>
      <c s="52" r="D340">
        <v>0.5</v>
      </c>
      <c s="55" r="E340">
        <f>1467*0.71</f>
        <v>1041.57</v>
      </c>
      <c s="55" r="F340"/>
      <c t="s" s="55" r="G340">
        <v>39</v>
      </c>
      <c t="s" s="55" r="H340">
        <v>39</v>
      </c>
      <c t="s" s="55" r="I340">
        <v>39</v>
      </c>
      <c t="s" s="55" r="J340">
        <v>39</v>
      </c>
      <c t="s" s="55" r="K340">
        <v>39</v>
      </c>
      <c s="80" r="L340">
        <v>0</v>
      </c>
      <c s="79" r="M340">
        <v>0</v>
      </c>
      <c s="79" r="N340">
        <f>(996.01-442.20)-372.22</f>
        <v>181.59</v>
      </c>
      <c s="32" r="O340">
        <f>SUMIF(Sellables!$A$2:$A$11482, $A340, Sellables!$G$2:$G$11482)</f>
        <v>844.6742</v>
      </c>
      <c s="32" r="P340">
        <f>SUMIF(Skills!$A$2:$A$9999, A340, Skills!$F$2:$F$9999)</f>
        <v>0</v>
      </c>
      <c s="14" r="Q340">
        <f>(N340+O340)+P340</f>
        <v>1026.2642</v>
      </c>
      <c s="23" r="R340">
        <f>(E340+L340)-M340</f>
        <v>1041.57</v>
      </c>
      <c s="70" r="S340">
        <f>Q340-R340</f>
        <v>-15.3057999999999</v>
      </c>
      <c s="29" r="T340">
        <f> (Q340/R340) - 1</f>
        <v>-0.014694931689661</v>
      </c>
      <c t="str" s="70" r="U340">
        <f>R340/X340</f>
        <v>#DIV/0!:divZero</v>
      </c>
      <c t="str" s="70" r="V340">
        <f>Q340/X340</f>
        <v>#DIV/0!:divZero</v>
      </c>
      <c t="s" s="30" r="W340">
        <v>56</v>
      </c>
      <c s="30" r="X340">
        <v>0</v>
      </c>
      <c t="s" s="30" r="Y340">
        <v>235</v>
      </c>
      <c t="s" s="30" r="Z340">
        <v>42</v>
      </c>
      <c s="30" r="AA340">
        <v>0</v>
      </c>
      <c s="30" r="AB340">
        <v>0</v>
      </c>
      <c s="30" r="AC340">
        <v>0</v>
      </c>
      <c s="30" r="AD340">
        <v>0</v>
      </c>
      <c s="30" r="AE340"/>
      <c t="str" s="8" r="AF340">
        <f>(I340+J340)/R340</f>
        <v>#VALUE!:notNumber:NA</v>
      </c>
      <c t="str" s="28" r="AG340">
        <f>G340/$X340</f>
        <v>#DIV/0!:divZero</v>
      </c>
      <c t="str" s="28" r="AH340">
        <f>H340/$X340</f>
        <v>#DIV/0!:divZero</v>
      </c>
      <c t="str" s="28" r="AI340">
        <f>I340/$X340</f>
        <v>#DIV/0!:divZero</v>
      </c>
      <c t="str" s="28" r="AJ340">
        <f>J340/$X340</f>
        <v>#DIV/0!:divZero</v>
      </c>
      <c t="str" s="28" r="AK340">
        <f>K340/$X340</f>
        <v>#DIV/0!:divZero</v>
      </c>
      <c s="30" r="AL340">
        <v>1</v>
      </c>
    </row>
    <row r="341">
      <c s="30" r="A341">
        <v>340</v>
      </c>
      <c t="s" s="30" r="B341">
        <v>55</v>
      </c>
      <c s="62" r="C341">
        <v>41591</v>
      </c>
      <c s="52" r="D341">
        <v>0.5</v>
      </c>
      <c s="55" r="E341">
        <f>766*2.4</f>
        <v>1838.4</v>
      </c>
      <c s="55" r="F341"/>
      <c t="s" s="55" r="G341">
        <v>39</v>
      </c>
      <c t="s" s="55" r="H341">
        <v>39</v>
      </c>
      <c t="s" s="55" r="I341">
        <v>39</v>
      </c>
      <c t="s" s="55" r="J341">
        <v>39</v>
      </c>
      <c t="s" s="55" r="K341">
        <v>39</v>
      </c>
      <c s="80" r="L341">
        <v>0</v>
      </c>
      <c s="79" r="M341">
        <v>0</v>
      </c>
      <c s="79" r="N341">
        <f>(((1446.15-182.99)-238.85)-40)-668.20</f>
        <v>316.11</v>
      </c>
      <c s="32" r="O341">
        <f>SUMIF(Sellables!$A$2:$A$11482, $A341, Sellables!$G$2:$G$11482)</f>
        <v>1187.0597</v>
      </c>
      <c s="32" r="P341">
        <f>SUMIF(Skills!$A$2:$A$9999, A341, Skills!$F$2:$F$9999)</f>
        <v>0</v>
      </c>
      <c s="14" r="Q341">
        <f>(N341+O341)+P341</f>
        <v>1503.1697</v>
      </c>
      <c s="23" r="R341">
        <f>(E341+L341)-M341</f>
        <v>1838.4</v>
      </c>
      <c s="70" r="S341">
        <f>Q341-R341</f>
        <v>-335.2303</v>
      </c>
      <c s="29" r="T341">
        <f> (Q341/R341) - 1</f>
        <v>-0.182348944734552</v>
      </c>
      <c t="str" s="70" r="U341">
        <f>R341/X341</f>
        <v>#DIV/0!:divZero</v>
      </c>
      <c t="str" s="70" r="V341">
        <f>Q341/X341</f>
        <v>#DIV/0!:divZero</v>
      </c>
      <c t="s" s="30" r="W341">
        <v>88</v>
      </c>
      <c s="30" r="X341">
        <v>0</v>
      </c>
      <c t="s" s="30" r="Y341">
        <v>235</v>
      </c>
      <c t="s" s="30" r="Z341">
        <v>42</v>
      </c>
      <c s="30" r="AA341">
        <v>0</v>
      </c>
      <c s="30" r="AB341">
        <v>1</v>
      </c>
      <c s="30" r="AC341">
        <v>1</v>
      </c>
      <c s="30" r="AD341">
        <v>0</v>
      </c>
      <c s="30" r="AE341"/>
      <c t="str" s="8" r="AF341">
        <f>(I341+J341)/R341</f>
        <v>#VALUE!:notNumber:NA</v>
      </c>
      <c t="str" s="28" r="AG341">
        <f>G341/$X341</f>
        <v>#DIV/0!:divZero</v>
      </c>
      <c t="str" s="28" r="AH341">
        <f>H341/$X341</f>
        <v>#DIV/0!:divZero</v>
      </c>
      <c t="str" s="28" r="AI341">
        <f>I341/$X341</f>
        <v>#DIV/0!:divZero</v>
      </c>
      <c t="str" s="28" r="AJ341">
        <f>J341/$X341</f>
        <v>#DIV/0!:divZero</v>
      </c>
      <c t="str" s="28" r="AK341">
        <f>K341/$X341</f>
        <v>#DIV/0!:divZero</v>
      </c>
      <c s="30" r="AL341">
        <v>1</v>
      </c>
    </row>
    <row r="342">
      <c s="30" r="A342">
        <v>341</v>
      </c>
      <c t="s" s="30" r="B342">
        <v>38</v>
      </c>
      <c s="62" r="C342">
        <v>41591</v>
      </c>
      <c s="52" r="D342">
        <v>0.614583333333333</v>
      </c>
      <c s="55" r="E342">
        <v>500</v>
      </c>
      <c s="55" r="F342"/>
      <c t="s" s="55" r="G342">
        <v>39</v>
      </c>
      <c t="s" s="55" r="H342">
        <v>39</v>
      </c>
      <c t="s" s="55" r="I342">
        <v>39</v>
      </c>
      <c t="s" s="55" r="J342">
        <v>39</v>
      </c>
      <c t="s" s="55" r="K342">
        <v>39</v>
      </c>
      <c s="80" r="L342">
        <v>173.24</v>
      </c>
      <c s="79" r="M342">
        <v>134.07</v>
      </c>
      <c s="79" r="N342">
        <v>324.97</v>
      </c>
      <c s="32" r="O342">
        <f>SUMIF(Sellables!$A$2:$A$11482, $A342, Sellables!$G$2:$G$11482)</f>
        <v>0</v>
      </c>
      <c s="32" r="P342">
        <f>SUMIF(Skills!$A$2:$A$9999, A342, Skills!$F$2:$F$9999)</f>
        <v>0</v>
      </c>
      <c s="14" r="Q342">
        <f>(N342+O342)+P342</f>
        <v>324.97</v>
      </c>
      <c s="23" r="R342">
        <f>(E342+L342)-M342</f>
        <v>539.17</v>
      </c>
      <c s="70" r="S342">
        <f>Q342-R342</f>
        <v>-214.2</v>
      </c>
      <c s="29" r="T342">
        <f> (Q342/R342) - 1</f>
        <v>-0.397277296585493</v>
      </c>
      <c s="70" r="U342">
        <f>R342/X342</f>
        <v>6.82493670886076</v>
      </c>
      <c s="70" r="V342">
        <f>Q342/X342</f>
        <v>4.11354430379747</v>
      </c>
      <c t="s" s="30" r="W342">
        <v>255</v>
      </c>
      <c s="30" r="X342">
        <v>79</v>
      </c>
      <c t="s" s="30" r="Y342">
        <v>235</v>
      </c>
      <c t="s" s="30" r="Z342">
        <v>42</v>
      </c>
      <c s="30" r="AA342">
        <v>0</v>
      </c>
      <c s="30" r="AB342">
        <v>0</v>
      </c>
      <c s="30" r="AC342">
        <v>1</v>
      </c>
      <c s="30" r="AD342">
        <v>0</v>
      </c>
      <c s="30" r="AE342"/>
      <c t="str" s="8" r="AF342">
        <f>(I342+J342)/R342</f>
        <v>#VALUE!:notNumber:NA</v>
      </c>
      <c t="str" s="28" r="AG342">
        <f>G342/$X342</f>
        <v>#VALUE!:notNumber:NA</v>
      </c>
      <c t="str" s="28" r="AH342">
        <f>H342/$X342</f>
        <v>#VALUE!:notNumber:NA</v>
      </c>
      <c t="str" s="28" r="AI342">
        <f>I342/$X342</f>
        <v>#VALUE!:notNumber:NA</v>
      </c>
      <c t="str" s="28" r="AJ342">
        <f>J342/$X342</f>
        <v>#VALUE!:notNumber:NA</v>
      </c>
      <c t="str" s="28" r="AK342">
        <f>K342/$X342</f>
        <v>#VALUE!:notNumber:NA</v>
      </c>
      <c s="30" r="AL342">
        <v>1</v>
      </c>
    </row>
    <row r="343">
      <c s="30" r="A343">
        <v>342</v>
      </c>
      <c t="s" s="30" r="B343">
        <v>38</v>
      </c>
      <c s="62" r="C343">
        <v>41591</v>
      </c>
      <c s="52" r="D343">
        <v>0.666666666666667</v>
      </c>
      <c s="55" r="E343">
        <v>500</v>
      </c>
      <c s="55" r="F343"/>
      <c t="s" s="55" r="G343">
        <v>39</v>
      </c>
      <c t="s" s="55" r="H343">
        <v>39</v>
      </c>
      <c t="s" s="55" r="I343">
        <v>39</v>
      </c>
      <c t="s" s="55" r="J343">
        <v>39</v>
      </c>
      <c t="s" s="55" r="K343">
        <v>39</v>
      </c>
      <c s="80" r="L343">
        <v>227.11</v>
      </c>
      <c s="79" r="M343">
        <v>99.33</v>
      </c>
      <c s="79" r="N343">
        <v>936.69</v>
      </c>
      <c s="32" r="O343">
        <f>SUMIF(Sellables!$A$2:$A$11482, $A343, Sellables!$G$2:$G$11482)</f>
        <v>0</v>
      </c>
      <c s="32" r="P343">
        <f>SUMIF(Skills!$A$2:$A$9999, A343, Skills!$F$2:$F$9999)</f>
        <v>0</v>
      </c>
      <c s="14" r="Q343">
        <f>(N343+O343)+P343</f>
        <v>936.69</v>
      </c>
      <c s="23" r="R343">
        <f>(E343+L343)-M343</f>
        <v>627.78</v>
      </c>
      <c s="70" r="S343">
        <f>Q343-R343</f>
        <v>308.91</v>
      </c>
      <c s="29" r="T343">
        <f> (Q343/R343) - 1</f>
        <v>0.492067284717576</v>
      </c>
      <c s="70" r="U343">
        <f>R343/X343</f>
        <v>6.60821052631579</v>
      </c>
      <c s="70" r="V343">
        <f>Q343/X343</f>
        <v>9.85989473684211</v>
      </c>
      <c t="s" s="30" r="W343">
        <v>234</v>
      </c>
      <c s="30" r="X343">
        <v>95</v>
      </c>
      <c t="s" s="30" r="Y343">
        <v>235</v>
      </c>
      <c t="s" s="30" r="Z343">
        <v>42</v>
      </c>
      <c s="30" r="AA343">
        <v>0</v>
      </c>
      <c s="30" r="AB343">
        <v>0</v>
      </c>
      <c s="30" r="AC343">
        <v>5</v>
      </c>
      <c s="30" r="AD343">
        <v>0</v>
      </c>
      <c s="30" r="AE343"/>
      <c t="str" s="8" r="AF343">
        <f>(I343+J343)/R343</f>
        <v>#VALUE!:notNumber:NA</v>
      </c>
      <c t="str" s="28" r="AG343">
        <f>G343/$X343</f>
        <v>#VALUE!:notNumber:NA</v>
      </c>
      <c t="str" s="28" r="AH343">
        <f>H343/$X343</f>
        <v>#VALUE!:notNumber:NA</v>
      </c>
      <c t="str" s="28" r="AI343">
        <f>I343/$X343</f>
        <v>#VALUE!:notNumber:NA</v>
      </c>
      <c t="str" s="28" r="AJ343">
        <f>J343/$X343</f>
        <v>#VALUE!:notNumber:NA</v>
      </c>
      <c t="str" s="28" r="AK343">
        <f>K343/$X343</f>
        <v>#VALUE!:notNumber:NA</v>
      </c>
      <c s="30" r="AL343">
        <v>1</v>
      </c>
    </row>
    <row r="344">
      <c s="30" r="A344">
        <v>343</v>
      </c>
      <c t="s" s="30" r="B344">
        <v>38</v>
      </c>
      <c s="62" r="C344">
        <v>41591</v>
      </c>
      <c s="52" r="D344">
        <v>0.944444444444444</v>
      </c>
      <c s="55" r="E344">
        <v>500</v>
      </c>
      <c s="55" r="F344"/>
      <c t="s" s="55" r="G344">
        <v>39</v>
      </c>
      <c t="s" s="55" r="H344">
        <v>39</v>
      </c>
      <c t="s" s="55" r="I344">
        <v>39</v>
      </c>
      <c t="s" s="55" r="J344">
        <v>39</v>
      </c>
      <c t="s" s="55" r="K344">
        <v>39</v>
      </c>
      <c s="80" r="L344">
        <v>218.25</v>
      </c>
      <c s="79" r="M344">
        <v>72.48</v>
      </c>
      <c s="79" r="N344">
        <v>632.41</v>
      </c>
      <c s="32" r="O344">
        <f>SUMIF(Sellables!$A$2:$A$11482, $A344, Sellables!$G$2:$G$11482)</f>
        <v>0</v>
      </c>
      <c s="32" r="P344">
        <f>SUMIF(Skills!$A$2:$A$9999, A344, Skills!$F$2:$F$9999)</f>
        <v>0</v>
      </c>
      <c s="14" r="Q344">
        <f>(N344+O344)+P344</f>
        <v>632.41</v>
      </c>
      <c s="23" r="R344">
        <f>(E344+L344)-M344</f>
        <v>645.77</v>
      </c>
      <c s="70" r="S344">
        <f>Q344-R344</f>
        <v>-13.36</v>
      </c>
      <c s="29" r="T344">
        <f> (Q344/R344) - 1</f>
        <v>-0.020688480418725</v>
      </c>
      <c s="70" r="U344">
        <f>R344/X344</f>
        <v>6.65742268041237</v>
      </c>
      <c s="70" r="V344">
        <f>Q344/X344</f>
        <v>6.51969072164948</v>
      </c>
      <c t="s" s="30" r="W344">
        <v>234</v>
      </c>
      <c s="30" r="X344">
        <v>97</v>
      </c>
      <c t="s" s="30" r="Y344">
        <v>235</v>
      </c>
      <c t="s" s="30" r="Z344">
        <v>42</v>
      </c>
      <c s="30" r="AA344">
        <v>0</v>
      </c>
      <c s="30" r="AB344">
        <v>1</v>
      </c>
      <c s="30" r="AC344">
        <v>2</v>
      </c>
      <c s="30" r="AD344">
        <v>0</v>
      </c>
      <c s="30" r="AE344"/>
      <c t="str" s="8" r="AF344">
        <f>(I344+J344)/R344</f>
        <v>#VALUE!:notNumber:NA</v>
      </c>
      <c t="str" s="28" r="AG344">
        <f>G344/$X344</f>
        <v>#VALUE!:notNumber:NA</v>
      </c>
      <c t="str" s="28" r="AH344">
        <f>H344/$X344</f>
        <v>#VALUE!:notNumber:NA</v>
      </c>
      <c t="str" s="28" r="AI344">
        <f>I344/$X344</f>
        <v>#VALUE!:notNumber:NA</v>
      </c>
      <c t="str" s="28" r="AJ344">
        <f>J344/$X344</f>
        <v>#VALUE!:notNumber:NA</v>
      </c>
      <c t="str" s="28" r="AK344">
        <f>K344/$X344</f>
        <v>#VALUE!:notNumber:NA</v>
      </c>
      <c s="30" r="AL344">
        <v>1</v>
      </c>
    </row>
    <row r="345">
      <c s="30" r="A345">
        <v>344</v>
      </c>
      <c t="s" s="30" r="B345">
        <v>38</v>
      </c>
      <c s="62" r="C345">
        <v>41592</v>
      </c>
      <c s="52" r="D345">
        <v>0.444444444444444</v>
      </c>
      <c s="55" r="E345">
        <v>500</v>
      </c>
      <c s="55" r="F345"/>
      <c t="s" s="55" r="G345">
        <v>39</v>
      </c>
      <c t="s" s="55" r="H345">
        <v>39</v>
      </c>
      <c t="s" s="55" r="I345">
        <v>39</v>
      </c>
      <c t="s" s="55" r="J345">
        <v>39</v>
      </c>
      <c t="s" s="55" r="K345">
        <v>39</v>
      </c>
      <c s="80" r="L345">
        <v>197.64</v>
      </c>
      <c s="79" r="M345">
        <v>79.31</v>
      </c>
      <c s="79" r="N345">
        <v>778.02</v>
      </c>
      <c s="32" r="O345">
        <f>SUMIF(Sellables!$A$2:$A$11482, $A345, Sellables!$G$2:$G$11482)</f>
        <v>11.9</v>
      </c>
      <c s="32" r="P345">
        <f>SUMIF(Skills!$A$2:$A$9999, A345, Skills!$F$2:$F$9999)</f>
        <v>0</v>
      </c>
      <c s="14" r="Q345">
        <f>(N345+O345)+P345</f>
        <v>789.92</v>
      </c>
      <c s="23" r="R345">
        <f>(E345+L345)-M345</f>
        <v>618.33</v>
      </c>
      <c s="70" r="S345">
        <f>Q345-R345</f>
        <v>171.59</v>
      </c>
      <c s="29" r="T345">
        <f> (Q345/R345) - 1</f>
        <v>0.277505539113418</v>
      </c>
      <c s="70" r="U345">
        <f>R345/X345</f>
        <v>6.24575757575758</v>
      </c>
      <c s="70" r="V345">
        <f>Q345/X345</f>
        <v>7.9789898989899</v>
      </c>
      <c t="s" s="30" r="W345">
        <v>234</v>
      </c>
      <c s="30" r="X345">
        <v>99</v>
      </c>
      <c t="s" s="30" r="Y345">
        <v>235</v>
      </c>
      <c t="s" s="30" r="Z345">
        <v>42</v>
      </c>
      <c s="30" r="AA345">
        <v>0</v>
      </c>
      <c s="30" r="AB345">
        <v>0</v>
      </c>
      <c s="30" r="AC345">
        <v>5</v>
      </c>
      <c s="30" r="AD345">
        <v>0</v>
      </c>
      <c s="30" r="AE345"/>
      <c t="str" s="8" r="AF345">
        <f>(I345+J345)/R345</f>
        <v>#VALUE!:notNumber:NA</v>
      </c>
      <c t="str" s="28" r="AG345">
        <f>G345/$X345</f>
        <v>#VALUE!:notNumber:NA</v>
      </c>
      <c t="str" s="28" r="AH345">
        <f>H345/$X345</f>
        <v>#VALUE!:notNumber:NA</v>
      </c>
      <c t="str" s="28" r="AI345">
        <f>I345/$X345</f>
        <v>#VALUE!:notNumber:NA</v>
      </c>
      <c t="str" s="28" r="AJ345">
        <f>J345/$X345</f>
        <v>#VALUE!:notNumber:NA</v>
      </c>
      <c t="str" s="28" r="AK345">
        <f>K345/$X345</f>
        <v>#VALUE!:notNumber:NA</v>
      </c>
      <c s="30" r="AL345">
        <v>1</v>
      </c>
    </row>
    <row r="346">
      <c s="30" r="A346">
        <v>345</v>
      </c>
      <c t="s" s="30" r="B346">
        <v>55</v>
      </c>
      <c s="62" r="C346">
        <v>41592</v>
      </c>
      <c s="52" r="D346">
        <v>0.541666666666667</v>
      </c>
      <c s="55" r="E346">
        <f>1750*0.71</f>
        <v>1242.5</v>
      </c>
      <c s="55" r="F346"/>
      <c t="s" s="55" r="G346">
        <v>39</v>
      </c>
      <c t="s" s="55" r="H346">
        <v>39</v>
      </c>
      <c t="s" s="55" r="I346">
        <v>39</v>
      </c>
      <c t="s" s="55" r="J346">
        <v>39</v>
      </c>
      <c t="s" s="55" r="K346">
        <v>39</v>
      </c>
      <c s="80" r="L346">
        <v>0</v>
      </c>
      <c s="79" r="M346">
        <v>0</v>
      </c>
      <c s="79" r="N346">
        <v>1295</v>
      </c>
      <c s="32" r="O346">
        <f>SUMIF(Sellables!$A$2:$A$11482, $A346, Sellables!$G$2:$G$11482)</f>
        <v>0</v>
      </c>
      <c s="32" r="P346">
        <f>SUMIF(Skills!$A$2:$A$9999, A346, Skills!$F$2:$F$9999)</f>
        <v>0</v>
      </c>
      <c s="14" r="Q346">
        <f>(N346+O346)+P346</f>
        <v>1295</v>
      </c>
      <c s="23" r="R346">
        <f>(E346+L346)-M346</f>
        <v>1242.5</v>
      </c>
      <c s="70" r="S346">
        <f>Q346-R346</f>
        <v>52.5</v>
      </c>
      <c s="29" r="T346">
        <f> (Q346/R346) - 1</f>
        <v>0.04225352112676</v>
      </c>
      <c t="str" s="70" r="U346">
        <f>R346/X346</f>
        <v>#DIV/0!:divZero</v>
      </c>
      <c t="str" s="70" r="V346">
        <f>Q346/X346</f>
        <v>#DIV/0!:divZero</v>
      </c>
      <c t="s" s="30" r="W346">
        <v>56</v>
      </c>
      <c s="30" r="X346">
        <v>0</v>
      </c>
      <c t="s" s="30" r="Y346">
        <v>235</v>
      </c>
      <c t="s" s="30" r="Z346">
        <v>42</v>
      </c>
      <c s="30" r="AA346">
        <v>0</v>
      </c>
      <c s="30" r="AB346">
        <v>0</v>
      </c>
      <c s="30" r="AC346">
        <v>2</v>
      </c>
      <c s="30" r="AD346">
        <v>0</v>
      </c>
      <c s="30" r="AE346"/>
      <c t="str" s="8" r="AF346">
        <f>(I346+J346)/R346</f>
        <v>#VALUE!:notNumber:NA</v>
      </c>
      <c t="str" s="28" r="AG346">
        <f>G346/$X346</f>
        <v>#DIV/0!:divZero</v>
      </c>
      <c t="str" s="28" r="AH346">
        <f>H346/$X346</f>
        <v>#DIV/0!:divZero</v>
      </c>
      <c t="str" s="28" r="AI346">
        <f>I346/$X346</f>
        <v>#DIV/0!:divZero</v>
      </c>
      <c t="str" s="28" r="AJ346">
        <f>J346/$X346</f>
        <v>#DIV/0!:divZero</v>
      </c>
      <c t="str" s="28" r="AK346">
        <f>K346/$X346</f>
        <v>#DIV/0!:divZero</v>
      </c>
      <c s="30" r="AL346">
        <v>1</v>
      </c>
    </row>
    <row r="347">
      <c s="30" r="A347">
        <v>346</v>
      </c>
      <c t="s" s="30" r="B347">
        <v>55</v>
      </c>
      <c s="62" r="C347">
        <v>41592</v>
      </c>
      <c s="52" r="D347">
        <v>0.666666666666667</v>
      </c>
      <c s="55" r="E347">
        <f>487*2.4</f>
        <v>1168.8</v>
      </c>
      <c s="55" r="F347"/>
      <c t="s" s="55" r="G347">
        <v>39</v>
      </c>
      <c t="s" s="55" r="H347">
        <v>39</v>
      </c>
      <c t="s" s="55" r="I347">
        <v>39</v>
      </c>
      <c t="s" s="55" r="J347">
        <v>39</v>
      </c>
      <c t="s" s="55" r="K347">
        <v>39</v>
      </c>
      <c s="80" r="L347">
        <v>0</v>
      </c>
      <c s="79" r="M347">
        <v>0</v>
      </c>
      <c s="79" r="N347">
        <v>43.9</v>
      </c>
      <c s="32" r="O347">
        <f>SUMIF(Sellables!$A$2:$A$11482, $A347, Sellables!$G$2:$G$11482)</f>
        <v>969.9713</v>
      </c>
      <c s="32" r="P347">
        <f>SUMIF(Skills!$A$2:$A$9999, A347, Skills!$F$2:$F$9999)</f>
        <v>0</v>
      </c>
      <c s="14" r="Q347">
        <f>(N347+O347)+P347</f>
        <v>1013.8713</v>
      </c>
      <c s="23" r="R347">
        <f>(E347+L347)-M347</f>
        <v>1168.8</v>
      </c>
      <c s="70" r="S347">
        <f>Q347-R347</f>
        <v>-154.9287</v>
      </c>
      <c s="29" r="T347">
        <f> (Q347/R347) - 1</f>
        <v>-0.13255364476386</v>
      </c>
      <c t="str" s="70" r="U347">
        <f>R347/X347</f>
        <v>#DIV/0!:divZero</v>
      </c>
      <c t="str" s="70" r="V347">
        <f>Q347/X347</f>
        <v>#DIV/0!:divZero</v>
      </c>
      <c t="s" s="30" r="W347">
        <v>88</v>
      </c>
      <c s="30" r="X347">
        <v>0</v>
      </c>
      <c t="s" s="30" r="Y347">
        <v>235</v>
      </c>
      <c t="s" s="30" r="Z347">
        <v>42</v>
      </c>
      <c s="30" r="AA347">
        <v>0</v>
      </c>
      <c s="30" r="AB347">
        <v>0</v>
      </c>
      <c s="30" r="AC347">
        <v>1</v>
      </c>
      <c s="30" r="AD347">
        <v>0</v>
      </c>
      <c s="30" r="AE347"/>
      <c t="str" s="8" r="AF347">
        <f>(I347+J347)/R347</f>
        <v>#VALUE!:notNumber:NA</v>
      </c>
      <c t="str" s="28" r="AG347">
        <f>G347/$X347</f>
        <v>#DIV/0!:divZero</v>
      </c>
      <c t="str" s="28" r="AH347">
        <f>H347/$X347</f>
        <v>#DIV/0!:divZero</v>
      </c>
      <c t="str" s="28" r="AI347">
        <f>I347/$X347</f>
        <v>#DIV/0!:divZero</v>
      </c>
      <c t="str" s="28" r="AJ347">
        <f>J347/$X347</f>
        <v>#DIV/0!:divZero</v>
      </c>
      <c t="str" s="28" r="AK347">
        <f>K347/$X347</f>
        <v>#DIV/0!:divZero</v>
      </c>
      <c s="30" r="AL347">
        <v>1</v>
      </c>
    </row>
    <row r="348">
      <c s="30" r="A348">
        <v>347</v>
      </c>
      <c t="s" s="30" r="B348">
        <v>55</v>
      </c>
      <c s="62" r="C348">
        <v>41592</v>
      </c>
      <c s="52" r="D348">
        <v>0.708333333333333</v>
      </c>
      <c s="55" r="E348">
        <f>380*0.61</f>
        <v>231.8</v>
      </c>
      <c s="55" r="F348"/>
      <c t="s" s="55" r="G348">
        <v>39</v>
      </c>
      <c t="s" s="55" r="H348">
        <v>39</v>
      </c>
      <c t="s" s="55" r="I348">
        <v>39</v>
      </c>
      <c t="s" s="55" r="J348">
        <v>39</v>
      </c>
      <c t="s" s="55" r="K348">
        <v>39</v>
      </c>
      <c s="80" r="L348">
        <v>0</v>
      </c>
      <c s="79" r="M348">
        <v>0</v>
      </c>
      <c s="79" r="N348">
        <f>254.05+1.69</f>
        <v>255.74</v>
      </c>
      <c s="32" r="O348">
        <f>SUMIF(Sellables!$A$2:$A$11482, $A348, Sellables!$G$2:$G$11482)</f>
        <v>177.552</v>
      </c>
      <c s="32" r="P348">
        <f>SUMIF(Skills!$A$2:$A$9999, A348, Skills!$F$2:$F$9999)</f>
        <v>0</v>
      </c>
      <c s="14" r="Q348">
        <f>(N348+O348)+P348</f>
        <v>433.292</v>
      </c>
      <c s="23" r="R348">
        <f>(E348+L348)-M348</f>
        <v>231.8</v>
      </c>
      <c s="70" r="S348">
        <f>Q348-R348</f>
        <v>201.492</v>
      </c>
      <c s="29" r="T348">
        <f> (Q348/R348) - 1</f>
        <v>0.869249352890423</v>
      </c>
      <c t="str" s="70" r="U348">
        <f>R348/X348</f>
        <v>#DIV/0!:divZero</v>
      </c>
      <c t="str" s="70" r="V348">
        <f>Q348/X348</f>
        <v>#DIV/0!:divZero</v>
      </c>
      <c t="s" s="30" r="W348">
        <v>88</v>
      </c>
      <c s="30" r="X348">
        <v>0</v>
      </c>
      <c t="s" s="30" r="Y348">
        <v>235</v>
      </c>
      <c t="s" s="30" r="Z348">
        <v>42</v>
      </c>
      <c s="30" r="AA348">
        <v>0</v>
      </c>
      <c s="30" r="AB348">
        <v>1</v>
      </c>
      <c s="30" r="AC348">
        <v>1</v>
      </c>
      <c s="30" r="AD348">
        <v>0</v>
      </c>
      <c s="30" r="AE348"/>
      <c t="str" s="8" r="AF348">
        <f>(I348+J348)/R348</f>
        <v>#VALUE!:notNumber:NA</v>
      </c>
      <c t="str" s="28" r="AG348">
        <f>G348/$X348</f>
        <v>#DIV/0!:divZero</v>
      </c>
      <c t="str" s="28" r="AH348">
        <f>H348/$X348</f>
        <v>#DIV/0!:divZero</v>
      </c>
      <c t="str" s="28" r="AI348">
        <f>I348/$X348</f>
        <v>#DIV/0!:divZero</v>
      </c>
      <c t="str" s="28" r="AJ348">
        <f>J348/$X348</f>
        <v>#DIV/0!:divZero</v>
      </c>
      <c t="str" s="28" r="AK348">
        <f>K348/$X348</f>
        <v>#DIV/0!:divZero</v>
      </c>
      <c s="30" r="AL348">
        <v>1</v>
      </c>
    </row>
    <row r="349">
      <c s="30" r="A349">
        <v>348</v>
      </c>
      <c t="s" s="30" r="B349">
        <v>38</v>
      </c>
      <c s="62" r="C349">
        <v>41592</v>
      </c>
      <c s="52" r="D349">
        <v>0.745138888888889</v>
      </c>
      <c s="55" r="E349">
        <v>500</v>
      </c>
      <c s="55" r="F349"/>
      <c t="s" s="55" r="G349">
        <v>39</v>
      </c>
      <c t="s" s="55" r="H349">
        <v>39</v>
      </c>
      <c t="s" s="55" r="I349">
        <v>39</v>
      </c>
      <c t="s" s="55" r="J349">
        <v>39</v>
      </c>
      <c t="s" s="55" r="K349">
        <v>39</v>
      </c>
      <c s="80" r="L349">
        <v>201.43</v>
      </c>
      <c s="79" r="M349">
        <v>86.06</v>
      </c>
      <c s="79" r="N349">
        <v>403.89</v>
      </c>
      <c s="32" r="O349">
        <f>SUMIF(Sellables!$A$2:$A$11482, $A349, Sellables!$G$2:$G$11482)</f>
        <v>213.759</v>
      </c>
      <c s="32" r="P349">
        <f>SUMIF(Skills!$A$2:$A$9999, A349, Skills!$F$2:$F$9999)</f>
        <v>0</v>
      </c>
      <c s="14" r="Q349">
        <f>(N349+O349)+P349</f>
        <v>617.649</v>
      </c>
      <c s="23" r="R349">
        <f>(E349+L349)-M349</f>
        <v>615.37</v>
      </c>
      <c s="70" r="S349">
        <f>Q349-R349</f>
        <v>2.27899999999988</v>
      </c>
      <c s="29" r="T349">
        <f> (Q349/R349) - 1</f>
        <v>0.003703462957245</v>
      </c>
      <c s="70" r="U349">
        <f>R349/X349</f>
        <v>6.83744444444444</v>
      </c>
      <c s="70" r="V349">
        <f>Q349/X349</f>
        <v>6.86276666666667</v>
      </c>
      <c t="s" s="30" r="W349">
        <v>234</v>
      </c>
      <c s="30" r="X349">
        <v>90</v>
      </c>
      <c t="s" s="30" r="Y349">
        <v>235</v>
      </c>
      <c t="s" s="30" r="Z349">
        <v>42</v>
      </c>
      <c s="30" r="AA349">
        <v>0</v>
      </c>
      <c s="30" r="AB349">
        <v>0</v>
      </c>
      <c s="30" r="AC349">
        <v>2</v>
      </c>
      <c s="30" r="AD349">
        <v>0</v>
      </c>
      <c s="30" r="AE349"/>
      <c t="str" s="8" r="AF349">
        <f>(I349+J349)/R349</f>
        <v>#VALUE!:notNumber:NA</v>
      </c>
      <c t="str" s="28" r="AG349">
        <f>G349/$X349</f>
        <v>#VALUE!:notNumber:NA</v>
      </c>
      <c t="str" s="28" r="AH349">
        <f>H349/$X349</f>
        <v>#VALUE!:notNumber:NA</v>
      </c>
      <c t="str" s="28" r="AI349">
        <f>I349/$X349</f>
        <v>#VALUE!:notNumber:NA</v>
      </c>
      <c t="str" s="28" r="AJ349">
        <f>J349/$X349</f>
        <v>#VALUE!:notNumber:NA</v>
      </c>
      <c t="str" s="28" r="AK349">
        <f>K349/$X349</f>
        <v>#VALUE!:notNumber:NA</v>
      </c>
      <c s="30" r="AL349">
        <v>1</v>
      </c>
    </row>
    <row r="350">
      <c s="30" r="A350">
        <v>349</v>
      </c>
      <c t="s" s="30" r="B350">
        <v>55</v>
      </c>
      <c s="62" r="C350">
        <v>41592</v>
      </c>
      <c s="52" r="D350">
        <v>0.791666666666667</v>
      </c>
      <c s="55" r="E350">
        <f>147*1.15</f>
        <v>169.05</v>
      </c>
      <c s="55" r="F350"/>
      <c t="s" s="55" r="G350">
        <v>39</v>
      </c>
      <c t="s" s="55" r="H350">
        <v>39</v>
      </c>
      <c t="s" s="55" r="I350">
        <v>39</v>
      </c>
      <c t="s" s="55" r="J350">
        <v>39</v>
      </c>
      <c t="s" s="55" r="K350">
        <v>39</v>
      </c>
      <c s="80" r="L350">
        <v>0</v>
      </c>
      <c s="79" r="M350">
        <v>0</v>
      </c>
      <c s="79" r="N350">
        <v>47.78</v>
      </c>
      <c s="32" r="O350">
        <f>SUMIF(Sellables!$A$2:$A$11482, $A350, Sellables!$G$2:$G$11482)</f>
        <v>90.9966</v>
      </c>
      <c s="32" r="P350">
        <f>SUMIF(Skills!$A$2:$A$9999, A350, Skills!$F$2:$F$9999)</f>
        <v>0</v>
      </c>
      <c s="14" r="Q350">
        <f>(N350+O350)+P350</f>
        <v>138.7766</v>
      </c>
      <c s="23" r="R350">
        <f>(E350+L350)-M350</f>
        <v>169.05</v>
      </c>
      <c s="70" r="S350">
        <f>Q350-R350</f>
        <v>-30.2734</v>
      </c>
      <c s="29" r="T350">
        <f> (Q350/R350) - 1</f>
        <v>-0.179079562259686</v>
      </c>
      <c t="str" s="70" r="U350">
        <f>R350/X350</f>
        <v>#DIV/0!:divZero</v>
      </c>
      <c t="str" s="70" r="V350">
        <f>Q350/X350</f>
        <v>#DIV/0!:divZero</v>
      </c>
      <c t="s" s="30" r="W350">
        <v>68</v>
      </c>
      <c s="30" r="X350">
        <v>0</v>
      </c>
      <c t="s" s="30" r="Y350">
        <v>235</v>
      </c>
      <c t="s" s="30" r="Z350">
        <v>42</v>
      </c>
      <c s="30" r="AA350">
        <v>0</v>
      </c>
      <c s="30" r="AB350">
        <v>0</v>
      </c>
      <c s="30" r="AC350">
        <v>0</v>
      </c>
      <c s="30" r="AD350">
        <v>0</v>
      </c>
      <c s="30" r="AE350"/>
      <c t="str" s="8" r="AF350">
        <f>(I350+J350)/R350</f>
        <v>#VALUE!:notNumber:NA</v>
      </c>
      <c t="str" s="28" r="AG350">
        <f>G350/$X350</f>
        <v>#DIV/0!:divZero</v>
      </c>
      <c t="str" s="28" r="AH350">
        <f>H350/$X350</f>
        <v>#DIV/0!:divZero</v>
      </c>
      <c t="str" s="28" r="AI350">
        <f>I350/$X350</f>
        <v>#DIV/0!:divZero</v>
      </c>
      <c t="str" s="28" r="AJ350">
        <f>J350/$X350</f>
        <v>#DIV/0!:divZero</v>
      </c>
      <c t="str" s="28" r="AK350">
        <f>K350/$X350</f>
        <v>#DIV/0!:divZero</v>
      </c>
      <c s="30" r="AL350">
        <v>1</v>
      </c>
    </row>
    <row r="351">
      <c s="30" r="A351">
        <v>350</v>
      </c>
      <c t="s" s="30" r="B351">
        <v>38</v>
      </c>
      <c s="62" r="C351">
        <v>41592</v>
      </c>
      <c s="52" r="D351">
        <v>0.8125</v>
      </c>
      <c s="55" r="E351">
        <v>500</v>
      </c>
      <c s="55" r="F351"/>
      <c t="s" s="55" r="G351">
        <v>39</v>
      </c>
      <c t="s" s="55" r="H351">
        <v>39</v>
      </c>
      <c t="s" s="55" r="I351">
        <v>39</v>
      </c>
      <c t="s" s="55" r="J351">
        <v>39</v>
      </c>
      <c t="s" s="55" r="K351">
        <v>39</v>
      </c>
      <c s="80" r="L351">
        <v>198.37</v>
      </c>
      <c s="79" r="M351">
        <v>88.96</v>
      </c>
      <c s="79" r="N351">
        <v>379.97</v>
      </c>
      <c s="32" r="O351">
        <f>SUMIF(Sellables!$A$2:$A$11482, $A351, Sellables!$G$2:$G$11482)</f>
        <v>0</v>
      </c>
      <c s="32" r="P351">
        <f>SUMIF(Skills!$A$2:$A$9999, A351, Skills!$F$2:$F$9999)</f>
        <v>0</v>
      </c>
      <c s="14" r="Q351">
        <f>(N351+O351)+P351</f>
        <v>379.97</v>
      </c>
      <c s="23" r="R351">
        <f>(E351+L351)-M351</f>
        <v>609.41</v>
      </c>
      <c s="70" r="S351">
        <f>Q351-R351</f>
        <v>-229.44</v>
      </c>
      <c s="29" r="T351">
        <f> (Q351/R351) - 1</f>
        <v>-0.37649529873156</v>
      </c>
      <c s="70" r="U351">
        <f>R351/X351</f>
        <v>6.28257731958763</v>
      </c>
      <c s="70" r="V351">
        <f>Q351/X351</f>
        <v>3.91721649484536</v>
      </c>
      <c t="s" s="30" r="W351">
        <v>234</v>
      </c>
      <c s="30" r="X351">
        <v>97</v>
      </c>
      <c t="s" s="30" r="Y351">
        <v>235</v>
      </c>
      <c t="s" s="30" r="Z351">
        <v>42</v>
      </c>
      <c s="30" r="AA351">
        <v>0</v>
      </c>
      <c s="30" r="AB351">
        <v>0</v>
      </c>
      <c s="30" r="AC351">
        <v>1</v>
      </c>
      <c s="30" r="AD351">
        <v>0</v>
      </c>
      <c s="30" r="AE351"/>
      <c t="str" s="8" r="AF351">
        <f>(I351+J351)/R351</f>
        <v>#VALUE!:notNumber:NA</v>
      </c>
      <c t="str" s="28" r="AG351">
        <f>G351/$X351</f>
        <v>#VALUE!:notNumber:NA</v>
      </c>
      <c t="str" s="28" r="AH351">
        <f>H351/$X351</f>
        <v>#VALUE!:notNumber:NA</v>
      </c>
      <c t="str" s="28" r="AI351">
        <f>I351/$X351</f>
        <v>#VALUE!:notNumber:NA</v>
      </c>
      <c t="str" s="28" r="AJ351">
        <f>J351/$X351</f>
        <v>#VALUE!:notNumber:NA</v>
      </c>
      <c t="str" s="28" r="AK351">
        <f>K351/$X351</f>
        <v>#VALUE!:notNumber:NA</v>
      </c>
      <c s="30" r="AL351">
        <v>1</v>
      </c>
    </row>
    <row r="352">
      <c s="30" r="A352">
        <v>351</v>
      </c>
      <c t="s" s="30" r="B352">
        <v>38</v>
      </c>
      <c s="62" r="C352">
        <v>41592</v>
      </c>
      <c s="52" r="D352">
        <v>0.854166666666667</v>
      </c>
      <c s="55" r="E352">
        <v>500</v>
      </c>
      <c s="55" r="F352"/>
      <c t="s" s="55" r="G352">
        <v>39</v>
      </c>
      <c t="s" s="55" r="H352">
        <v>39</v>
      </c>
      <c t="s" s="55" r="I352">
        <v>39</v>
      </c>
      <c t="s" s="55" r="J352">
        <v>39</v>
      </c>
      <c t="s" s="55" r="K352">
        <v>39</v>
      </c>
      <c s="80" r="L352">
        <v>38.34</v>
      </c>
      <c s="79" r="M352">
        <v>417.65</v>
      </c>
      <c s="79" r="N352">
        <v>42.35</v>
      </c>
      <c s="32" r="O352">
        <f>SUMIF(Sellables!$A$2:$A$11482, $A352, Sellables!$G$2:$G$11482)</f>
        <v>0</v>
      </c>
      <c s="32" r="P352">
        <f>SUMIF(Skills!$A$2:$A$9999, A352, Skills!$F$2:$F$9999)</f>
        <v>0</v>
      </c>
      <c s="14" r="Q352">
        <f>((N352+O352)+P352)+AA352</f>
        <v>42.35</v>
      </c>
      <c s="14" r="R352">
        <f>(E352+L352)-M352</f>
        <v>120.69</v>
      </c>
      <c s="70" r="S352">
        <f>Q352-R352</f>
        <v>-78.3400000000001</v>
      </c>
      <c s="29" r="T352">
        <f> (Q352/R352) - 1</f>
        <v>-0.649101002568564</v>
      </c>
      <c t="str" s="70" r="U352">
        <f>R352/X352</f>
        <v>#DIV/0!:divZero</v>
      </c>
      <c t="str" s="70" r="V352">
        <f>Q352/X352</f>
        <v>#DIV/0!:divZero</v>
      </c>
      <c t="s" s="30" r="W352">
        <v>237</v>
      </c>
      <c s="30" r="X352">
        <v>0</v>
      </c>
      <c t="s" s="30" r="Y352">
        <v>238</v>
      </c>
      <c t="s" s="30" r="Z352">
        <v>42</v>
      </c>
      <c s="30" r="AA352">
        <v>0</v>
      </c>
      <c s="30" r="AB352">
        <v>0</v>
      </c>
      <c s="30" r="AC352">
        <v>0</v>
      </c>
      <c s="30" r="AD352">
        <v>0</v>
      </c>
      <c s="30" r="AE352"/>
      <c t="str" s="8" r="AF352">
        <f>(I352+J352)/R352</f>
        <v>#VALUE!:notNumber:NA</v>
      </c>
      <c t="str" s="28" r="AG352">
        <f>G352/$X352</f>
        <v>#DIV/0!:divZero</v>
      </c>
      <c t="str" s="28" r="AH352">
        <f>H352/$X352</f>
        <v>#DIV/0!:divZero</v>
      </c>
      <c t="str" s="28" r="AI352">
        <f>I352/$X352</f>
        <v>#DIV/0!:divZero</v>
      </c>
      <c t="str" s="28" r="AJ352">
        <f>J352/$X352</f>
        <v>#DIV/0!:divZero</v>
      </c>
      <c t="str" s="28" r="AK352">
        <f>K352/$X352</f>
        <v>#DIV/0!:divZero</v>
      </c>
      <c s="30" r="AL352">
        <v>1</v>
      </c>
    </row>
    <row r="353">
      <c s="30" r="A353">
        <v>352</v>
      </c>
      <c t="s" s="30" r="B353">
        <v>38</v>
      </c>
      <c s="62" r="C353">
        <v>41592</v>
      </c>
      <c s="52" r="D353">
        <v>0.895833333333333</v>
      </c>
      <c s="55" r="E353">
        <v>500</v>
      </c>
      <c s="55" r="F353"/>
      <c t="s" s="55" r="G353">
        <v>39</v>
      </c>
      <c t="s" s="55" r="H353">
        <v>39</v>
      </c>
      <c t="s" s="55" r="I353">
        <v>39</v>
      </c>
      <c t="s" s="55" r="J353">
        <v>39</v>
      </c>
      <c t="s" s="55" r="K353">
        <v>39</v>
      </c>
      <c s="80" r="L353">
        <v>201.96</v>
      </c>
      <c s="79" r="M353">
        <v>60.06</v>
      </c>
      <c s="79" r="N353">
        <v>461.15</v>
      </c>
      <c s="32" r="O353">
        <f>SUMIF(Sellables!$A$2:$A$11482, $A353, Sellables!$G$2:$G$11482)</f>
        <v>75.2895</v>
      </c>
      <c s="32" r="P353">
        <f>SUMIF(Skills!$A$2:$A$9999, A353, Skills!$F$2:$F$9999)</f>
        <v>0</v>
      </c>
      <c s="14" r="Q353">
        <f>(N353+O353)+P353</f>
        <v>536.4395</v>
      </c>
      <c s="23" r="R353">
        <f>(E353+L353)-M353</f>
        <v>641.9</v>
      </c>
      <c s="70" r="S353">
        <f>Q353-R353</f>
        <v>-105.4605</v>
      </c>
      <c s="29" r="T353">
        <f> (Q353/R353) - 1</f>
        <v>-0.164294282598536</v>
      </c>
      <c s="70" r="U353">
        <f>R353/X353</f>
        <v>5.83545454545455</v>
      </c>
      <c s="70" r="V353">
        <f>Q353/X353</f>
        <v>4.87672272727273</v>
      </c>
      <c t="s" s="30" r="W353">
        <v>234</v>
      </c>
      <c s="30" r="X353">
        <v>110</v>
      </c>
      <c t="s" s="30" r="Y353">
        <v>235</v>
      </c>
      <c t="s" s="30" r="Z353">
        <v>42</v>
      </c>
      <c s="30" r="AA353">
        <v>0</v>
      </c>
      <c s="30" r="AB353">
        <v>0</v>
      </c>
      <c s="30" r="AC353">
        <v>3</v>
      </c>
      <c s="30" r="AD353">
        <v>0</v>
      </c>
      <c s="30" r="AE353"/>
      <c t="str" s="8" r="AF353">
        <f>(I353+J353)/R353</f>
        <v>#VALUE!:notNumber:NA</v>
      </c>
      <c t="str" s="28" r="AG353">
        <f>G353/$X353</f>
        <v>#VALUE!:notNumber:NA</v>
      </c>
      <c t="str" s="28" r="AH353">
        <f>H353/$X353</f>
        <v>#VALUE!:notNumber:NA</v>
      </c>
      <c t="str" s="28" r="AI353">
        <f>I353/$X353</f>
        <v>#VALUE!:notNumber:NA</v>
      </c>
      <c t="str" s="28" r="AJ353">
        <f>J353/$X353</f>
        <v>#VALUE!:notNumber:NA</v>
      </c>
      <c t="str" s="28" r="AK353">
        <f>K353/$X353</f>
        <v>#VALUE!:notNumber:NA</v>
      </c>
      <c s="30" r="AL353">
        <v>1</v>
      </c>
    </row>
    <row r="354">
      <c s="30" r="A354">
        <v>353</v>
      </c>
      <c t="s" s="30" r="B354">
        <v>55</v>
      </c>
      <c s="62" r="C354">
        <v>41592</v>
      </c>
      <c s="52" r="D354">
        <v>0.958333333333333</v>
      </c>
      <c s="55" r="E354">
        <f>180*0.61</f>
        <v>109.8</v>
      </c>
      <c s="55" r="F354"/>
      <c t="s" s="55" r="G354">
        <v>39</v>
      </c>
      <c t="s" s="55" r="H354">
        <v>39</v>
      </c>
      <c t="s" s="55" r="I354">
        <v>39</v>
      </c>
      <c t="s" s="55" r="J354">
        <v>39</v>
      </c>
      <c t="s" s="55" r="K354">
        <v>39</v>
      </c>
      <c s="80" r="L354">
        <v>0</v>
      </c>
      <c s="79" r="M354">
        <v>0</v>
      </c>
      <c s="79" r="N354">
        <f>91.5+(19.70*0.075)</f>
        <v>92.9775</v>
      </c>
      <c s="32" r="O354">
        <f>SUMIF(Sellables!$A$2:$A$11482, $A354, Sellables!$G$2:$G$11482)</f>
        <v>0</v>
      </c>
      <c s="32" r="P354">
        <f>SUMIF(Skills!$A$2:$A$9999, A354, Skills!$F$2:$F$9999)</f>
        <v>0</v>
      </c>
      <c s="14" r="Q354">
        <f>(N354+O354)+P354</f>
        <v>92.9775</v>
      </c>
      <c s="23" r="R354">
        <f>(E354+L354)-M354</f>
        <v>109.8</v>
      </c>
      <c s="70" r="S354">
        <f>Q354-R354</f>
        <v>-16.8225</v>
      </c>
      <c s="29" r="T354">
        <f> (Q354/R354) - 1</f>
        <v>-0.153210382513661</v>
      </c>
      <c t="str" s="70" r="U354">
        <f>R354/X354</f>
        <v>#DIV/0!:divZero</v>
      </c>
      <c t="str" s="70" r="V354">
        <f>Q354/X354</f>
        <v>#DIV/0!:divZero</v>
      </c>
      <c t="s" s="30" r="W354">
        <v>68</v>
      </c>
      <c s="30" r="X354">
        <v>0</v>
      </c>
      <c t="s" s="30" r="Y354">
        <v>235</v>
      </c>
      <c t="s" s="30" r="Z354">
        <v>42</v>
      </c>
      <c s="30" r="AA354">
        <v>0</v>
      </c>
      <c s="30" r="AB354">
        <v>0</v>
      </c>
      <c s="30" r="AC354">
        <v>0</v>
      </c>
      <c s="30" r="AD354">
        <v>0</v>
      </c>
      <c s="30" r="AE354"/>
      <c t="str" s="8" r="AF354">
        <f>(I354+J354)/R354</f>
        <v>#VALUE!:notNumber:NA</v>
      </c>
      <c t="str" s="28" r="AG354">
        <f>G354/$X354</f>
        <v>#DIV/0!:divZero</v>
      </c>
      <c t="str" s="28" r="AH354">
        <f>H354/$X354</f>
        <v>#DIV/0!:divZero</v>
      </c>
      <c t="str" s="28" r="AI354">
        <f>I354/$X354</f>
        <v>#DIV/0!:divZero</v>
      </c>
      <c t="str" s="28" r="AJ354">
        <f>J354/$X354</f>
        <v>#DIV/0!:divZero</v>
      </c>
      <c t="str" s="28" r="AK354">
        <f>K354/$X354</f>
        <v>#DIV/0!:divZero</v>
      </c>
      <c s="30" r="AL354">
        <v>1</v>
      </c>
    </row>
    <row r="355">
      <c s="30" r="A355">
        <v>354</v>
      </c>
      <c t="s" s="30" r="B355">
        <v>38</v>
      </c>
      <c s="62" r="C355">
        <v>41593</v>
      </c>
      <c s="52" r="D355">
        <v>0.697916666666667</v>
      </c>
      <c s="55" r="E355">
        <v>570</v>
      </c>
      <c s="55" r="F355"/>
      <c t="s" s="55" r="G355">
        <v>39</v>
      </c>
      <c t="s" s="55" r="H355">
        <v>39</v>
      </c>
      <c t="s" s="55" r="I355">
        <v>39</v>
      </c>
      <c t="s" s="55" r="J355">
        <v>39</v>
      </c>
      <c t="s" s="55" r="K355">
        <v>39</v>
      </c>
      <c s="80" r="L355">
        <v>205.78</v>
      </c>
      <c s="79" r="M355">
        <v>47.06</v>
      </c>
      <c s="79" r="N355">
        <v>860.23</v>
      </c>
      <c s="32" r="O355">
        <f>SUMIF(Sellables!$A$2:$A$11482, $A355, Sellables!$G$2:$G$11482)</f>
        <v>23.8</v>
      </c>
      <c s="32" r="P355">
        <f>SUMIF(Skills!$A$2:$A$9999, A355, Skills!$F$2:$F$9999)</f>
        <v>0</v>
      </c>
      <c s="14" r="Q355">
        <f>(N355+O355)+P355</f>
        <v>884.03</v>
      </c>
      <c s="23" r="R355">
        <f>(E355+L355)-M355</f>
        <v>728.72</v>
      </c>
      <c s="70" r="S355">
        <f>Q355-R355</f>
        <v>155.31</v>
      </c>
      <c s="29" r="T355">
        <f> (Q355/R355) - 1</f>
        <v>0.213127127017236</v>
      </c>
      <c s="70" r="U355">
        <f>R355/X355</f>
        <v>6.94019047619048</v>
      </c>
      <c s="70" r="V355">
        <f>Q355/X355</f>
        <v>8.41933333333333</v>
      </c>
      <c t="s" s="30" r="W355">
        <v>234</v>
      </c>
      <c s="30" r="X355">
        <v>105</v>
      </c>
      <c t="s" s="30" r="Y355">
        <v>235</v>
      </c>
      <c t="s" s="30" r="Z355">
        <v>42</v>
      </c>
      <c s="30" r="AA355">
        <v>0</v>
      </c>
      <c s="30" r="AB355">
        <v>0</v>
      </c>
      <c s="30" r="AC355">
        <v>2</v>
      </c>
      <c s="30" r="AD355">
        <v>0</v>
      </c>
      <c s="30" r="AE355"/>
      <c t="str" s="8" r="AF355">
        <f>(I355+J355)/R355</f>
        <v>#VALUE!:notNumber:NA</v>
      </c>
      <c t="str" s="28" r="AG355">
        <f>G355/$X355</f>
        <v>#VALUE!:notNumber:NA</v>
      </c>
      <c t="str" s="28" r="AH355">
        <f>H355/$X355</f>
        <v>#VALUE!:notNumber:NA</v>
      </c>
      <c t="str" s="28" r="AI355">
        <f>I355/$X355</f>
        <v>#VALUE!:notNumber:NA</v>
      </c>
      <c t="str" s="28" r="AJ355">
        <f>J355/$X355</f>
        <v>#VALUE!:notNumber:NA</v>
      </c>
      <c t="str" s="28" r="AK355">
        <f>K355/$X355</f>
        <v>#VALUE!:notNumber:NA</v>
      </c>
      <c s="30" r="AL355">
        <v>1</v>
      </c>
    </row>
    <row r="356">
      <c s="30" r="A356">
        <v>355</v>
      </c>
      <c t="s" s="30" r="B356">
        <v>38</v>
      </c>
      <c s="62" r="C356">
        <v>41593</v>
      </c>
      <c s="52" r="D356">
        <v>0.697916666666667</v>
      </c>
      <c s="55" r="E356">
        <v>590</v>
      </c>
      <c s="55" r="F356"/>
      <c t="s" s="55" r="G356">
        <v>39</v>
      </c>
      <c t="s" s="55" r="H356">
        <v>39</v>
      </c>
      <c t="s" s="55" r="I356">
        <v>39</v>
      </c>
      <c t="s" s="55" r="J356">
        <v>39</v>
      </c>
      <c t="s" s="55" r="K356">
        <v>39</v>
      </c>
      <c s="80" r="L356">
        <v>195.3</v>
      </c>
      <c s="79" r="M356">
        <v>95.73</v>
      </c>
      <c s="79" r="N356">
        <v>510.61</v>
      </c>
      <c s="32" r="O356">
        <f>SUMIF(Sellables!$A$2:$A$11482, $A356, Sellables!$G$2:$G$11482)</f>
        <v>35.7</v>
      </c>
      <c s="32" r="P356">
        <f>SUMIF(Skills!$A$2:$A$9999, A356, Skills!$F$2:$F$9999)</f>
        <v>0</v>
      </c>
      <c s="14" r="Q356">
        <f>(N356+O356)+P356</f>
        <v>546.31</v>
      </c>
      <c s="23" r="R356">
        <f>(E356+L356)-M356</f>
        <v>689.57</v>
      </c>
      <c s="70" r="S356">
        <f>Q356-R356</f>
        <v>-143.26</v>
      </c>
      <c s="29" r="T356">
        <f> (Q356/R356) - 1</f>
        <v>-0.207752657453195</v>
      </c>
      <c s="70" r="U356">
        <f>R356/X356</f>
        <v>7.18302083333333</v>
      </c>
      <c s="70" r="V356">
        <f>Q356/X356</f>
        <v>5.69072916666667</v>
      </c>
      <c t="s" s="30" r="W356">
        <v>234</v>
      </c>
      <c s="30" r="X356">
        <v>96</v>
      </c>
      <c t="s" s="30" r="Y356">
        <v>235</v>
      </c>
      <c t="s" s="30" r="Z356">
        <v>42</v>
      </c>
      <c s="30" r="AA356">
        <v>0</v>
      </c>
      <c s="30" r="AB356">
        <v>0</v>
      </c>
      <c s="30" r="AC356">
        <v>2</v>
      </c>
      <c s="30" r="AD356">
        <v>0</v>
      </c>
      <c s="30" r="AE356"/>
      <c t="str" s="8" r="AF356">
        <f>(I356+J356)/R356</f>
        <v>#VALUE!:notNumber:NA</v>
      </c>
      <c t="str" s="28" r="AG356">
        <f>G356/$X356</f>
        <v>#VALUE!:notNumber:NA</v>
      </c>
      <c t="str" s="28" r="AH356">
        <f>H356/$X356</f>
        <v>#VALUE!:notNumber:NA</v>
      </c>
      <c t="str" s="28" r="AI356">
        <f>I356/$X356</f>
        <v>#VALUE!:notNumber:NA</v>
      </c>
      <c t="str" s="28" r="AJ356">
        <f>J356/$X356</f>
        <v>#VALUE!:notNumber:NA</v>
      </c>
      <c t="str" s="28" r="AK356">
        <f>K356/$X356</f>
        <v>#VALUE!:notNumber:NA</v>
      </c>
      <c s="30" r="AL356">
        <v>1</v>
      </c>
    </row>
    <row r="357">
      <c s="30" r="A357">
        <v>356</v>
      </c>
      <c t="s" s="30" r="B357">
        <v>38</v>
      </c>
      <c s="62" r="C357">
        <v>41593</v>
      </c>
      <c s="52" r="D357">
        <v>0.840277777777778</v>
      </c>
      <c s="55" r="E357">
        <v>500</v>
      </c>
      <c s="55" r="F357"/>
      <c t="s" s="55" r="G357">
        <v>39</v>
      </c>
      <c t="s" s="55" r="H357">
        <v>39</v>
      </c>
      <c t="s" s="55" r="I357">
        <v>39</v>
      </c>
      <c t="s" s="55" r="J357">
        <v>39</v>
      </c>
      <c t="s" s="55" r="K357">
        <v>39</v>
      </c>
      <c s="80" r="L357">
        <v>187.64</v>
      </c>
      <c s="79" r="M357">
        <v>171.87</v>
      </c>
      <c s="79" r="N357">
        <f>319.19+19.55</f>
        <v>338.74</v>
      </c>
      <c s="32" r="O357">
        <f>SUMIF(Sellables!$A$2:$A$11482, $A357, Sellables!$G$2:$G$11482)</f>
        <v>95</v>
      </c>
      <c s="32" r="P357">
        <f>SUMIF(Skills!$A$2:$A$9999, A357, Skills!$F$2:$F$9999)</f>
        <v>0</v>
      </c>
      <c s="14" r="Q357">
        <f>(N357+O357)+P357</f>
        <v>433.74</v>
      </c>
      <c s="23" r="R357">
        <f>(E357+L357)-M357</f>
        <v>515.77</v>
      </c>
      <c s="70" r="S357">
        <f>Q357-R357</f>
        <v>-82.03</v>
      </c>
      <c s="29" r="T357">
        <f> (Q357/R357) - 1</f>
        <v>-0.159043759815422</v>
      </c>
      <c s="70" r="U357">
        <f>R357/X357</f>
        <v>8.31887096774194</v>
      </c>
      <c s="70" r="V357">
        <f>Q357/X357</f>
        <v>6.9958064516129</v>
      </c>
      <c t="s" s="30" r="W357">
        <v>255</v>
      </c>
      <c s="30" r="X357">
        <v>62</v>
      </c>
      <c t="s" s="30" r="Y357">
        <v>235</v>
      </c>
      <c t="s" s="30" r="Z357">
        <v>42</v>
      </c>
      <c s="30" r="AA357">
        <v>0</v>
      </c>
      <c s="30" r="AB357">
        <v>0</v>
      </c>
      <c s="30" r="AC357">
        <v>1</v>
      </c>
      <c s="30" r="AD357">
        <v>0</v>
      </c>
      <c s="30" r="AE357"/>
      <c t="str" s="8" r="AF357">
        <f>(I357+J357)/R357</f>
        <v>#VALUE!:notNumber:NA</v>
      </c>
      <c t="str" s="28" r="AG357">
        <f>G357/$X357</f>
        <v>#VALUE!:notNumber:NA</v>
      </c>
      <c t="str" s="28" r="AH357">
        <f>H357/$X357</f>
        <v>#VALUE!:notNumber:NA</v>
      </c>
      <c t="str" s="28" r="AI357">
        <f>I357/$X357</f>
        <v>#VALUE!:notNumber:NA</v>
      </c>
      <c t="str" s="28" r="AJ357">
        <f>J357/$X357</f>
        <v>#VALUE!:notNumber:NA</v>
      </c>
      <c t="str" s="28" r="AK357">
        <f>K357/$X357</f>
        <v>#VALUE!:notNumber:NA</v>
      </c>
      <c s="30" r="AL357">
        <v>1</v>
      </c>
    </row>
    <row r="358">
      <c s="30" r="A358">
        <v>357</v>
      </c>
      <c t="s" s="30" r="B358">
        <v>55</v>
      </c>
      <c s="62" r="C358">
        <v>41593</v>
      </c>
      <c s="52" r="D358">
        <v>0.916666666666667</v>
      </c>
      <c s="55" r="E358">
        <f>971*0.71</f>
        <v>689.41</v>
      </c>
      <c s="55" r="F358"/>
      <c t="s" s="55" r="G358">
        <v>39</v>
      </c>
      <c t="s" s="55" r="H358">
        <v>39</v>
      </c>
      <c t="s" s="55" r="I358">
        <v>39</v>
      </c>
      <c t="s" s="55" r="J358">
        <v>39</v>
      </c>
      <c t="s" s="55" r="K358">
        <v>39</v>
      </c>
      <c s="80" r="L358">
        <v>0</v>
      </c>
      <c s="79" r="M358">
        <v>0</v>
      </c>
      <c s="79" r="N358">
        <v>16.42</v>
      </c>
      <c s="32" r="O358">
        <f>SUMIF(Sellables!$A$2:$A$11482, $A358, Sellables!$G$2:$G$11482)</f>
        <v>819.769665</v>
      </c>
      <c s="32" r="P358">
        <f>SUMIF(Skills!$A$2:$A$9999, A358, Skills!$F$2:$F$9999)</f>
        <v>0</v>
      </c>
      <c s="14" r="Q358">
        <f>(N358+O358)+P358</f>
        <v>836.189665</v>
      </c>
      <c s="23" r="R358">
        <f>(E358+L358)-M358</f>
        <v>689.41</v>
      </c>
      <c s="70" r="S358">
        <f>Q358-R358</f>
        <v>146.779665</v>
      </c>
      <c s="29" r="T358">
        <f> (Q358/R358) - 1</f>
        <v>0.212906202404955</v>
      </c>
      <c t="str" s="70" r="U358">
        <f>R358/X358</f>
        <v>#DIV/0!:divZero</v>
      </c>
      <c t="str" s="70" r="V358">
        <f>Q358/X358</f>
        <v>#DIV/0!:divZero</v>
      </c>
      <c t="s" s="30" r="W358">
        <v>56</v>
      </c>
      <c s="30" r="X358">
        <v>0</v>
      </c>
      <c t="s" s="30" r="Y358">
        <v>235</v>
      </c>
      <c t="s" s="30" r="Z358">
        <v>42</v>
      </c>
      <c s="30" r="AA358">
        <v>0</v>
      </c>
      <c s="30" r="AB358">
        <v>0</v>
      </c>
      <c s="30" r="AC358">
        <v>2</v>
      </c>
      <c s="30" r="AD358">
        <v>0</v>
      </c>
      <c s="30" r="AE358"/>
      <c t="str" s="8" r="AF358">
        <f>(I358+J358)/R358</f>
        <v>#VALUE!:notNumber:NA</v>
      </c>
      <c t="str" s="28" r="AG358">
        <f>G358/$X358</f>
        <v>#DIV/0!:divZero</v>
      </c>
      <c t="str" s="28" r="AH358">
        <f>H358/$X358</f>
        <v>#DIV/0!:divZero</v>
      </c>
      <c t="str" s="28" r="AI358">
        <f>I358/$X358</f>
        <v>#DIV/0!:divZero</v>
      </c>
      <c t="str" s="28" r="AJ358">
        <f>J358/$X358</f>
        <v>#DIV/0!:divZero</v>
      </c>
      <c t="str" s="28" r="AK358">
        <f>K358/$X358</f>
        <v>#DIV/0!:divZero</v>
      </c>
      <c s="30" r="AL358">
        <v>1</v>
      </c>
    </row>
    <row r="359">
      <c s="30" r="A359">
        <v>358</v>
      </c>
      <c t="s" s="30" r="B359">
        <v>55</v>
      </c>
      <c s="62" r="C359">
        <v>41593</v>
      </c>
      <c s="52" r="D359">
        <v>0.958333333333333</v>
      </c>
      <c s="55" r="E359">
        <f>246*0.61</f>
        <v>150.06</v>
      </c>
      <c s="55" r="F359"/>
      <c t="s" s="55" r="G359">
        <v>39</v>
      </c>
      <c t="s" s="55" r="H359">
        <v>39</v>
      </c>
      <c t="s" s="55" r="I359">
        <v>39</v>
      </c>
      <c t="s" s="55" r="J359">
        <v>39</v>
      </c>
      <c t="s" s="55" r="K359">
        <v>39</v>
      </c>
      <c s="80" r="L359">
        <v>0</v>
      </c>
      <c s="79" r="M359">
        <v>0</v>
      </c>
      <c s="79" r="N359">
        <v>108.25</v>
      </c>
      <c s="32" r="O359">
        <f>SUMIF(Sellables!$A$2:$A$11482, $A359, Sellables!$G$2:$G$11482)</f>
        <v>23.166</v>
      </c>
      <c s="32" r="P359">
        <f>SUMIF(Skills!$A$2:$A$9999, A359, Skills!$F$2:$F$9999)</f>
        <v>0</v>
      </c>
      <c s="14" r="Q359">
        <f>(N359+O359)+P359</f>
        <v>131.416</v>
      </c>
      <c s="23" r="R359">
        <f>(E359+L359)-M359</f>
        <v>150.06</v>
      </c>
      <c s="70" r="S359">
        <f>Q359-R359</f>
        <v>-18.644</v>
      </c>
      <c s="29" r="T359">
        <f> (Q359/R359) - 1</f>
        <v>-0.124243635878982</v>
      </c>
      <c t="str" s="70" r="U359">
        <f>R359/X359</f>
        <v>#DIV/0!:divZero</v>
      </c>
      <c t="str" s="70" r="V359">
        <f>Q359/X359</f>
        <v>#DIV/0!:divZero</v>
      </c>
      <c t="s" s="30" r="W359">
        <v>256</v>
      </c>
      <c s="30" r="X359">
        <v>0</v>
      </c>
      <c t="s" s="30" r="Y359">
        <v>235</v>
      </c>
      <c t="s" s="30" r="Z359">
        <v>42</v>
      </c>
      <c s="30" r="AA359">
        <v>0</v>
      </c>
      <c s="30" r="AB359">
        <v>0</v>
      </c>
      <c s="30" r="AC359">
        <v>2</v>
      </c>
      <c s="30" r="AD359">
        <v>0</v>
      </c>
      <c s="30" r="AE359"/>
      <c t="str" s="8" r="AF359">
        <f>(I359+J359)/R359</f>
        <v>#VALUE!:notNumber:NA</v>
      </c>
      <c t="str" s="28" r="AG359">
        <f>G359/$X359</f>
        <v>#DIV/0!:divZero</v>
      </c>
      <c t="str" s="28" r="AH359">
        <f>H359/$X359</f>
        <v>#DIV/0!:divZero</v>
      </c>
      <c t="str" s="28" r="AI359">
        <f>I359/$X359</f>
        <v>#DIV/0!:divZero</v>
      </c>
      <c t="str" s="28" r="AJ359">
        <f>J359/$X359</f>
        <v>#DIV/0!:divZero</v>
      </c>
      <c t="str" s="28" r="AK359">
        <f>K359/$X359</f>
        <v>#DIV/0!:divZero</v>
      </c>
      <c s="30" r="AL359">
        <v>1</v>
      </c>
    </row>
    <row r="360">
      <c s="30" r="A360">
        <v>359</v>
      </c>
      <c t="s" s="30" r="B360">
        <v>38</v>
      </c>
      <c s="62" r="C360">
        <v>41593</v>
      </c>
      <c s="52" r="D360">
        <v>0.996527777777778</v>
      </c>
      <c s="55" r="E360">
        <v>500</v>
      </c>
      <c s="55" r="F360"/>
      <c t="s" s="55" r="G360">
        <v>39</v>
      </c>
      <c t="s" s="55" r="H360">
        <v>39</v>
      </c>
      <c t="s" s="55" r="I360">
        <v>39</v>
      </c>
      <c t="s" s="55" r="J360">
        <v>39</v>
      </c>
      <c t="s" s="55" r="K360">
        <v>39</v>
      </c>
      <c s="80" r="L360">
        <v>191</v>
      </c>
      <c s="79" r="M360">
        <v>55.2</v>
      </c>
      <c s="79" r="N360">
        <f>402.83+37.86</f>
        <v>440.69</v>
      </c>
      <c s="32" r="O360">
        <f>SUMIF(Sellables!$A$2:$A$11482, $A360, Sellables!$G$2:$G$11482)</f>
        <v>42.9495</v>
      </c>
      <c s="32" r="P360">
        <f>SUMIF(Skills!$A$2:$A$9999, A360, Skills!$F$2:$F$9999)</f>
        <v>0</v>
      </c>
      <c s="14" r="Q360">
        <f>(N360+O360)+P360</f>
        <v>483.6395</v>
      </c>
      <c s="23" r="R360">
        <f>(E360+L360)-M360</f>
        <v>635.8</v>
      </c>
      <c s="70" r="S360">
        <f>Q360-R360</f>
        <v>-152.1605</v>
      </c>
      <c s="29" r="T360">
        <f> (Q360/R360) - 1</f>
        <v>-0.239321327461466</v>
      </c>
      <c s="70" r="U360">
        <f>R360/X360</f>
        <v>6.55463917525773</v>
      </c>
      <c s="70" r="V360">
        <f>Q360/X360</f>
        <v>4.98597422680412</v>
      </c>
      <c t="s" s="30" r="W360">
        <v>234</v>
      </c>
      <c s="30" r="X360">
        <v>97</v>
      </c>
      <c t="s" s="30" r="Y360">
        <v>235</v>
      </c>
      <c t="s" s="30" r="Z360">
        <v>42</v>
      </c>
      <c s="30" r="AA360">
        <v>0</v>
      </c>
      <c s="30" r="AB360">
        <v>0</v>
      </c>
      <c s="30" r="AC360">
        <v>2</v>
      </c>
      <c s="30" r="AD360">
        <v>0</v>
      </c>
      <c s="30" r="AE360"/>
      <c t="str" s="8" r="AF360">
        <f>(I360+J360)/R360</f>
        <v>#VALUE!:notNumber:NA</v>
      </c>
      <c t="str" s="28" r="AG360">
        <f>G360/$X360</f>
        <v>#VALUE!:notNumber:NA</v>
      </c>
      <c t="str" s="28" r="AH360">
        <f>H360/$X360</f>
        <v>#VALUE!:notNumber:NA</v>
      </c>
      <c t="str" s="28" r="AI360">
        <f>I360/$X360</f>
        <v>#VALUE!:notNumber:NA</v>
      </c>
      <c t="str" s="28" r="AJ360">
        <f>J360/$X360</f>
        <v>#VALUE!:notNumber:NA</v>
      </c>
      <c t="str" s="28" r="AK360">
        <f>K360/$X360</f>
        <v>#VALUE!:notNumber:NA</v>
      </c>
      <c s="30" r="AL360">
        <v>1</v>
      </c>
    </row>
    <row r="361">
      <c s="30" r="A361">
        <v>360</v>
      </c>
      <c t="s" s="30" r="B361">
        <v>55</v>
      </c>
      <c s="62" r="C361">
        <v>41594</v>
      </c>
      <c s="52" r="D361">
        <v>0.5</v>
      </c>
      <c s="55" r="E361">
        <f>727*0.07</f>
        <v>50.89</v>
      </c>
      <c s="55" r="F361"/>
      <c t="s" s="55" r="G361">
        <v>39</v>
      </c>
      <c t="s" s="55" r="H361">
        <v>39</v>
      </c>
      <c t="s" s="55" r="I361">
        <v>39</v>
      </c>
      <c t="s" s="55" r="J361">
        <v>39</v>
      </c>
      <c t="s" s="55" r="K361">
        <v>39</v>
      </c>
      <c s="80" r="L361">
        <v>0</v>
      </c>
      <c s="79" r="M361">
        <v>0</v>
      </c>
      <c s="79" r="N361">
        <f>49.91+(13.14*0.075)</f>
        <v>50.8955</v>
      </c>
      <c s="32" r="O361">
        <f>SUMIF(Sellables!$A$2:$A$11482, $A361, Sellables!$G$2:$G$11482)</f>
        <v>0</v>
      </c>
      <c s="32" r="P361">
        <f>SUMIF(Skills!$A$2:$A$9999, A361, Skills!$F$2:$F$9999)</f>
        <v>0</v>
      </c>
      <c s="14" r="Q361">
        <f>(N361+O361)+P361</f>
        <v>50.8955</v>
      </c>
      <c s="23" r="R361">
        <f>(E361+L361)-M361</f>
        <v>50.89</v>
      </c>
      <c s="70" r="S361">
        <f>Q361-R361</f>
        <v>0.005499999999991</v>
      </c>
      <c s="29" r="T361">
        <f> (Q361/R361) - 1</f>
        <v>0.000108076242877</v>
      </c>
      <c t="str" s="70" r="U361">
        <f>R361/X361</f>
        <v>#DIV/0!:divZero</v>
      </c>
      <c t="str" s="70" r="V361">
        <f>Q361/X361</f>
        <v>#DIV/0!:divZero</v>
      </c>
      <c t="s" s="30" r="W361">
        <v>190</v>
      </c>
      <c s="30" r="X361">
        <v>0</v>
      </c>
      <c t="s" s="30" r="Y361">
        <v>235</v>
      </c>
      <c t="s" s="30" r="Z361">
        <v>42</v>
      </c>
      <c s="30" r="AA361">
        <v>0</v>
      </c>
      <c s="30" r="AB361">
        <v>0</v>
      </c>
      <c s="30" r="AC361">
        <v>0</v>
      </c>
      <c s="30" r="AD361">
        <v>0</v>
      </c>
      <c s="30" r="AE361"/>
      <c t="str" s="8" r="AF361">
        <f>(I361+J361)/R361</f>
        <v>#VALUE!:notNumber:NA</v>
      </c>
      <c t="str" s="28" r="AG361">
        <f>G361/$X361</f>
        <v>#DIV/0!:divZero</v>
      </c>
      <c t="str" s="28" r="AH361">
        <f>H361/$X361</f>
        <v>#DIV/0!:divZero</v>
      </c>
      <c t="str" s="28" r="AI361">
        <f>I361/$X361</f>
        <v>#DIV/0!:divZero</v>
      </c>
      <c t="str" s="28" r="AJ361">
        <f>J361/$X361</f>
        <v>#DIV/0!:divZero</v>
      </c>
      <c t="str" s="28" r="AK361">
        <f>K361/$X361</f>
        <v>#DIV/0!:divZero</v>
      </c>
      <c s="30" r="AL361">
        <v>1</v>
      </c>
    </row>
    <row r="362">
      <c s="30" r="A362">
        <v>361</v>
      </c>
      <c t="s" s="30" r="B362">
        <v>38</v>
      </c>
      <c s="62" r="C362">
        <v>41594</v>
      </c>
      <c s="52" r="D362">
        <v>0.528472222222222</v>
      </c>
      <c s="55" r="E362">
        <v>500</v>
      </c>
      <c s="55" r="F362"/>
      <c t="s" s="55" r="G362">
        <v>39</v>
      </c>
      <c t="s" s="55" r="H362">
        <v>39</v>
      </c>
      <c t="s" s="55" r="I362">
        <v>39</v>
      </c>
      <c t="s" s="55" r="J362">
        <v>39</v>
      </c>
      <c t="s" s="55" r="K362">
        <v>39</v>
      </c>
      <c s="80" r="L362">
        <v>192.9</v>
      </c>
      <c s="79" r="M362">
        <v>65.02</v>
      </c>
      <c s="79" r="N362">
        <v>822.03</v>
      </c>
      <c s="32" r="O362">
        <f>SUMIF(Sellables!$A$2:$A$11482, $A362, Sellables!$G$2:$G$11482)</f>
        <v>117.729</v>
      </c>
      <c s="32" r="P362">
        <f>SUMIF(Skills!$A$2:$A$9999, A362, Skills!$F$2:$F$9999)</f>
        <v>0</v>
      </c>
      <c s="14" r="Q362">
        <f>(N362+O362)+P362</f>
        <v>939.759</v>
      </c>
      <c s="23" r="R362">
        <f>(E362+L362)-M362</f>
        <v>627.88</v>
      </c>
      <c s="70" r="S362">
        <f>Q362-R362</f>
        <v>311.879</v>
      </c>
      <c s="29" r="T362">
        <f> (Q362/R362) - 1</f>
        <v>0.496717525641842</v>
      </c>
      <c s="70" r="U362">
        <f>R362/X362</f>
        <v>6.03730769230769</v>
      </c>
      <c s="70" r="V362">
        <f>Q362/X362</f>
        <v>9.03614423076923</v>
      </c>
      <c t="s" s="30" r="W362">
        <v>234</v>
      </c>
      <c s="30" r="X362">
        <v>104</v>
      </c>
      <c t="s" s="30" r="Y362">
        <v>235</v>
      </c>
      <c t="s" s="30" r="Z362">
        <v>42</v>
      </c>
      <c s="30" r="AA362">
        <v>0</v>
      </c>
      <c s="30" r="AB362">
        <v>0</v>
      </c>
      <c s="30" r="AC362">
        <v>4</v>
      </c>
      <c s="30" r="AD362">
        <v>0</v>
      </c>
      <c s="30" r="AE362"/>
      <c t="str" s="8" r="AF362">
        <f>(I362+J362)/R362</f>
        <v>#VALUE!:notNumber:NA</v>
      </c>
      <c t="str" s="28" r="AG362">
        <f>G362/$X362</f>
        <v>#VALUE!:notNumber:NA</v>
      </c>
      <c t="str" s="28" r="AH362">
        <f>H362/$X362</f>
        <v>#VALUE!:notNumber:NA</v>
      </c>
      <c t="str" s="28" r="AI362">
        <f>I362/$X362</f>
        <v>#VALUE!:notNumber:NA</v>
      </c>
      <c t="str" s="28" r="AJ362">
        <f>J362/$X362</f>
        <v>#VALUE!:notNumber:NA</v>
      </c>
      <c t="str" s="28" r="AK362">
        <f>K362/$X362</f>
        <v>#VALUE!:notNumber:NA</v>
      </c>
      <c s="30" r="AL362">
        <v>1</v>
      </c>
    </row>
    <row r="363">
      <c s="30" r="A363">
        <v>362</v>
      </c>
      <c t="s" s="30" r="B363">
        <v>38</v>
      </c>
      <c s="62" r="C363">
        <v>41594</v>
      </c>
      <c s="52" r="D363">
        <v>0.583333333333333</v>
      </c>
      <c s="55" r="E363">
        <v>500</v>
      </c>
      <c s="55" r="F363"/>
      <c t="s" s="55" r="G363">
        <v>39</v>
      </c>
      <c t="s" s="55" r="H363">
        <v>39</v>
      </c>
      <c t="s" s="55" r="I363">
        <v>39</v>
      </c>
      <c t="s" s="55" r="J363">
        <v>39</v>
      </c>
      <c t="s" s="55" r="K363">
        <v>39</v>
      </c>
      <c s="80" r="L363">
        <v>12.4</v>
      </c>
      <c s="79" r="M363">
        <f>99.96+50.83</f>
        <v>150.79</v>
      </c>
      <c s="79" r="N363">
        <f>4.17+175.71</f>
        <v>179.88</v>
      </c>
      <c s="32" r="O363">
        <f>SUMIF(Sellables!$A$2:$A$11482, $A363, Sellables!$G$2:$G$11482)</f>
        <v>0</v>
      </c>
      <c s="32" r="P363">
        <f>SUMIF(Skills!$A$2:$A$9999, A363, Skills!$F$2:$F$9999)</f>
        <v>15.5644</v>
      </c>
      <c s="14" r="Q363">
        <f>(N363+O363)+P363</f>
        <v>195.4444</v>
      </c>
      <c s="23" r="R363">
        <f>(E363+L363)-M363</f>
        <v>361.61</v>
      </c>
      <c s="70" r="S363">
        <f>Q363-R363</f>
        <v>-166.1656</v>
      </c>
      <c s="29" r="T363">
        <f> (Q363/R363) - 1</f>
        <v>-0.459516053206493</v>
      </c>
      <c s="70" r="U363">
        <f>R363/X363</f>
        <v>1.42366141732283</v>
      </c>
      <c s="70" r="V363">
        <f>Q363/X363</f>
        <v>0.769466141732284</v>
      </c>
      <c t="s" s="30" r="W363">
        <v>257</v>
      </c>
      <c s="30" r="X363">
        <v>254</v>
      </c>
      <c t="s" s="30" r="Y363">
        <v>235</v>
      </c>
      <c t="s" s="30" r="Z363">
        <v>42</v>
      </c>
      <c s="30" r="AA363">
        <v>0</v>
      </c>
      <c s="30" r="AB363">
        <v>0</v>
      </c>
      <c s="30" r="AC363">
        <v>0</v>
      </c>
      <c s="30" r="AD363">
        <v>0</v>
      </c>
      <c s="30" r="AE363"/>
      <c t="str" s="8" r="AF363">
        <f>(I363+J363)/R363</f>
        <v>#VALUE!:notNumber:NA</v>
      </c>
      <c t="str" s="28" r="AG363">
        <f>G363/$X363</f>
        <v>#VALUE!:notNumber:NA</v>
      </c>
      <c t="str" s="28" r="AH363">
        <f>H363/$X363</f>
        <v>#VALUE!:notNumber:NA</v>
      </c>
      <c t="str" s="28" r="AI363">
        <f>I363/$X363</f>
        <v>#VALUE!:notNumber:NA</v>
      </c>
      <c t="str" s="28" r="AJ363">
        <f>J363/$X363</f>
        <v>#VALUE!:notNumber:NA</v>
      </c>
      <c t="str" s="28" r="AK363">
        <f>K363/$X363</f>
        <v>#VALUE!:notNumber:NA</v>
      </c>
      <c s="30" r="AL363">
        <v>1</v>
      </c>
    </row>
    <row r="364">
      <c s="30" r="A364">
        <v>363</v>
      </c>
      <c t="s" s="30" r="B364">
        <v>55</v>
      </c>
      <c s="62" r="C364">
        <v>41594</v>
      </c>
      <c s="52" r="D364">
        <v>0.666666666666667</v>
      </c>
      <c s="55" r="E364">
        <f>1069*0.71</f>
        <v>758.99</v>
      </c>
      <c s="55" r="F364"/>
      <c t="s" s="55" r="G364">
        <v>39</v>
      </c>
      <c t="s" s="55" r="H364">
        <v>39</v>
      </c>
      <c t="s" s="55" r="I364">
        <v>39</v>
      </c>
      <c t="s" s="55" r="J364">
        <v>39</v>
      </c>
      <c t="s" s="55" r="K364">
        <v>39</v>
      </c>
      <c s="80" r="L364">
        <v>0</v>
      </c>
      <c s="79" r="M364">
        <v>0</v>
      </c>
      <c s="79" r="N364">
        <v>285.1</v>
      </c>
      <c s="32" r="O364">
        <f>SUMIF(Sellables!$A$2:$A$11482, $A364, Sellables!$G$2:$G$11482)</f>
        <v>387.45</v>
      </c>
      <c s="32" r="P364">
        <f>SUMIF(Skills!$A$2:$A$9999, A364, Skills!$F$2:$F$9999)</f>
        <v>0</v>
      </c>
      <c s="14" r="Q364">
        <f>(N364+O364)+P364</f>
        <v>672.55</v>
      </c>
      <c s="23" r="R364">
        <f>(E364+L364)-M364</f>
        <v>758.99</v>
      </c>
      <c s="70" r="S364">
        <f>Q364-R364</f>
        <v>-86.44</v>
      </c>
      <c s="29" r="T364">
        <f> (Q364/R364) - 1</f>
        <v>-0.113888193520336</v>
      </c>
      <c t="str" s="70" r="U364">
        <f>R364/X364</f>
        <v>#DIV/0!:divZero</v>
      </c>
      <c t="str" s="70" r="V364">
        <f>Q364/X364</f>
        <v>#DIV/0!:divZero</v>
      </c>
      <c t="s" s="30" r="W364">
        <v>56</v>
      </c>
      <c s="30" r="X364">
        <v>0</v>
      </c>
      <c t="s" s="30" r="Y364">
        <v>235</v>
      </c>
      <c t="s" s="30" r="Z364">
        <v>42</v>
      </c>
      <c s="30" r="AA364">
        <v>0</v>
      </c>
      <c s="30" r="AB364">
        <v>0</v>
      </c>
      <c s="30" r="AC364">
        <v>0</v>
      </c>
      <c s="30" r="AD364">
        <v>0</v>
      </c>
      <c s="30" r="AE364"/>
      <c t="str" s="8" r="AF364">
        <f>(I364+J364)/R364</f>
        <v>#VALUE!:notNumber:NA</v>
      </c>
      <c t="str" s="28" r="AG364">
        <f>G364/$X364</f>
        <v>#DIV/0!:divZero</v>
      </c>
      <c t="str" s="28" r="AH364">
        <f>H364/$X364</f>
        <v>#DIV/0!:divZero</v>
      </c>
      <c t="str" s="28" r="AI364">
        <f>I364/$X364</f>
        <v>#DIV/0!:divZero</v>
      </c>
      <c t="str" s="28" r="AJ364">
        <f>J364/$X364</f>
        <v>#DIV/0!:divZero</v>
      </c>
      <c t="str" s="28" r="AK364">
        <f>K364/$X364</f>
        <v>#DIV/0!:divZero</v>
      </c>
      <c s="30" r="AL364">
        <v>1</v>
      </c>
    </row>
    <row r="365">
      <c s="30" r="A365">
        <v>364</v>
      </c>
      <c t="s" s="30" r="B365">
        <v>55</v>
      </c>
      <c s="62" r="C365">
        <v>41594</v>
      </c>
      <c s="52" r="D365">
        <v>0.729166666666667</v>
      </c>
      <c s="55" r="E365">
        <f>215*1.1</f>
        <v>236.5</v>
      </c>
      <c s="55" r="F365"/>
      <c t="s" s="55" r="G365">
        <v>39</v>
      </c>
      <c t="s" s="55" r="H365">
        <v>39</v>
      </c>
      <c t="s" s="55" r="I365">
        <v>39</v>
      </c>
      <c t="s" s="55" r="J365">
        <v>39</v>
      </c>
      <c t="s" s="55" r="K365">
        <v>39</v>
      </c>
      <c s="80" r="L365">
        <v>0</v>
      </c>
      <c s="79" r="M365">
        <v>0</v>
      </c>
      <c s="79" r="N365">
        <v>126.63</v>
      </c>
      <c s="32" r="O365">
        <f>SUMIF(Sellables!$A$2:$A$11482, $A365, Sellables!$G$2:$G$11482)</f>
        <v>109.725</v>
      </c>
      <c s="32" r="P365">
        <f>SUMIF(Skills!$A$2:$A$9999, A365, Skills!$F$2:$F$9999)</f>
        <v>0</v>
      </c>
      <c s="14" r="Q365">
        <f>(N365+O365)+P365</f>
        <v>236.355</v>
      </c>
      <c s="23" r="R365">
        <f>(E365+L365)-M365</f>
        <v>236.5</v>
      </c>
      <c s="70" r="S365">
        <f>Q365-R365</f>
        <v>-0.14500000000001</v>
      </c>
      <c s="29" r="T365">
        <f> (Q365/R365) - 1</f>
        <v>-0.00061310782241</v>
      </c>
      <c t="str" s="70" r="U365">
        <f>R365/X365</f>
        <v>#DIV/0!:divZero</v>
      </c>
      <c t="str" s="70" r="V365">
        <f>Q365/X365</f>
        <v>#DIV/0!:divZero</v>
      </c>
      <c t="s" s="30" r="W365">
        <v>68</v>
      </c>
      <c s="30" r="X365">
        <v>0</v>
      </c>
      <c t="s" s="30" r="Y365">
        <v>235</v>
      </c>
      <c t="s" s="30" r="Z365">
        <v>42</v>
      </c>
      <c s="30" r="AA365">
        <v>0</v>
      </c>
      <c s="30" r="AB365">
        <v>0</v>
      </c>
      <c s="30" r="AC365">
        <v>0</v>
      </c>
      <c s="30" r="AD365">
        <v>0</v>
      </c>
      <c s="30" r="AE365"/>
      <c t="str" s="8" r="AF365">
        <f>(I365+J365)/R365</f>
        <v>#VALUE!:notNumber:NA</v>
      </c>
      <c t="str" s="28" r="AG365">
        <f>G365/$X365</f>
        <v>#DIV/0!:divZero</v>
      </c>
      <c t="str" s="28" r="AH365">
        <f>H365/$X365</f>
        <v>#DIV/0!:divZero</v>
      </c>
      <c t="str" s="28" r="AI365">
        <f>I365/$X365</f>
        <v>#DIV/0!:divZero</v>
      </c>
      <c t="str" s="28" r="AJ365">
        <f>J365/$X365</f>
        <v>#DIV/0!:divZero</v>
      </c>
      <c t="str" s="28" r="AK365">
        <f>K365/$X365</f>
        <v>#DIV/0!:divZero</v>
      </c>
      <c s="30" r="AL365">
        <v>1</v>
      </c>
    </row>
    <row r="366">
      <c s="30" r="A366">
        <v>365</v>
      </c>
      <c t="s" s="30" r="B366">
        <v>55</v>
      </c>
      <c s="62" r="C366">
        <v>41594</v>
      </c>
      <c s="52" r="D366">
        <v>0.75</v>
      </c>
      <c s="55" r="E366">
        <f>1.53*81</f>
        <v>123.93</v>
      </c>
      <c s="55" r="F366"/>
      <c t="s" s="55" r="G366">
        <v>39</v>
      </c>
      <c t="s" s="55" r="H366">
        <v>39</v>
      </c>
      <c t="s" s="55" r="I366">
        <v>39</v>
      </c>
      <c t="s" s="55" r="J366">
        <v>39</v>
      </c>
      <c t="s" s="55" r="K366">
        <v>39</v>
      </c>
      <c s="80" r="L366">
        <v>0</v>
      </c>
      <c s="79" r="M366">
        <v>0</v>
      </c>
      <c s="79" r="N366">
        <v>106.72</v>
      </c>
      <c s="32" r="O366">
        <f>SUMIF(Sellables!$A$2:$A$11482, $A366, Sellables!$G$2:$G$11482)</f>
        <v>0</v>
      </c>
      <c s="32" r="P366">
        <f>SUMIF(Skills!$A$2:$A$9999, A366, Skills!$F$2:$F$9999)</f>
        <v>0</v>
      </c>
      <c s="14" r="Q366">
        <f>(N366+O366)+P366</f>
        <v>106.72</v>
      </c>
      <c s="23" r="R366">
        <f>(E366+L366)-M366</f>
        <v>123.93</v>
      </c>
      <c s="70" r="S366">
        <f>Q366-R366</f>
        <v>-17.21</v>
      </c>
      <c s="29" r="T366">
        <f> (Q366/R366) - 1</f>
        <v>-0.138868716210764</v>
      </c>
      <c t="str" s="70" r="U366">
        <f>R366/X366</f>
        <v>#DIV/0!:divZero</v>
      </c>
      <c t="str" s="70" r="V366">
        <f>Q366/X366</f>
        <v>#DIV/0!:divZero</v>
      </c>
      <c t="s" s="30" r="W366">
        <v>176</v>
      </c>
      <c s="30" r="X366">
        <v>0</v>
      </c>
      <c t="s" s="30" r="Y366">
        <v>235</v>
      </c>
      <c t="s" s="30" r="Z366">
        <v>42</v>
      </c>
      <c s="30" r="AA366">
        <v>0</v>
      </c>
      <c s="30" r="AB366">
        <v>0</v>
      </c>
      <c s="30" r="AC366">
        <v>0</v>
      </c>
      <c s="30" r="AD366">
        <v>0</v>
      </c>
      <c s="30" r="AE366"/>
      <c t="str" s="8" r="AF366">
        <f>(I366+J366)/R366</f>
        <v>#VALUE!:notNumber:NA</v>
      </c>
      <c t="str" s="28" r="AG366">
        <f>G366/$X366</f>
        <v>#DIV/0!:divZero</v>
      </c>
      <c t="str" s="28" r="AH366">
        <f>H366/$X366</f>
        <v>#DIV/0!:divZero</v>
      </c>
      <c t="str" s="28" r="AI366">
        <f>I366/$X366</f>
        <v>#DIV/0!:divZero</v>
      </c>
      <c t="str" s="28" r="AJ366">
        <f>J366/$X366</f>
        <v>#DIV/0!:divZero</v>
      </c>
      <c t="str" s="28" r="AK366">
        <f>K366/$X366</f>
        <v>#DIV/0!:divZero</v>
      </c>
      <c s="30" r="AL366">
        <v>1</v>
      </c>
    </row>
    <row r="367">
      <c s="30" r="A367">
        <v>366</v>
      </c>
      <c t="s" s="30" r="B367">
        <v>38</v>
      </c>
      <c s="62" r="C367">
        <v>41594</v>
      </c>
      <c s="52" r="D367">
        <v>0.777777777777778</v>
      </c>
      <c s="55" r="E367">
        <v>500</v>
      </c>
      <c s="55" r="F367"/>
      <c t="s" s="55" r="G367">
        <v>39</v>
      </c>
      <c t="s" s="55" r="H367">
        <v>39</v>
      </c>
      <c t="s" s="55" r="I367">
        <v>39</v>
      </c>
      <c t="s" s="55" r="J367">
        <v>39</v>
      </c>
      <c t="s" s="55" r="K367">
        <v>39</v>
      </c>
      <c s="80" r="L367">
        <v>176.37</v>
      </c>
      <c s="79" r="M367">
        <v>85.45</v>
      </c>
      <c s="79" r="N367">
        <v>562.49</v>
      </c>
      <c s="32" r="O367">
        <f>SUMIF(Sellables!$A$2:$A$11482, $A367, Sellables!$G$2:$G$11482)</f>
        <v>0</v>
      </c>
      <c s="32" r="P367">
        <f>SUMIF(Skills!$A$2:$A$9999, A367, Skills!$F$2:$F$9999)</f>
        <v>0</v>
      </c>
      <c s="14" r="Q367">
        <f>(N367+O367)+P367</f>
        <v>562.49</v>
      </c>
      <c s="23" r="R367">
        <f>(E367+L367)-M367</f>
        <v>590.92</v>
      </c>
      <c s="70" r="S367">
        <f>Q367-R367</f>
        <v>-28.43</v>
      </c>
      <c s="29" r="T367">
        <f> (Q367/R367) - 1</f>
        <v>-0.048111419481486</v>
      </c>
      <c s="70" r="U367">
        <f>R367/X367</f>
        <v>5.62780952380952</v>
      </c>
      <c s="70" r="V367">
        <f>Q367/X367</f>
        <v>5.35704761904762</v>
      </c>
      <c t="s" s="30" r="W367">
        <v>234</v>
      </c>
      <c s="30" r="X367">
        <v>105</v>
      </c>
      <c t="s" s="30" r="Y367">
        <v>235</v>
      </c>
      <c t="s" s="30" r="Z367">
        <v>42</v>
      </c>
      <c s="30" r="AA367">
        <v>0</v>
      </c>
      <c s="30" r="AB367">
        <v>0</v>
      </c>
      <c s="30" r="AC367">
        <v>3</v>
      </c>
      <c s="30" r="AD367">
        <v>0</v>
      </c>
      <c s="30" r="AE367"/>
      <c t="str" s="8" r="AF367">
        <f>(I367+J367)/R367</f>
        <v>#VALUE!:notNumber:NA</v>
      </c>
      <c t="str" s="28" r="AG367">
        <f>G367/$X367</f>
        <v>#VALUE!:notNumber:NA</v>
      </c>
      <c t="str" s="28" r="AH367">
        <f>H367/$X367</f>
        <v>#VALUE!:notNumber:NA</v>
      </c>
      <c t="str" s="28" r="AI367">
        <f>I367/$X367</f>
        <v>#VALUE!:notNumber:NA</v>
      </c>
      <c t="str" s="28" r="AJ367">
        <f>J367/$X367</f>
        <v>#VALUE!:notNumber:NA</v>
      </c>
      <c t="str" s="28" r="AK367">
        <f>K367/$X367</f>
        <v>#VALUE!:notNumber:NA</v>
      </c>
      <c s="30" r="AL367">
        <v>1</v>
      </c>
    </row>
    <row r="368">
      <c s="30" r="A368">
        <v>367</v>
      </c>
      <c t="s" s="30" r="B368">
        <v>38</v>
      </c>
      <c s="62" r="C368">
        <v>41594</v>
      </c>
      <c s="52" r="D368">
        <v>0.84375</v>
      </c>
      <c s="55" r="E368">
        <v>600</v>
      </c>
      <c s="55" r="F368"/>
      <c t="s" s="55" r="G368">
        <v>39</v>
      </c>
      <c t="s" s="55" r="H368">
        <v>39</v>
      </c>
      <c t="s" s="55" r="I368">
        <v>39</v>
      </c>
      <c t="s" s="55" r="J368">
        <v>39</v>
      </c>
      <c t="s" s="55" r="K368">
        <v>39</v>
      </c>
      <c s="80" r="L368">
        <v>194.46</v>
      </c>
      <c s="79" r="M368">
        <v>182.26</v>
      </c>
      <c s="79" r="N368">
        <v>376.5</v>
      </c>
      <c s="32" r="O368">
        <f>SUMIF(Sellables!$A$2:$A$11482, $A368, Sellables!$G$2:$G$11482)</f>
        <v>0</v>
      </c>
      <c s="32" r="P368">
        <f>SUMIF(Skills!$A$2:$A$9999, A368, Skills!$F$2:$F$9999)</f>
        <v>0</v>
      </c>
      <c s="14" r="Q368">
        <f>(N368+O368)+P368</f>
        <v>376.5</v>
      </c>
      <c s="23" r="R368">
        <f>(E368+L368)-M368</f>
        <v>612.2</v>
      </c>
      <c s="70" r="S368">
        <f>Q368-R368</f>
        <v>-235.7</v>
      </c>
      <c s="29" r="T368">
        <f> (Q368/R368) - 1</f>
        <v>-0.38500490035936</v>
      </c>
      <c s="70" r="U368">
        <f>R368/X368</f>
        <v>5.88653846153846</v>
      </c>
      <c s="70" r="V368">
        <f>Q368/X368</f>
        <v>3.62019230769231</v>
      </c>
      <c t="s" s="30" r="W368">
        <v>234</v>
      </c>
      <c s="30" r="X368">
        <v>104</v>
      </c>
      <c t="s" s="30" r="Y368">
        <v>235</v>
      </c>
      <c t="s" s="30" r="Z368">
        <v>42</v>
      </c>
      <c s="30" r="AA368">
        <v>0</v>
      </c>
      <c s="30" r="AB368">
        <v>0</v>
      </c>
      <c s="30" r="AC368">
        <v>1</v>
      </c>
      <c s="30" r="AD368">
        <v>0</v>
      </c>
      <c s="30" r="AE368"/>
      <c t="str" s="8" r="AF368">
        <f>(I368+J368)/R368</f>
        <v>#VALUE!:notNumber:NA</v>
      </c>
      <c t="str" s="28" r="AG368">
        <f>G368/$X368</f>
        <v>#VALUE!:notNumber:NA</v>
      </c>
      <c t="str" s="28" r="AH368">
        <f>H368/$X368</f>
        <v>#VALUE!:notNumber:NA</v>
      </c>
      <c t="str" s="28" r="AI368">
        <f>I368/$X368</f>
        <v>#VALUE!:notNumber:NA</v>
      </c>
      <c t="str" s="28" r="AJ368">
        <f>J368/$X368</f>
        <v>#VALUE!:notNumber:NA</v>
      </c>
      <c t="str" s="28" r="AK368">
        <f>K368/$X368</f>
        <v>#VALUE!:notNumber:NA</v>
      </c>
      <c s="30" r="AL368">
        <v>1</v>
      </c>
    </row>
    <row r="369">
      <c s="30" r="A369">
        <v>368</v>
      </c>
      <c t="s" s="30" r="B369">
        <v>38</v>
      </c>
      <c s="62" r="C369">
        <v>41594</v>
      </c>
      <c s="52" r="D369">
        <v>0.90625</v>
      </c>
      <c s="55" r="E369">
        <v>794</v>
      </c>
      <c s="55" r="F369"/>
      <c t="s" s="55" r="G369">
        <v>39</v>
      </c>
      <c t="s" s="55" r="H369">
        <v>39</v>
      </c>
      <c t="s" s="55" r="I369">
        <v>39</v>
      </c>
      <c t="s" s="55" r="J369">
        <v>39</v>
      </c>
      <c t="s" s="55" r="K369">
        <v>39</v>
      </c>
      <c s="80" r="L369">
        <v>196.17</v>
      </c>
      <c s="79" r="M369">
        <v>186.73</v>
      </c>
      <c s="79" r="N369">
        <v>684.83</v>
      </c>
      <c s="32" r="O369">
        <f>SUMIF(Sellables!$A$2:$A$11482, $A369, Sellables!$G$2:$G$11482)</f>
        <v>0</v>
      </c>
      <c s="32" r="P369">
        <f>SUMIF(Skills!$A$2:$A$9999, A369, Skills!$F$2:$F$9999)</f>
        <v>0</v>
      </c>
      <c s="14" r="Q369">
        <f>(N369+O369)+P369</f>
        <v>684.83</v>
      </c>
      <c s="23" r="R369">
        <f>(E369+L369)-M369</f>
        <v>803.44</v>
      </c>
      <c s="70" r="S369">
        <f>Q369-R369</f>
        <v>-118.61</v>
      </c>
      <c s="29" r="T369">
        <f> (Q369/R369) - 1</f>
        <v>-0.147627700886189</v>
      </c>
      <c s="70" r="U369">
        <f>R369/X369</f>
        <v>7.11008849557522</v>
      </c>
      <c s="70" r="V369">
        <f>Q369/X369</f>
        <v>6.06044247787611</v>
      </c>
      <c t="s" s="30" r="W369">
        <v>234</v>
      </c>
      <c s="30" r="X369">
        <v>113</v>
      </c>
      <c t="s" s="30" r="Y369">
        <v>235</v>
      </c>
      <c t="s" s="30" r="Z369">
        <v>42</v>
      </c>
      <c s="30" r="AA369">
        <v>0</v>
      </c>
      <c s="30" r="AB369">
        <v>1</v>
      </c>
      <c s="30" r="AC369">
        <v>1</v>
      </c>
      <c s="30" r="AD369">
        <v>0</v>
      </c>
      <c s="30" r="AE369"/>
      <c t="str" s="8" r="AF369">
        <f>(I369+J369)/R369</f>
        <v>#VALUE!:notNumber:NA</v>
      </c>
      <c t="str" s="28" r="AG369">
        <f>G369/$X369</f>
        <v>#VALUE!:notNumber:NA</v>
      </c>
      <c t="str" s="28" r="AH369">
        <f>H369/$X369</f>
        <v>#VALUE!:notNumber:NA</v>
      </c>
      <c t="str" s="28" r="AI369">
        <f>I369/$X369</f>
        <v>#VALUE!:notNumber:NA</v>
      </c>
      <c t="str" s="28" r="AJ369">
        <f>J369/$X369</f>
        <v>#VALUE!:notNumber:NA</v>
      </c>
      <c t="str" s="28" r="AK369">
        <f>K369/$X369</f>
        <v>#VALUE!:notNumber:NA</v>
      </c>
      <c s="30" r="AL369">
        <v>1</v>
      </c>
    </row>
    <row r="370">
      <c s="30" r="A370">
        <v>369</v>
      </c>
      <c t="s" s="30" r="B370">
        <v>55</v>
      </c>
      <c s="62" r="C370">
        <v>41594</v>
      </c>
      <c s="52" r="D370">
        <v>0.958333333333333</v>
      </c>
      <c s="55" r="E370">
        <f>77*0.61</f>
        <v>46.97</v>
      </c>
      <c s="55" r="F370"/>
      <c t="s" s="55" r="G370">
        <v>39</v>
      </c>
      <c t="s" s="55" r="H370">
        <v>39</v>
      </c>
      <c t="s" s="55" r="I370">
        <v>39</v>
      </c>
      <c t="s" s="55" r="J370">
        <v>39</v>
      </c>
      <c t="s" s="55" r="K370">
        <v>39</v>
      </c>
      <c s="80" r="L370">
        <v>0</v>
      </c>
      <c s="79" r="M370">
        <v>0</v>
      </c>
      <c s="79" r="N370">
        <v>36.94</v>
      </c>
      <c s="32" r="O370">
        <f>SUMIF(Sellables!$A$2:$A$11482, $A370, Sellables!$G$2:$G$11482)</f>
        <v>179.4605</v>
      </c>
      <c s="32" r="P370">
        <f>SUMIF(Skills!$A$2:$A$9999, A370, Skills!$F$2:$F$9999)</f>
        <v>0</v>
      </c>
      <c s="14" r="Q370">
        <f>(N370+O370)+P370</f>
        <v>216.4005</v>
      </c>
      <c s="23" r="R370">
        <f>(E370+L370)-M370</f>
        <v>46.97</v>
      </c>
      <c s="70" r="S370">
        <f>Q370-R370</f>
        <v>169.4305</v>
      </c>
      <c s="29" r="T370">
        <f> (Q370/R370) - 1</f>
        <v>3.60720672769853</v>
      </c>
      <c t="str" s="70" r="U370">
        <f>R370/X370</f>
        <v>#DIV/0!:divZero</v>
      </c>
      <c t="str" s="70" r="V370">
        <f>Q370/X370</f>
        <v>#DIV/0!:divZero</v>
      </c>
      <c t="s" s="30" r="W370">
        <v>98</v>
      </c>
      <c s="30" r="X370">
        <v>0</v>
      </c>
      <c t="s" s="30" r="Y370">
        <v>235</v>
      </c>
      <c t="s" s="30" r="Z370">
        <v>42</v>
      </c>
      <c s="30" r="AA370">
        <v>0</v>
      </c>
      <c s="30" r="AB370">
        <v>0</v>
      </c>
      <c s="30" r="AC370">
        <v>1</v>
      </c>
      <c s="30" r="AD370">
        <v>0</v>
      </c>
      <c s="30" r="AE370"/>
      <c t="str" s="8" r="AF370">
        <f>(I370+J370)/R370</f>
        <v>#VALUE!:notNumber:NA</v>
      </c>
      <c t="str" s="28" r="AG370">
        <f>G370/$X370</f>
        <v>#DIV/0!:divZero</v>
      </c>
      <c t="str" s="28" r="AH370">
        <f>H370/$X370</f>
        <v>#DIV/0!:divZero</v>
      </c>
      <c t="str" s="28" r="AI370">
        <f>I370/$X370</f>
        <v>#DIV/0!:divZero</v>
      </c>
      <c t="str" s="28" r="AJ370">
        <f>J370/$X370</f>
        <v>#DIV/0!:divZero</v>
      </c>
      <c t="str" s="28" r="AK370">
        <f>K370/$X370</f>
        <v>#DIV/0!:divZero</v>
      </c>
      <c s="30" r="AL370">
        <v>1</v>
      </c>
    </row>
    <row r="371">
      <c s="30" r="A371">
        <v>370</v>
      </c>
      <c t="s" s="30" r="B371">
        <v>38</v>
      </c>
      <c s="62" r="C371">
        <v>41594</v>
      </c>
      <c s="52" r="D371">
        <v>0.9875</v>
      </c>
      <c s="55" r="E371">
        <v>500</v>
      </c>
      <c s="55" r="F371"/>
      <c t="s" s="55" r="G371">
        <v>39</v>
      </c>
      <c t="s" s="55" r="H371">
        <v>39</v>
      </c>
      <c t="s" s="55" r="I371">
        <v>39</v>
      </c>
      <c t="s" s="55" r="J371">
        <v>39</v>
      </c>
      <c t="s" s="55" r="K371">
        <v>39</v>
      </c>
      <c s="80" r="L371">
        <v>192.63</v>
      </c>
      <c s="79" r="M371">
        <v>59.35</v>
      </c>
      <c s="79" r="N371">
        <v>587.8</v>
      </c>
      <c s="32" r="O371">
        <f>SUMIF(Sellables!$A$2:$A$11482, $A371, Sellables!$G$2:$G$11482)</f>
        <v>7.998</v>
      </c>
      <c s="32" r="P371">
        <f>SUMIF(Skills!$A$2:$A$9999, A371, Skills!$F$2:$F$9999)</f>
        <v>0</v>
      </c>
      <c s="14" r="Q371">
        <f>(N371+O371)+P371</f>
        <v>595.798</v>
      </c>
      <c s="23" r="R371">
        <f>(E371+L371)-M371</f>
        <v>633.28</v>
      </c>
      <c s="70" r="S371">
        <f>Q371-R371</f>
        <v>-37.482</v>
      </c>
      <c s="29" r="T371">
        <f> (Q371/R371) - 1</f>
        <v>-0.059187089439111</v>
      </c>
      <c s="70" r="U371">
        <f>R371/X371</f>
        <v>5.80990825688073</v>
      </c>
      <c s="70" r="V371">
        <f>Q371/X371</f>
        <v>5.46603669724771</v>
      </c>
      <c t="s" s="30" r="W371">
        <v>234</v>
      </c>
      <c s="30" r="X371">
        <v>109</v>
      </c>
      <c t="s" s="30" r="Y371">
        <v>235</v>
      </c>
      <c t="s" s="30" r="Z371">
        <v>42</v>
      </c>
      <c s="30" r="AA371">
        <v>0</v>
      </c>
      <c s="30" r="AB371">
        <v>0</v>
      </c>
      <c s="30" r="AC371">
        <v>2</v>
      </c>
      <c s="30" r="AD371">
        <v>0</v>
      </c>
      <c s="30" r="AE371"/>
      <c t="str" s="8" r="AF371">
        <f>(I371+J371)/R371</f>
        <v>#VALUE!:notNumber:NA</v>
      </c>
      <c t="str" s="28" r="AG371">
        <f>G371/$X371</f>
        <v>#VALUE!:notNumber:NA</v>
      </c>
      <c t="str" s="28" r="AH371">
        <f>H371/$X371</f>
        <v>#VALUE!:notNumber:NA</v>
      </c>
      <c t="str" s="28" r="AI371">
        <f>I371/$X371</f>
        <v>#VALUE!:notNumber:NA</v>
      </c>
      <c t="str" s="28" r="AJ371">
        <f>J371/$X371</f>
        <v>#VALUE!:notNumber:NA</v>
      </c>
      <c t="str" s="28" r="AK371">
        <f>K371/$X371</f>
        <v>#VALUE!:notNumber:NA</v>
      </c>
      <c s="30" r="AL371">
        <v>1</v>
      </c>
    </row>
    <row r="372">
      <c s="30" r="A372">
        <v>371</v>
      </c>
      <c t="s" s="30" r="B372">
        <v>55</v>
      </c>
      <c s="62" r="C372">
        <v>41595</v>
      </c>
      <c s="52" r="D372">
        <v>0.479166666666667</v>
      </c>
      <c s="55" r="E372">
        <f>970*0.07</f>
        <v>67.9</v>
      </c>
      <c s="55" r="F372"/>
      <c t="s" s="55" r="G372">
        <v>39</v>
      </c>
      <c t="s" s="55" r="H372">
        <v>39</v>
      </c>
      <c t="s" s="55" r="I372">
        <v>39</v>
      </c>
      <c t="s" s="55" r="J372">
        <v>39</v>
      </c>
      <c t="s" s="55" r="K372">
        <v>39</v>
      </c>
      <c s="80" r="L372">
        <v>0</v>
      </c>
      <c s="79" r="M372">
        <v>0</v>
      </c>
      <c s="79" r="N372">
        <v>70.59</v>
      </c>
      <c s="32" r="O372">
        <f>SUMIF(Sellables!$A$2:$A$11482, $A372, Sellables!$G$2:$G$11482)</f>
        <v>12.1766</v>
      </c>
      <c s="32" r="P372">
        <f>SUMIF(Skills!$A$2:$A$9999, A372, Skills!$F$2:$F$9999)</f>
        <v>0</v>
      </c>
      <c s="14" r="Q372">
        <f>(N372+O372)+P372</f>
        <v>82.7666</v>
      </c>
      <c s="23" r="R372">
        <f>(E372+L372)-M372</f>
        <v>67.9</v>
      </c>
      <c s="70" r="S372">
        <f>Q372-R372</f>
        <v>14.8666</v>
      </c>
      <c s="29" r="T372">
        <f> (Q372/R372) - 1</f>
        <v>0.218948453608248</v>
      </c>
      <c t="str" s="70" r="U372">
        <f>R372/X372</f>
        <v>#DIV/0!:divZero</v>
      </c>
      <c t="str" s="70" r="V372">
        <f>Q372/X372</f>
        <v>#DIV/0!:divZero</v>
      </c>
      <c t="s" s="30" r="W372">
        <v>190</v>
      </c>
      <c s="30" r="X372">
        <v>0</v>
      </c>
      <c t="s" s="30" r="Y372">
        <v>235</v>
      </c>
      <c t="s" s="30" r="Z372">
        <v>42</v>
      </c>
      <c s="30" r="AA372">
        <v>0</v>
      </c>
      <c s="30" r="AB372">
        <v>0</v>
      </c>
      <c s="30" r="AC372">
        <v>0</v>
      </c>
      <c s="30" r="AD372">
        <v>0</v>
      </c>
      <c s="30" r="AE372"/>
      <c t="str" s="8" r="AF372">
        <f>(I372+J372)/R372</f>
        <v>#VALUE!:notNumber:NA</v>
      </c>
      <c t="str" s="28" r="AG372">
        <f>G372/$X372</f>
        <v>#DIV/0!:divZero</v>
      </c>
      <c t="str" s="28" r="AH372">
        <f>H372/$X372</f>
        <v>#DIV/0!:divZero</v>
      </c>
      <c t="str" s="28" r="AI372">
        <f>I372/$X372</f>
        <v>#DIV/0!:divZero</v>
      </c>
      <c t="str" s="28" r="AJ372">
        <f>J372/$X372</f>
        <v>#DIV/0!:divZero</v>
      </c>
      <c t="str" s="28" r="AK372">
        <f>K372/$X372</f>
        <v>#DIV/0!:divZero</v>
      </c>
      <c s="30" r="AL372">
        <v>1</v>
      </c>
    </row>
    <row r="373">
      <c s="30" r="A373">
        <v>372</v>
      </c>
      <c t="s" s="30" r="B373">
        <v>38</v>
      </c>
      <c s="62" r="C373">
        <v>41595</v>
      </c>
      <c s="52" r="D373">
        <v>0.538194444444444</v>
      </c>
      <c s="55" r="E373">
        <v>600</v>
      </c>
      <c s="55" r="F373"/>
      <c t="s" s="55" r="G373">
        <v>39</v>
      </c>
      <c t="s" s="55" r="H373">
        <v>39</v>
      </c>
      <c t="s" s="55" r="I373">
        <v>39</v>
      </c>
      <c t="s" s="55" r="J373">
        <v>39</v>
      </c>
      <c t="s" s="55" r="K373">
        <v>39</v>
      </c>
      <c s="80" r="L373">
        <v>199.16</v>
      </c>
      <c s="79" r="M373">
        <v>115.95</v>
      </c>
      <c s="79" r="N373">
        <v>352.09</v>
      </c>
      <c s="32" r="O373">
        <f>SUMIF(Sellables!$A$2:$A$11482, $A373, Sellables!$G$2:$G$11482)</f>
        <v>0</v>
      </c>
      <c s="32" r="P373">
        <f>SUMIF(Skills!$A$2:$A$9999, A373, Skills!$F$2:$F$9999)</f>
        <v>0</v>
      </c>
      <c s="14" r="Q373">
        <f>(N373+O373)+P373</f>
        <v>352.09</v>
      </c>
      <c s="23" r="R373">
        <f>(E373+L373)-M373</f>
        <v>683.21</v>
      </c>
      <c s="70" r="S373">
        <f>Q373-R373</f>
        <v>-331.12</v>
      </c>
      <c s="29" r="T373">
        <f> (Q373/R373) - 1</f>
        <v>-0.484653327673775</v>
      </c>
      <c s="70" r="U373">
        <f>R373/X373</f>
        <v>6.8321</v>
      </c>
      <c s="70" r="V373">
        <f>Q373/X373</f>
        <v>3.5209</v>
      </c>
      <c t="s" s="30" r="W373">
        <v>234</v>
      </c>
      <c s="30" r="X373">
        <v>100</v>
      </c>
      <c t="s" s="30" r="Y373">
        <v>235</v>
      </c>
      <c t="s" s="30" r="Z373">
        <v>42</v>
      </c>
      <c s="30" r="AA373">
        <v>0</v>
      </c>
      <c s="30" r="AB373">
        <v>0</v>
      </c>
      <c s="30" r="AC373">
        <v>0</v>
      </c>
      <c s="30" r="AD373">
        <v>0</v>
      </c>
      <c s="30" r="AE373"/>
      <c t="str" s="8" r="AF373">
        <f>(I373+J373)/R373</f>
        <v>#VALUE!:notNumber:NA</v>
      </c>
      <c t="str" s="28" r="AG373">
        <f>G373/$X373</f>
        <v>#VALUE!:notNumber:NA</v>
      </c>
      <c t="str" s="28" r="AH373">
        <f>H373/$X373</f>
        <v>#VALUE!:notNumber:NA</v>
      </c>
      <c t="str" s="28" r="AI373">
        <f>I373/$X373</f>
        <v>#VALUE!:notNumber:NA</v>
      </c>
      <c t="str" s="28" r="AJ373">
        <f>J373/$X373</f>
        <v>#VALUE!:notNumber:NA</v>
      </c>
      <c t="str" s="28" r="AK373">
        <f>K373/$X373</f>
        <v>#VALUE!:notNumber:NA</v>
      </c>
      <c s="30" r="AL373">
        <v>1</v>
      </c>
    </row>
    <row r="374">
      <c s="30" r="A374">
        <v>373</v>
      </c>
      <c t="s" s="30" r="B374">
        <v>38</v>
      </c>
      <c s="62" r="C374">
        <v>41595</v>
      </c>
      <c s="52" r="D374">
        <v>0.583333333333333</v>
      </c>
      <c s="55" r="E374">
        <v>500</v>
      </c>
      <c s="55" r="F374"/>
      <c t="s" s="55" r="G374">
        <v>39</v>
      </c>
      <c t="s" s="55" r="H374">
        <v>39</v>
      </c>
      <c t="s" s="55" r="I374">
        <v>39</v>
      </c>
      <c t="s" s="55" r="J374">
        <v>39</v>
      </c>
      <c t="s" s="55" r="K374">
        <v>39</v>
      </c>
      <c s="80" r="L374">
        <v>31.31</v>
      </c>
      <c s="79" r="M374">
        <v>425.03</v>
      </c>
      <c s="79" r="N374">
        <v>34.77</v>
      </c>
      <c s="32" r="O374">
        <f>SUMIF(Sellables!$A$2:$A$11482, $A374, Sellables!$G$2:$G$11482)</f>
        <v>0</v>
      </c>
      <c s="32" r="P374">
        <f>SUMIF(Skills!$A$2:$A$9999, A374, Skills!$F$2:$F$9999)</f>
        <v>0</v>
      </c>
      <c s="14" r="Q374">
        <f>(N374+O374)+P374</f>
        <v>34.77</v>
      </c>
      <c s="23" r="R374">
        <f>(E374+L374)-M374</f>
        <v>106.28</v>
      </c>
      <c s="70" r="S374">
        <f>Q374-R374</f>
        <v>-71.51</v>
      </c>
      <c s="29" r="T374">
        <f> (Q374/R374) - 1</f>
        <v>-0.672845314264208</v>
      </c>
      <c t="str" s="70" r="U374">
        <f>R374/X374</f>
        <v>#DIV/0!:divZero</v>
      </c>
      <c t="str" s="70" r="V374">
        <f>Q374/X374</f>
        <v>#DIV/0!:divZero</v>
      </c>
      <c t="s" s="30" r="W374">
        <v>238</v>
      </c>
      <c s="30" r="X374">
        <v>0</v>
      </c>
      <c t="s" s="30" r="Y374">
        <v>235</v>
      </c>
      <c t="s" s="30" r="Z374">
        <v>42</v>
      </c>
      <c s="30" r="AA374">
        <v>0</v>
      </c>
      <c s="30" r="AB374">
        <v>0</v>
      </c>
      <c s="30" r="AC374">
        <v>0</v>
      </c>
      <c s="30" r="AD374">
        <v>0</v>
      </c>
      <c s="30" r="AE374"/>
      <c t="str" s="8" r="AF374">
        <f>(I374+J374)/R374</f>
        <v>#VALUE!:notNumber:NA</v>
      </c>
      <c t="str" s="28" r="AG374">
        <f>G374/$X374</f>
        <v>#DIV/0!:divZero</v>
      </c>
      <c t="str" s="28" r="AH374">
        <f>H374/$X374</f>
        <v>#DIV/0!:divZero</v>
      </c>
      <c t="str" s="28" r="AI374">
        <f>I374/$X374</f>
        <v>#DIV/0!:divZero</v>
      </c>
      <c t="str" s="28" r="AJ374">
        <f>J374/$X374</f>
        <v>#DIV/0!:divZero</v>
      </c>
      <c t="str" s="28" r="AK374">
        <f>K374/$X374</f>
        <v>#DIV/0!:divZero</v>
      </c>
      <c s="30" r="AL374">
        <v>1</v>
      </c>
    </row>
    <row r="375">
      <c s="30" r="A375">
        <v>374</v>
      </c>
      <c t="s" s="30" r="B375">
        <v>55</v>
      </c>
      <c s="62" r="C375">
        <v>41595</v>
      </c>
      <c s="52" r="D375">
        <v>0.604166666666667</v>
      </c>
      <c s="55" r="E375">
        <f>13*0.71</f>
        <v>9.23</v>
      </c>
      <c s="55" r="F375"/>
      <c t="s" s="55" r="G375">
        <v>39</v>
      </c>
      <c t="s" s="55" r="H375">
        <v>39</v>
      </c>
      <c t="s" s="55" r="I375">
        <v>39</v>
      </c>
      <c t="s" s="55" r="J375">
        <v>39</v>
      </c>
      <c t="s" s="55" r="K375">
        <v>39</v>
      </c>
      <c s="80" r="L375">
        <v>0</v>
      </c>
      <c s="79" r="M375">
        <v>0</v>
      </c>
      <c s="79" r="N375">
        <v>81</v>
      </c>
      <c s="32" r="O375">
        <f>SUMIF(Sellables!$A$2:$A$11482, $A375, Sellables!$G$2:$G$11482)</f>
        <v>0</v>
      </c>
      <c s="32" r="P375">
        <f>SUMIF(Skills!$A$2:$A$9999, A375, Skills!$F$2:$F$9999)</f>
        <v>0</v>
      </c>
      <c s="14" r="Q375">
        <f>(N375+O375)+P375</f>
        <v>81</v>
      </c>
      <c s="23" r="R375">
        <f>(E375+L375)-M375</f>
        <v>9.23</v>
      </c>
      <c s="70" r="S375">
        <f>Q375-R375</f>
        <v>71.77</v>
      </c>
      <c s="29" r="T375">
        <f> (Q375/R375) - 1</f>
        <v>7.77573131094258</v>
      </c>
      <c t="str" s="70" r="U375">
        <f>R375/X375</f>
        <v>#DIV/0!:divZero</v>
      </c>
      <c t="str" s="70" r="V375">
        <f>Q375/X375</f>
        <v>#DIV/0!:divZero</v>
      </c>
      <c t="s" s="30" r="W375">
        <v>258</v>
      </c>
      <c s="30" r="X375">
        <v>0</v>
      </c>
      <c t="s" s="30" r="Y375">
        <v>235</v>
      </c>
      <c t="s" s="30" r="Z375">
        <v>42</v>
      </c>
      <c s="30" r="AA375">
        <v>0</v>
      </c>
      <c s="30" r="AB375">
        <v>0</v>
      </c>
      <c s="30" r="AC375">
        <v>1</v>
      </c>
      <c s="30" r="AD375">
        <v>0</v>
      </c>
      <c s="30" r="AE375"/>
      <c t="str" s="8" r="AF375">
        <f>(I375+J375)/R375</f>
        <v>#VALUE!:notNumber:NA</v>
      </c>
      <c t="str" s="28" r="AG375">
        <f>G375/$X375</f>
        <v>#DIV/0!:divZero</v>
      </c>
      <c t="str" s="28" r="AH375">
        <f>H375/$X375</f>
        <v>#DIV/0!:divZero</v>
      </c>
      <c t="str" s="28" r="AI375">
        <f>I375/$X375</f>
        <v>#DIV/0!:divZero</v>
      </c>
      <c t="str" s="28" r="AJ375">
        <f>J375/$X375</f>
        <v>#DIV/0!:divZero</v>
      </c>
      <c t="str" s="28" r="AK375">
        <f>K375/$X375</f>
        <v>#DIV/0!:divZero</v>
      </c>
      <c s="30" r="AL375">
        <v>1</v>
      </c>
    </row>
    <row r="376">
      <c s="30" r="A376">
        <v>375</v>
      </c>
      <c t="s" s="30" r="B376">
        <v>38</v>
      </c>
      <c s="62" r="C376">
        <v>41595</v>
      </c>
      <c s="52" r="D376">
        <v>0.621527777777778</v>
      </c>
      <c s="55" r="E376">
        <v>640</v>
      </c>
      <c s="55" r="F376"/>
      <c t="s" s="55" r="G376">
        <v>39</v>
      </c>
      <c t="s" s="55" r="H376">
        <v>39</v>
      </c>
      <c t="s" s="55" r="I376">
        <v>39</v>
      </c>
      <c t="s" s="55" r="J376">
        <v>39</v>
      </c>
      <c t="s" s="55" r="K376">
        <v>39</v>
      </c>
      <c s="80" r="L376">
        <v>183.27</v>
      </c>
      <c s="79" r="M376">
        <v>139.84</v>
      </c>
      <c s="79" r="N376">
        <v>759.81</v>
      </c>
      <c s="32" r="O376">
        <v>95</v>
      </c>
      <c s="32" r="P376">
        <f>SUMIF(Skills!$A$2:$A$9999, A376, Skills!$F$2:$F$9999)</f>
        <v>0</v>
      </c>
      <c s="14" r="Q376">
        <f>(N376+O376)+P376</f>
        <v>854.81</v>
      </c>
      <c s="23" r="R376">
        <f>(E376+L376)-M376</f>
        <v>683.43</v>
      </c>
      <c s="70" r="S376">
        <f>Q376-R376</f>
        <v>171.38</v>
      </c>
      <c s="29" r="T376">
        <f> (Q376/R376) - 1</f>
        <v>0.250764525993884</v>
      </c>
      <c s="70" r="U376">
        <f>R376/X376</f>
        <v>6.44745283018868</v>
      </c>
      <c s="70" r="V376">
        <f>Q376/X376</f>
        <v>8.06424528301887</v>
      </c>
      <c t="s" s="30" r="W376">
        <v>234</v>
      </c>
      <c s="30" r="X376">
        <v>106</v>
      </c>
      <c t="s" s="30" r="Y376">
        <v>235</v>
      </c>
      <c t="s" s="30" r="Z376">
        <v>42</v>
      </c>
      <c s="30" r="AA376">
        <v>0</v>
      </c>
      <c s="30" r="AB376">
        <v>0</v>
      </c>
      <c s="30" r="AC376">
        <v>4</v>
      </c>
      <c s="30" r="AD376">
        <v>0</v>
      </c>
      <c s="30" r="AE376"/>
      <c t="str" s="8" r="AF376">
        <f>(I376+J376)/R376</f>
        <v>#VALUE!:notNumber:NA</v>
      </c>
      <c t="str" s="28" r="AG376">
        <f>G376/$X376</f>
        <v>#VALUE!:notNumber:NA</v>
      </c>
      <c t="str" s="28" r="AH376">
        <f>H376/$X376</f>
        <v>#VALUE!:notNumber:NA</v>
      </c>
      <c t="str" s="28" r="AI376">
        <f>I376/$X376</f>
        <v>#VALUE!:notNumber:NA</v>
      </c>
      <c t="str" s="28" r="AJ376">
        <f>J376/$X376</f>
        <v>#VALUE!:notNumber:NA</v>
      </c>
      <c t="str" s="28" r="AK376">
        <f>K376/$X376</f>
        <v>#VALUE!:notNumber:NA</v>
      </c>
      <c s="30" r="AL376">
        <v>1</v>
      </c>
    </row>
    <row r="377">
      <c s="30" r="A377">
        <v>376</v>
      </c>
      <c t="s" s="30" r="B377">
        <v>38</v>
      </c>
      <c s="62" r="C377">
        <v>41595</v>
      </c>
      <c s="52" r="D377">
        <v>0.670138888888889</v>
      </c>
      <c s="55" r="E377">
        <v>550</v>
      </c>
      <c s="55" r="F377"/>
      <c t="s" s="55" r="G377">
        <v>39</v>
      </c>
      <c t="s" s="55" r="H377">
        <v>39</v>
      </c>
      <c t="s" s="55" r="I377">
        <v>39</v>
      </c>
      <c t="s" s="55" r="J377">
        <v>39</v>
      </c>
      <c t="s" s="55" r="K377">
        <v>39</v>
      </c>
      <c s="80" r="L377">
        <v>192.42</v>
      </c>
      <c s="79" r="M377">
        <v>148.78</v>
      </c>
      <c s="79" r="N377">
        <f>793.3+36.16</f>
        <v>829.46</v>
      </c>
      <c s="32" r="O377">
        <v>0</v>
      </c>
      <c s="32" r="P377">
        <f>SUMIF(Skills!$A$2:$A$9999, A377, Skills!$F$2:$F$9999)</f>
        <v>0</v>
      </c>
      <c s="14" r="Q377">
        <f>(N377+O377)+P377</f>
        <v>829.46</v>
      </c>
      <c s="23" r="R377">
        <f>(E377+L377)-M377</f>
        <v>593.64</v>
      </c>
      <c s="70" r="S377">
        <f>Q377-R377</f>
        <v>235.82</v>
      </c>
      <c s="29" r="T377">
        <f> (Q377/R377) - 1</f>
        <v>0.397244121016104</v>
      </c>
      <c s="70" r="U377">
        <f>R377/X377</f>
        <v>5.76349514563107</v>
      </c>
      <c s="70" r="V377">
        <f>Q377/X377</f>
        <v>8.05300970873786</v>
      </c>
      <c t="s" s="30" r="W377">
        <v>234</v>
      </c>
      <c s="30" r="X377">
        <v>103</v>
      </c>
      <c t="s" s="30" r="Y377">
        <v>235</v>
      </c>
      <c t="s" s="30" r="Z377">
        <v>42</v>
      </c>
      <c s="30" r="AA377">
        <v>0</v>
      </c>
      <c s="30" r="AB377">
        <v>0</v>
      </c>
      <c s="30" r="AC377">
        <v>3</v>
      </c>
      <c s="30" r="AD377">
        <v>0</v>
      </c>
      <c s="30" r="AE377"/>
      <c t="str" s="8" r="AF377">
        <f>(I377+J377)/R377</f>
        <v>#VALUE!:notNumber:NA</v>
      </c>
      <c t="str" s="28" r="AG377">
        <f>G377/$X377</f>
        <v>#VALUE!:notNumber:NA</v>
      </c>
      <c t="str" s="28" r="AH377">
        <f>H377/$X377</f>
        <v>#VALUE!:notNumber:NA</v>
      </c>
      <c t="str" s="28" r="AI377">
        <f>I377/$X377</f>
        <v>#VALUE!:notNumber:NA</v>
      </c>
      <c t="str" s="28" r="AJ377">
        <f>J377/$X377</f>
        <v>#VALUE!:notNumber:NA</v>
      </c>
      <c t="str" s="28" r="AK377">
        <f>K377/$X377</f>
        <v>#VALUE!:notNumber:NA</v>
      </c>
      <c s="30" r="AL377">
        <v>1</v>
      </c>
    </row>
    <row r="378">
      <c s="30" r="A378">
        <v>377</v>
      </c>
      <c t="s" s="30" r="B378">
        <v>55</v>
      </c>
      <c s="62" r="C378">
        <v>41595</v>
      </c>
      <c s="52" r="D378">
        <v>0.708333333333333</v>
      </c>
      <c s="55" r="E378">
        <f>128*0.61</f>
        <v>78.08</v>
      </c>
      <c s="55" r="F378"/>
      <c t="s" s="55" r="G378">
        <v>39</v>
      </c>
      <c t="s" s="55" r="H378">
        <v>39</v>
      </c>
      <c t="s" s="55" r="I378">
        <v>39</v>
      </c>
      <c t="s" s="55" r="J378">
        <v>39</v>
      </c>
      <c t="s" s="55" r="K378">
        <v>39</v>
      </c>
      <c s="80" r="L378">
        <v>0</v>
      </c>
      <c s="79" r="M378">
        <v>0</v>
      </c>
      <c s="79" r="N378">
        <v>50.69</v>
      </c>
      <c s="32" r="O378">
        <f>SUMIF(Sellables!$A$2:$A$11482, $A378, Sellables!$G$2:$G$11482)</f>
        <v>47.3582</v>
      </c>
      <c s="32" r="P378">
        <f>SUMIF(Skills!$A$2:$A$9999, A378, Skills!$F$2:$F$9999)</f>
        <v>0</v>
      </c>
      <c s="14" r="Q378">
        <f>(N378+O378)+P378</f>
        <v>98.0482</v>
      </c>
      <c s="23" r="R378">
        <f>(E378+L378)-M378</f>
        <v>78.08</v>
      </c>
      <c s="70" r="S378">
        <f>Q378-R378</f>
        <v>19.9682</v>
      </c>
      <c s="29" r="T378">
        <f> (Q378/R378) - 1</f>
        <v>0.255740266393443</v>
      </c>
      <c t="str" s="70" r="U378">
        <f>R378/X378</f>
        <v>#DIV/0!:divZero</v>
      </c>
      <c t="str" s="70" r="V378">
        <f>Q378/X378</f>
        <v>#DIV/0!:divZero</v>
      </c>
      <c t="s" s="30" r="W378">
        <v>98</v>
      </c>
      <c s="30" r="X378">
        <v>0</v>
      </c>
      <c t="s" s="30" r="Y378">
        <v>235</v>
      </c>
      <c t="s" s="30" r="Z378">
        <v>42</v>
      </c>
      <c s="30" r="AA378">
        <v>0</v>
      </c>
      <c s="30" r="AB378">
        <v>0</v>
      </c>
      <c s="30" r="AC378">
        <v>0</v>
      </c>
      <c s="30" r="AD378">
        <v>0</v>
      </c>
      <c s="30" r="AE378"/>
      <c t="str" s="8" r="AF378">
        <f>(I378+J378)/R378</f>
        <v>#VALUE!:notNumber:NA</v>
      </c>
      <c t="str" s="28" r="AG378">
        <f>G378/$X378</f>
        <v>#DIV/0!:divZero</v>
      </c>
      <c t="str" s="28" r="AH378">
        <f>H378/$X378</f>
        <v>#DIV/0!:divZero</v>
      </c>
      <c t="str" s="28" r="AI378">
        <f>I378/$X378</f>
        <v>#DIV/0!:divZero</v>
      </c>
      <c t="str" s="28" r="AJ378">
        <f>J378/$X378</f>
        <v>#DIV/0!:divZero</v>
      </c>
      <c t="str" s="28" r="AK378">
        <f>K378/$X378</f>
        <v>#DIV/0!:divZero</v>
      </c>
      <c s="30" r="AL378">
        <v>1</v>
      </c>
    </row>
    <row r="379">
      <c s="30" r="A379">
        <v>378</v>
      </c>
      <c t="s" s="30" r="B379">
        <v>38</v>
      </c>
      <c s="62" r="C379">
        <v>41595</v>
      </c>
      <c s="52" r="D379">
        <v>0.736111111111111</v>
      </c>
      <c s="55" r="E379">
        <v>550</v>
      </c>
      <c s="55" r="F379"/>
      <c t="s" s="55" r="G379">
        <v>39</v>
      </c>
      <c t="s" s="55" r="H379">
        <v>39</v>
      </c>
      <c t="s" s="55" r="I379">
        <v>39</v>
      </c>
      <c t="s" s="55" r="J379">
        <v>39</v>
      </c>
      <c t="s" s="55" r="K379">
        <v>39</v>
      </c>
      <c s="80" r="L379">
        <v>195.77</v>
      </c>
      <c s="79" r="M379">
        <v>104.97</v>
      </c>
      <c s="79" r="N379">
        <v>666.73</v>
      </c>
      <c s="32" r="O379">
        <v>0</v>
      </c>
      <c s="32" r="P379">
        <f>SUMIF(Skills!$A$2:$A$9999, A379, Skills!$F$2:$F$9999)</f>
        <v>0</v>
      </c>
      <c s="14" r="Q379">
        <f>(N379+O379)+P379</f>
        <v>666.73</v>
      </c>
      <c s="23" r="R379">
        <f>(E379+L379)-M379</f>
        <v>640.8</v>
      </c>
      <c s="70" r="S379">
        <f>Q379-R379</f>
        <v>25.9300000000001</v>
      </c>
      <c s="29" r="T379">
        <f> (Q379/R379) - 1</f>
        <v>0.040465043695381</v>
      </c>
      <c s="70" r="U379">
        <f>R379/X379</f>
        <v>6.47272727272727</v>
      </c>
      <c s="70" r="V379">
        <f>Q379/X379</f>
        <v>6.73464646464646</v>
      </c>
      <c t="s" s="30" r="W379">
        <v>234</v>
      </c>
      <c s="30" r="X379">
        <v>99</v>
      </c>
      <c t="s" s="30" r="Y379">
        <v>235</v>
      </c>
      <c t="s" s="30" r="Z379">
        <v>42</v>
      </c>
      <c s="30" r="AA379">
        <v>0</v>
      </c>
      <c s="30" r="AB379">
        <v>0</v>
      </c>
      <c s="30" r="AC379">
        <v>5</v>
      </c>
      <c s="30" r="AD379">
        <v>0</v>
      </c>
      <c s="30" r="AE379"/>
      <c t="str" s="8" r="AF379">
        <f>(I379+J379)/R379</f>
        <v>#VALUE!:notNumber:NA</v>
      </c>
      <c t="str" s="28" r="AG379">
        <f>G379/$X379</f>
        <v>#VALUE!:notNumber:NA</v>
      </c>
      <c t="str" s="28" r="AH379">
        <f>H379/$X379</f>
        <v>#VALUE!:notNumber:NA</v>
      </c>
      <c t="str" s="28" r="AI379">
        <f>I379/$X379</f>
        <v>#VALUE!:notNumber:NA</v>
      </c>
      <c t="str" s="28" r="AJ379">
        <f>J379/$X379</f>
        <v>#VALUE!:notNumber:NA</v>
      </c>
      <c t="str" s="28" r="AK379">
        <f>K379/$X379</f>
        <v>#VALUE!:notNumber:NA</v>
      </c>
      <c s="30" r="AL379">
        <v>1</v>
      </c>
    </row>
    <row r="380">
      <c s="30" r="A380">
        <v>379</v>
      </c>
      <c t="s" s="30" r="B380">
        <v>55</v>
      </c>
      <c s="62" r="C380">
        <v>41595</v>
      </c>
      <c s="52" r="D380">
        <v>0.8125</v>
      </c>
      <c s="55" r="E380">
        <f>165*0.31</f>
        <v>51.15</v>
      </c>
      <c s="55" r="F380"/>
      <c t="s" s="55" r="G380">
        <v>39</v>
      </c>
      <c t="s" s="55" r="H380">
        <v>39</v>
      </c>
      <c t="s" s="55" r="I380">
        <v>39</v>
      </c>
      <c t="s" s="55" r="J380">
        <v>39</v>
      </c>
      <c t="s" s="55" r="K380">
        <v>39</v>
      </c>
      <c s="80" r="L380">
        <v>0</v>
      </c>
      <c s="79" r="M380">
        <v>0</v>
      </c>
      <c s="79" r="N380">
        <v>36.6</v>
      </c>
      <c s="32" r="O380">
        <f>SUMIF(Sellables!$A$2:$A$11482, $A380, Sellables!$G$2:$G$11482)</f>
        <v>17.74825</v>
      </c>
      <c s="32" r="P380">
        <f>SUMIF(Skills!$A$2:$A$9999, A380, Skills!$F$2:$F$9999)</f>
        <v>0</v>
      </c>
      <c s="14" r="Q380">
        <f>(N380+O380)+P380</f>
        <v>54.34825</v>
      </c>
      <c s="23" r="R380">
        <f>(E380+L380)-M380</f>
        <v>51.15</v>
      </c>
      <c s="70" r="S380">
        <f>Q380-R380</f>
        <v>3.19825000000001</v>
      </c>
      <c s="29" r="T380">
        <f> (Q380/R380) - 1</f>
        <v>0.06252688172043</v>
      </c>
      <c t="str" s="70" r="U380">
        <f>R380/X380</f>
        <v>#DIV/0!:divZero</v>
      </c>
      <c t="str" s="70" r="V380">
        <f>Q380/X380</f>
        <v>#DIV/0!:divZero</v>
      </c>
      <c t="s" s="30" r="W380">
        <v>133</v>
      </c>
      <c s="30" r="X380">
        <v>0</v>
      </c>
      <c t="s" s="30" r="Y380">
        <v>235</v>
      </c>
      <c t="s" s="30" r="Z380">
        <v>42</v>
      </c>
      <c s="30" r="AA380">
        <v>0</v>
      </c>
      <c s="30" r="AB380">
        <v>0</v>
      </c>
      <c s="30" r="AC380">
        <v>0</v>
      </c>
      <c s="30" r="AD380">
        <v>0</v>
      </c>
      <c s="30" r="AE380"/>
      <c t="str" s="8" r="AF380">
        <f>(I380+J380)/R380</f>
        <v>#VALUE!:notNumber:NA</v>
      </c>
      <c t="str" s="28" r="AG380">
        <f>G380/$X380</f>
        <v>#DIV/0!:divZero</v>
      </c>
      <c t="str" s="28" r="AH380">
        <f>H380/$X380</f>
        <v>#DIV/0!:divZero</v>
      </c>
      <c t="str" s="28" r="AI380">
        <f>I380/$X380</f>
        <v>#DIV/0!:divZero</v>
      </c>
      <c t="str" s="28" r="AJ380">
        <f>J380/$X380</f>
        <v>#DIV/0!:divZero</v>
      </c>
      <c t="str" s="28" r="AK380">
        <f>K380/$X380</f>
        <v>#DIV/0!:divZero</v>
      </c>
      <c s="30" r="AL380">
        <v>1</v>
      </c>
    </row>
    <row r="381">
      <c s="30" r="A381">
        <v>380</v>
      </c>
      <c t="s" s="30" r="B381">
        <v>55</v>
      </c>
      <c s="62" r="C381">
        <v>41595</v>
      </c>
      <c s="52" r="D381">
        <v>0.833333333333333</v>
      </c>
      <c s="55" r="E381">
        <f>122*0.61</f>
        <v>74.42</v>
      </c>
      <c s="55" r="F381"/>
      <c t="s" s="55" r="G381">
        <v>39</v>
      </c>
      <c t="s" s="55" r="H381">
        <v>39</v>
      </c>
      <c t="s" s="55" r="I381">
        <v>39</v>
      </c>
      <c t="s" s="55" r="J381">
        <v>39</v>
      </c>
      <c t="s" s="55" r="K381">
        <v>39</v>
      </c>
      <c s="80" r="L381">
        <v>0</v>
      </c>
      <c s="79" r="M381">
        <v>0</v>
      </c>
      <c s="79" r="N381">
        <v>45.5</v>
      </c>
      <c s="32" r="O381">
        <f>SUMIF(Sellables!$A$2:$A$11482, $A381, Sellables!$G$2:$G$11482)</f>
        <v>35.8405</v>
      </c>
      <c s="32" r="P381">
        <f>SUMIF(Skills!$A$2:$A$9999, A381, Skills!$F$2:$F$9999)</f>
        <v>0</v>
      </c>
      <c s="14" r="Q381">
        <f>(N381+O381)+P381</f>
        <v>81.3405</v>
      </c>
      <c s="23" r="R381">
        <f>(E381+L381)-M381</f>
        <v>74.42</v>
      </c>
      <c s="70" r="S381">
        <f>Q381-R381</f>
        <v>6.92049999999999</v>
      </c>
      <c s="29" r="T381">
        <f> (Q381/R381) - 1</f>
        <v>0.092992475141091</v>
      </c>
      <c t="str" s="70" r="U381">
        <f>R381/X381</f>
        <v>#DIV/0!:divZero</v>
      </c>
      <c t="str" s="70" r="V381">
        <f>Q381/X381</f>
        <v>#DIV/0!:divZero</v>
      </c>
      <c t="s" s="30" r="W381">
        <v>98</v>
      </c>
      <c s="30" r="X381">
        <v>0</v>
      </c>
      <c t="s" s="30" r="Y381">
        <v>235</v>
      </c>
      <c t="s" s="30" r="Z381">
        <v>42</v>
      </c>
      <c s="30" r="AA381">
        <v>0</v>
      </c>
      <c s="30" r="AB381">
        <v>0</v>
      </c>
      <c s="30" r="AC381">
        <v>0</v>
      </c>
      <c s="30" r="AD381">
        <v>0</v>
      </c>
      <c s="30" r="AE381"/>
      <c t="str" s="8" r="AF381">
        <f>(I381+J381)/R381</f>
        <v>#VALUE!:notNumber:NA</v>
      </c>
      <c t="str" s="28" r="AG381">
        <f>G381/$X381</f>
        <v>#DIV/0!:divZero</v>
      </c>
      <c t="str" s="28" r="AH381">
        <f>H381/$X381</f>
        <v>#DIV/0!:divZero</v>
      </c>
      <c t="str" s="28" r="AI381">
        <f>I381/$X381</f>
        <v>#DIV/0!:divZero</v>
      </c>
      <c t="str" s="28" r="AJ381">
        <f>J381/$X381</f>
        <v>#DIV/0!:divZero</v>
      </c>
      <c t="str" s="28" r="AK381">
        <f>K381/$X381</f>
        <v>#DIV/0!:divZero</v>
      </c>
      <c s="30" r="AL381">
        <v>1</v>
      </c>
    </row>
    <row r="382">
      <c s="30" r="A382">
        <v>381</v>
      </c>
      <c t="s" s="30" r="B382">
        <v>55</v>
      </c>
      <c s="62" r="C382">
        <v>41595</v>
      </c>
      <c s="52" r="D382">
        <v>0.847222222222222</v>
      </c>
      <c s="55" r="E382">
        <f>96*0.76</f>
        <v>72.96</v>
      </c>
      <c s="55" r="F382"/>
      <c t="s" s="55" r="G382">
        <v>39</v>
      </c>
      <c t="s" s="55" r="H382">
        <v>39</v>
      </c>
      <c t="s" s="55" r="I382">
        <v>39</v>
      </c>
      <c t="s" s="55" r="J382">
        <v>39</v>
      </c>
      <c t="s" s="55" r="K382">
        <v>39</v>
      </c>
      <c s="80" r="L382">
        <v>0</v>
      </c>
      <c s="79" r="M382">
        <v>0</v>
      </c>
      <c s="79" r="N382">
        <v>57.04</v>
      </c>
      <c s="32" r="O382">
        <f>SUMIF(Sellables!$A$2:$A$11482, $A382, Sellables!$G$2:$G$11482)</f>
        <v>8.76125</v>
      </c>
      <c s="32" r="P382">
        <f>SUMIF(Skills!$A$2:$A$9999, A382, Skills!$F$2:$F$9999)</f>
        <v>0</v>
      </c>
      <c s="14" r="Q382">
        <f>(N382+O382)+P382</f>
        <v>65.80125</v>
      </c>
      <c s="23" r="R382">
        <f>(E382+L382)-M382</f>
        <v>72.96</v>
      </c>
      <c s="70" r="S382">
        <f>Q382-R382</f>
        <v>-7.15875000000001</v>
      </c>
      <c s="29" r="T382">
        <f> (Q382/R382) - 1</f>
        <v>-0.098118832236842</v>
      </c>
      <c t="str" s="70" r="U382">
        <f>R382/X382</f>
        <v>#DIV/0!:divZero</v>
      </c>
      <c t="str" s="70" r="V382">
        <f>Q382/X382</f>
        <v>#DIV/0!:divZero</v>
      </c>
      <c t="s" s="30" r="W382">
        <v>189</v>
      </c>
      <c s="30" r="X382">
        <v>0</v>
      </c>
      <c t="s" s="30" r="Y382">
        <v>235</v>
      </c>
      <c t="s" s="30" r="Z382">
        <v>42</v>
      </c>
      <c s="30" r="AA382">
        <v>0</v>
      </c>
      <c s="30" r="AB382">
        <v>0</v>
      </c>
      <c s="30" r="AC382">
        <v>0</v>
      </c>
      <c s="30" r="AD382">
        <v>0</v>
      </c>
      <c s="30" r="AE382"/>
      <c t="str" s="8" r="AF382">
        <f>(I382+J382)/R382</f>
        <v>#VALUE!:notNumber:NA</v>
      </c>
      <c t="str" s="28" r="AG382">
        <f>G382/$X382</f>
        <v>#DIV/0!:divZero</v>
      </c>
      <c t="str" s="28" r="AH382">
        <f>H382/$X382</f>
        <v>#DIV/0!:divZero</v>
      </c>
      <c t="str" s="28" r="AI382">
        <f>I382/$X382</f>
        <v>#DIV/0!:divZero</v>
      </c>
      <c t="str" s="28" r="AJ382">
        <f>J382/$X382</f>
        <v>#DIV/0!:divZero</v>
      </c>
      <c t="str" s="28" r="AK382">
        <f>K382/$X382</f>
        <v>#DIV/0!:divZero</v>
      </c>
      <c s="30" r="AL382">
        <v>1</v>
      </c>
    </row>
    <row r="383">
      <c s="30" r="A383">
        <v>382</v>
      </c>
      <c t="s" s="30" r="B383">
        <v>38</v>
      </c>
      <c s="62" r="C383">
        <v>41595</v>
      </c>
      <c s="52" r="D383">
        <v>0.868055555555556</v>
      </c>
      <c s="55" r="E383">
        <v>595</v>
      </c>
      <c s="55" r="F383"/>
      <c t="s" s="55" r="G383">
        <v>39</v>
      </c>
      <c t="s" s="55" r="H383">
        <v>39</v>
      </c>
      <c t="s" s="55" r="I383">
        <v>39</v>
      </c>
      <c t="s" s="55" r="J383">
        <v>39</v>
      </c>
      <c t="s" s="55" r="K383">
        <v>39</v>
      </c>
      <c s="80" r="L383">
        <v>187.45</v>
      </c>
      <c s="79" r="M383">
        <v>159.7</v>
      </c>
      <c s="79" r="N383">
        <v>344.88</v>
      </c>
      <c s="32" r="O383">
        <f>SUMIF(Sellables!$A$2:$A$11482, $A383, Sellables!$G$2:$G$11482)</f>
        <v>102</v>
      </c>
      <c s="32" r="P383">
        <f>SUMIF(Skills!$A$2:$A$9999, A383, Skills!$F$2:$F$9999)</f>
        <v>0</v>
      </c>
      <c s="14" r="Q383">
        <f>(N383+O383)+P383</f>
        <v>446.88</v>
      </c>
      <c s="23" r="R383">
        <f>(E383+L383)-M383</f>
        <v>622.75</v>
      </c>
      <c s="70" r="S383">
        <f>Q383-R383</f>
        <v>-175.87</v>
      </c>
      <c s="29" r="T383">
        <f> (Q383/R383) - 1</f>
        <v>-0.282408671216379</v>
      </c>
      <c s="70" r="U383">
        <f>R383/X383</f>
        <v>4.865234375</v>
      </c>
      <c s="70" r="V383">
        <f>Q383/X383</f>
        <v>3.49125</v>
      </c>
      <c t="s" s="30" r="W383">
        <v>234</v>
      </c>
      <c s="30" r="X383">
        <v>128</v>
      </c>
      <c t="s" s="30" r="Y383">
        <v>235</v>
      </c>
      <c t="s" s="30" r="Z383">
        <v>42</v>
      </c>
      <c s="30" r="AA383">
        <v>0</v>
      </c>
      <c s="30" r="AB383">
        <v>0</v>
      </c>
      <c s="30" r="AC383">
        <v>0</v>
      </c>
      <c s="30" r="AD383">
        <v>0</v>
      </c>
      <c s="30" r="AE383"/>
      <c t="str" s="8" r="AF383">
        <f>(I383+J383)/R383</f>
        <v>#VALUE!:notNumber:NA</v>
      </c>
      <c t="str" s="28" r="AG383">
        <f>G383/$X383</f>
        <v>#VALUE!:notNumber:NA</v>
      </c>
      <c t="str" s="28" r="AH383">
        <f>H383/$X383</f>
        <v>#VALUE!:notNumber:NA</v>
      </c>
      <c t="str" s="28" r="AI383">
        <f>I383/$X383</f>
        <v>#VALUE!:notNumber:NA</v>
      </c>
      <c t="str" s="28" r="AJ383">
        <f>J383/$X383</f>
        <v>#VALUE!:notNumber:NA</v>
      </c>
      <c t="str" s="28" r="AK383">
        <f>K383/$X383</f>
        <v>#VALUE!:notNumber:NA</v>
      </c>
      <c s="30" r="AL383">
        <v>1</v>
      </c>
    </row>
    <row r="384">
      <c s="30" r="A384">
        <v>383</v>
      </c>
      <c t="s" s="30" r="B384">
        <v>55</v>
      </c>
      <c s="62" r="C384">
        <v>41595</v>
      </c>
      <c s="52" r="D384">
        <v>0.9375</v>
      </c>
      <c s="55" r="E384">
        <f>60*0.31</f>
        <v>18.6</v>
      </c>
      <c s="55" r="F384"/>
      <c t="s" s="55" r="G384">
        <v>39</v>
      </c>
      <c t="s" s="55" r="H384">
        <v>39</v>
      </c>
      <c t="s" s="55" r="I384">
        <v>39</v>
      </c>
      <c t="s" s="55" r="J384">
        <v>39</v>
      </c>
      <c t="s" s="55" r="K384">
        <v>39</v>
      </c>
      <c s="80" r="L384">
        <v>0</v>
      </c>
      <c s="79" r="M384">
        <v>0</v>
      </c>
      <c s="79" r="N384">
        <v>12.39</v>
      </c>
      <c s="32" r="O384">
        <f>SUMIF(Sellables!$A$2:$A$11482, $A384, Sellables!$G$2:$G$11482)</f>
        <v>48.9125</v>
      </c>
      <c s="32" r="P384">
        <f>SUMIF(Skills!$A$2:$A$9999, A384, Skills!$F$2:$F$9999)</f>
        <v>0</v>
      </c>
      <c s="14" r="Q384">
        <f>(N384+O384)+P384</f>
        <v>61.3025</v>
      </c>
      <c s="23" r="R384">
        <f>(E384+L384)-M384</f>
        <v>18.6</v>
      </c>
      <c s="70" r="S384">
        <f>Q384-R384</f>
        <v>42.7025</v>
      </c>
      <c s="29" r="T384">
        <f> (Q384/R384) - 1</f>
        <v>2.29583333333333</v>
      </c>
      <c t="str" s="70" r="U384">
        <f>R384/X384</f>
        <v>#DIV/0!:divZero</v>
      </c>
      <c t="str" s="70" r="V384">
        <f>Q384/X384</f>
        <v>#DIV/0!:divZero</v>
      </c>
      <c t="s" s="30" r="W384">
        <v>133</v>
      </c>
      <c s="30" r="X384">
        <v>0</v>
      </c>
      <c t="s" s="30" r="Y384">
        <v>235</v>
      </c>
      <c t="s" s="30" r="Z384">
        <v>42</v>
      </c>
      <c s="30" r="AA384">
        <v>0</v>
      </c>
      <c s="30" r="AB384">
        <v>0</v>
      </c>
      <c s="30" r="AC384">
        <v>0</v>
      </c>
      <c s="30" r="AD384">
        <v>0</v>
      </c>
      <c s="30" r="AE384"/>
      <c t="str" s="8" r="AF384">
        <f>(I384+J384)/R384</f>
        <v>#VALUE!:notNumber:NA</v>
      </c>
      <c t="str" s="28" r="AG384">
        <f>G384/$X384</f>
        <v>#DIV/0!:divZero</v>
      </c>
      <c t="str" s="28" r="AH384">
        <f>H384/$X384</f>
        <v>#DIV/0!:divZero</v>
      </c>
      <c t="str" s="28" r="AI384">
        <f>I384/$X384</f>
        <v>#DIV/0!:divZero</v>
      </c>
      <c t="str" s="28" r="AJ384">
        <f>J384/$X384</f>
        <v>#DIV/0!:divZero</v>
      </c>
      <c t="str" s="28" r="AK384">
        <f>K384/$X384</f>
        <v>#DIV/0!:divZero</v>
      </c>
      <c s="30" r="AL384">
        <v>1</v>
      </c>
    </row>
    <row r="385">
      <c s="30" r="A385">
        <v>384</v>
      </c>
      <c t="s" s="30" r="B385">
        <v>38</v>
      </c>
      <c s="62" r="C385">
        <v>41595</v>
      </c>
      <c s="52" r="D385">
        <v>0.947916666666667</v>
      </c>
      <c s="55" r="E385">
        <v>545</v>
      </c>
      <c s="55" r="F385"/>
      <c t="s" s="55" r="G385">
        <v>39</v>
      </c>
      <c t="s" s="55" r="H385">
        <v>39</v>
      </c>
      <c t="s" s="55" r="I385">
        <v>39</v>
      </c>
      <c t="s" s="55" r="J385">
        <v>39</v>
      </c>
      <c t="s" s="55" r="K385">
        <v>39</v>
      </c>
      <c s="80" r="L385">
        <v>185.3</v>
      </c>
      <c s="79" r="M385">
        <v>78.27</v>
      </c>
      <c s="79" r="N385">
        <v>427.3</v>
      </c>
      <c s="32" r="O385">
        <f>SUMIF(Sellables!$A$2:$A$11482, $A385, Sellables!$G$2:$G$11482)</f>
        <v>351.272</v>
      </c>
      <c s="32" r="P385">
        <f>SUMIF(Skills!$A$2:$A$9999, A385, Skills!$F$2:$F$9999)</f>
        <v>0</v>
      </c>
      <c s="14" r="Q385">
        <f>(N385+O385)+P385</f>
        <v>778.572</v>
      </c>
      <c s="23" r="R385">
        <f>(E385+L385)-M385</f>
        <v>652.03</v>
      </c>
      <c s="70" r="S385">
        <f>Q385-R385</f>
        <v>126.542</v>
      </c>
      <c s="29" r="T385">
        <f> (Q385/R385) - 1</f>
        <v>0.194073892305569</v>
      </c>
      <c s="70" r="U385">
        <f>R385/X385</f>
        <v>5.77017699115044</v>
      </c>
      <c s="70" r="V385">
        <f>Q385/X385</f>
        <v>6.89001769911504</v>
      </c>
      <c t="s" s="30" r="W385">
        <v>234</v>
      </c>
      <c s="30" r="X385">
        <v>113</v>
      </c>
      <c t="s" s="30" r="Y385">
        <v>235</v>
      </c>
      <c t="s" s="30" r="Z385">
        <v>42</v>
      </c>
      <c s="30" r="AA385">
        <v>0</v>
      </c>
      <c s="30" r="AB385">
        <v>0</v>
      </c>
      <c s="30" r="AC385">
        <v>3</v>
      </c>
      <c s="30" r="AD385">
        <v>0</v>
      </c>
      <c s="30" r="AE385"/>
      <c t="str" s="8" r="AF385">
        <f>(I385+J385)/R385</f>
        <v>#VALUE!:notNumber:NA</v>
      </c>
      <c t="str" s="28" r="AG385">
        <f>G385/$X385</f>
        <v>#VALUE!:notNumber:NA</v>
      </c>
      <c t="str" s="28" r="AH385">
        <f>H385/$X385</f>
        <v>#VALUE!:notNumber:NA</v>
      </c>
      <c t="str" s="28" r="AI385">
        <f>I385/$X385</f>
        <v>#VALUE!:notNumber:NA</v>
      </c>
      <c t="str" s="28" r="AJ385">
        <f>J385/$X385</f>
        <v>#VALUE!:notNumber:NA</v>
      </c>
      <c t="str" s="28" r="AK385">
        <f>K385/$X385</f>
        <v>#VALUE!:notNumber:NA</v>
      </c>
      <c s="30" r="AL385">
        <v>1</v>
      </c>
    </row>
    <row r="386">
      <c s="30" r="A386">
        <v>385</v>
      </c>
      <c t="s" s="30" r="B386">
        <v>55</v>
      </c>
      <c s="62" r="C386">
        <v>41596</v>
      </c>
      <c s="52" r="D386">
        <v>0.416666666666667</v>
      </c>
      <c s="55" r="E386">
        <f>1280*0.07</f>
        <v>89.6</v>
      </c>
      <c s="55" r="F386"/>
      <c t="s" s="55" r="G386">
        <v>39</v>
      </c>
      <c t="s" s="55" r="H386">
        <v>39</v>
      </c>
      <c t="s" s="55" r="I386">
        <v>39</v>
      </c>
      <c t="s" s="55" r="J386">
        <v>39</v>
      </c>
      <c t="s" s="55" r="K386">
        <v>39</v>
      </c>
      <c s="80" r="L386">
        <v>0</v>
      </c>
      <c s="79" r="M386">
        <v>0</v>
      </c>
      <c s="79" r="N386">
        <v>43.58</v>
      </c>
      <c s="32" r="O386">
        <f>SUMIF(Sellables!$A$2:$A$11482, $A386, Sellables!$G$2:$G$11482)</f>
        <v>26.64925</v>
      </c>
      <c s="32" r="P386">
        <f>SUMIF(Skills!$A$2:$A$9999, A386, Skills!$F$2:$F$9999)</f>
        <v>0</v>
      </c>
      <c s="14" r="Q386">
        <f>(N386+O386)+P386</f>
        <v>70.22925</v>
      </c>
      <c s="23" r="R386">
        <f>(E386+L386)-M386</f>
        <v>89.6</v>
      </c>
      <c s="70" r="S386">
        <f>Q386-R386</f>
        <v>-19.37075</v>
      </c>
      <c s="29" r="T386">
        <f> (Q386/R386) - 1</f>
        <v>-0.21619140625</v>
      </c>
      <c t="str" s="70" r="U386">
        <f>R386/X386</f>
        <v>#DIV/0!:divZero</v>
      </c>
      <c t="str" s="70" r="V386">
        <f>Q386/X386</f>
        <v>#DIV/0!:divZero</v>
      </c>
      <c t="s" s="30" r="W386">
        <v>190</v>
      </c>
      <c s="30" r="X386">
        <v>0</v>
      </c>
      <c t="s" s="30" r="Y386">
        <v>235</v>
      </c>
      <c t="s" s="30" r="Z386">
        <v>42</v>
      </c>
      <c s="30" r="AA386">
        <v>0</v>
      </c>
      <c s="30" r="AB386">
        <v>0</v>
      </c>
      <c s="30" r="AC386">
        <v>0</v>
      </c>
      <c s="30" r="AD386">
        <v>0</v>
      </c>
      <c s="30" r="AE386"/>
      <c t="str" s="8" r="AF386">
        <f>(I386+J386)/R386</f>
        <v>#VALUE!:notNumber:NA</v>
      </c>
      <c t="str" s="28" r="AG386">
        <f>G386/$X386</f>
        <v>#DIV/0!:divZero</v>
      </c>
      <c t="str" s="28" r="AH386">
        <f>H386/$X386</f>
        <v>#DIV/0!:divZero</v>
      </c>
      <c t="str" s="28" r="AI386">
        <f>I386/$X386</f>
        <v>#DIV/0!:divZero</v>
      </c>
      <c t="str" s="28" r="AJ386">
        <f>J386/$X386</f>
        <v>#DIV/0!:divZero</v>
      </c>
      <c t="str" s="28" r="AK386">
        <f>K386/$X386</f>
        <v>#DIV/0!:divZero</v>
      </c>
      <c s="30" r="AL386">
        <v>1</v>
      </c>
    </row>
    <row r="387">
      <c s="30" r="A387">
        <v>386</v>
      </c>
      <c t="s" s="30" r="B387">
        <v>55</v>
      </c>
      <c s="62" r="C387">
        <v>41596</v>
      </c>
      <c s="52" r="D387">
        <v>0.6875</v>
      </c>
      <c s="55" r="E387">
        <v>800</v>
      </c>
      <c s="55" r="F387"/>
      <c t="s" s="55" r="G387">
        <v>39</v>
      </c>
      <c t="s" s="55" r="H387">
        <v>39</v>
      </c>
      <c t="s" s="55" r="I387">
        <v>39</v>
      </c>
      <c t="s" s="55" r="J387">
        <v>39</v>
      </c>
      <c t="s" s="55" r="K387">
        <v>39</v>
      </c>
      <c s="80" r="L387">
        <f>((58.21+103.27)+66.37)+80</f>
        <v>307.85</v>
      </c>
      <c s="79" r="M387">
        <f>54+281.66</f>
        <v>335.66</v>
      </c>
      <c s="79" r="N387">
        <f>(648.97+30.04)+271.60</f>
        <v>950.61</v>
      </c>
      <c s="32" r="O387">
        <f>SUMIF(Sellables!$A$2:$A$11482, $A387, Sellables!$G$2:$G$11482)</f>
        <v>77.5</v>
      </c>
      <c s="32" r="P387">
        <f>SUMIF(Skills!$A$2:$A$9999, A387, Skills!$F$2:$F$9999)</f>
        <v>0</v>
      </c>
      <c s="14" r="Q387">
        <f>(N387+O387)+P387</f>
        <v>1028.11</v>
      </c>
      <c s="23" r="R387">
        <f>(E387+L387)-M387</f>
        <v>772.19</v>
      </c>
      <c s="70" r="S387">
        <f>Q387-R387</f>
        <v>255.92</v>
      </c>
      <c s="29" r="T387">
        <f> (Q387/R387) - 1</f>
        <v>0.331421023323276</v>
      </c>
      <c t="str" s="70" r="U387">
        <f>R387/X387</f>
        <v>#DIV/0!:divZero</v>
      </c>
      <c t="str" s="70" r="V387">
        <f>Q387/X387</f>
        <v>#DIV/0!:divZero</v>
      </c>
      <c t="s" s="30" r="W387">
        <v>259</v>
      </c>
      <c s="30" r="X387">
        <v>0</v>
      </c>
      <c t="s" s="30" r="Y387">
        <v>260</v>
      </c>
      <c t="s" s="30" r="Z387">
        <v>42</v>
      </c>
      <c s="30" r="AA387">
        <v>0</v>
      </c>
      <c s="30" r="AB387">
        <v>0</v>
      </c>
      <c s="30" r="AC387">
        <v>5</v>
      </c>
      <c s="30" r="AD387">
        <v>0</v>
      </c>
      <c s="30" r="AE387"/>
      <c t="str" s="8" r="AF387">
        <f>(I387+J387)/R387</f>
        <v>#VALUE!:notNumber:NA</v>
      </c>
      <c t="str" s="28" r="AG387">
        <f>G387/$X387</f>
        <v>#DIV/0!:divZero</v>
      </c>
      <c t="str" s="28" r="AH387">
        <f>H387/$X387</f>
        <v>#DIV/0!:divZero</v>
      </c>
      <c t="str" s="28" r="AI387">
        <f>I387/$X387</f>
        <v>#DIV/0!:divZero</v>
      </c>
      <c t="str" s="28" r="AJ387">
        <f>J387/$X387</f>
        <v>#DIV/0!:divZero</v>
      </c>
      <c t="str" s="28" r="AK387">
        <f>K387/$X387</f>
        <v>#DIV/0!:divZero</v>
      </c>
      <c s="30" r="AL387">
        <v>1</v>
      </c>
    </row>
    <row r="388">
      <c s="30" r="A388">
        <v>387</v>
      </c>
      <c t="s" s="30" r="B388">
        <v>38</v>
      </c>
      <c s="62" r="C388">
        <v>41596</v>
      </c>
      <c s="52" r="D388">
        <v>0.885416666666667</v>
      </c>
      <c s="55" r="E388">
        <v>550</v>
      </c>
      <c s="55" r="F388"/>
      <c t="s" s="55" r="G388">
        <v>39</v>
      </c>
      <c t="s" s="55" r="H388">
        <v>39</v>
      </c>
      <c t="s" s="55" r="I388">
        <v>39</v>
      </c>
      <c t="s" s="55" r="J388">
        <v>39</v>
      </c>
      <c t="s" s="55" r="K388">
        <v>39</v>
      </c>
      <c s="80" r="L388">
        <v>197.47</v>
      </c>
      <c s="79" r="M388">
        <v>67.33</v>
      </c>
      <c s="79" r="N388">
        <v>652.41</v>
      </c>
      <c s="32" r="O388">
        <f>SUMIF(Sellables!$A$2:$A$11482, $A388, Sellables!$G$2:$G$11482)</f>
        <v>95.32</v>
      </c>
      <c s="32" r="P388">
        <f>SUMIF(Skills!$A$2:$A$9999, A388, Skills!$F$2:$F$9999)</f>
        <v>0</v>
      </c>
      <c s="14" r="Q388">
        <f>(N388+O388)+P388</f>
        <v>747.73</v>
      </c>
      <c s="23" r="R388">
        <f>(E388+L388)-M388</f>
        <v>680.14</v>
      </c>
      <c s="70" r="S388">
        <f>Q388-R388</f>
        <v>67.59</v>
      </c>
      <c s="29" r="T388">
        <f> (Q388/R388) - 1</f>
        <v>0.099376598935513</v>
      </c>
      <c s="70" r="U388">
        <f>R388/X388</f>
        <v>6.23981651376147</v>
      </c>
      <c s="70" r="V388">
        <f>Q388/X388</f>
        <v>6.85990825688073</v>
      </c>
      <c t="s" s="30" r="W388">
        <v>234</v>
      </c>
      <c s="30" r="X388">
        <v>109</v>
      </c>
      <c t="s" s="30" r="Y388">
        <v>235</v>
      </c>
      <c t="s" s="30" r="Z388">
        <v>42</v>
      </c>
      <c s="30" r="AA388">
        <v>0</v>
      </c>
      <c s="30" r="AB388">
        <v>1</v>
      </c>
      <c s="30" r="AC388">
        <v>3</v>
      </c>
      <c s="30" r="AD388">
        <v>0</v>
      </c>
      <c s="30" r="AE388"/>
      <c t="str" s="8" r="AF388">
        <f>(I388+J388)/R388</f>
        <v>#VALUE!:notNumber:NA</v>
      </c>
      <c t="str" s="28" r="AG388">
        <f>G388/$X388</f>
        <v>#VALUE!:notNumber:NA</v>
      </c>
      <c t="str" s="28" r="AH388">
        <f>H388/$X388</f>
        <v>#VALUE!:notNumber:NA</v>
      </c>
      <c t="str" s="28" r="AI388">
        <f>I388/$X388</f>
        <v>#VALUE!:notNumber:NA</v>
      </c>
      <c t="str" s="28" r="AJ388">
        <f>J388/$X388</f>
        <v>#VALUE!:notNumber:NA</v>
      </c>
      <c t="str" s="28" r="AK388">
        <f>K388/$X388</f>
        <v>#VALUE!:notNumber:NA</v>
      </c>
      <c s="30" r="AL388">
        <v>1</v>
      </c>
    </row>
    <row r="389">
      <c s="30" r="A389">
        <v>388</v>
      </c>
      <c t="s" s="30" r="B389">
        <v>38</v>
      </c>
      <c s="62" r="C389">
        <v>41596</v>
      </c>
      <c s="52" r="D389">
        <v>0.948611111111111</v>
      </c>
      <c s="55" r="E389">
        <v>550</v>
      </c>
      <c s="55" r="F389"/>
      <c t="s" s="55" r="G389">
        <v>39</v>
      </c>
      <c t="s" s="55" r="H389">
        <v>39</v>
      </c>
      <c t="s" s="55" r="I389">
        <v>39</v>
      </c>
      <c t="s" s="55" r="J389">
        <v>39</v>
      </c>
      <c t="s" s="55" r="K389">
        <v>39</v>
      </c>
      <c s="80" r="L389">
        <v>199.05</v>
      </c>
      <c s="79" r="M389">
        <v>155.67</v>
      </c>
      <c s="79" r="N389">
        <v>365.21</v>
      </c>
      <c s="32" r="O389">
        <f>SUMIF(Sellables!$A$2:$A$11482, $A389, Sellables!$G$2:$G$11482)</f>
        <v>0</v>
      </c>
      <c s="32" r="P389">
        <f>SUMIF(Skills!$A$2:$A$9999, A389, Skills!$F$2:$F$9999)</f>
        <v>0</v>
      </c>
      <c s="14" r="Q389">
        <f>(N389+O389)+P389</f>
        <v>365.21</v>
      </c>
      <c s="23" r="R389">
        <f>(E389+L389)-M389</f>
        <v>593.38</v>
      </c>
      <c s="70" r="S389">
        <f>Q389-R389</f>
        <v>-228.17</v>
      </c>
      <c s="29" r="T389">
        <f> (Q389/R389) - 1</f>
        <v>-0.384525936162324</v>
      </c>
      <c s="70" r="U389">
        <f>R389/X389</f>
        <v>5.8750495049505</v>
      </c>
      <c s="70" r="V389">
        <f>Q389/X389</f>
        <v>3.61594059405941</v>
      </c>
      <c t="s" s="30" r="W389">
        <v>234</v>
      </c>
      <c s="30" r="X389">
        <v>101</v>
      </c>
      <c t="s" s="30" r="Y389">
        <v>235</v>
      </c>
      <c t="s" s="30" r="Z389">
        <v>42</v>
      </c>
      <c s="30" r="AA389">
        <v>0</v>
      </c>
      <c s="30" r="AB389">
        <v>0</v>
      </c>
      <c s="30" r="AC389">
        <v>1</v>
      </c>
      <c s="30" r="AD389">
        <v>0</v>
      </c>
      <c s="30" r="AE389"/>
      <c t="str" s="8" r="AF389">
        <f>(I389+J389)/R389</f>
        <v>#VALUE!:notNumber:NA</v>
      </c>
      <c t="str" s="28" r="AG389">
        <f>G389/$X389</f>
        <v>#VALUE!:notNumber:NA</v>
      </c>
      <c t="str" s="28" r="AH389">
        <f>H389/$X389</f>
        <v>#VALUE!:notNumber:NA</v>
      </c>
      <c t="str" s="28" r="AI389">
        <f>I389/$X389</f>
        <v>#VALUE!:notNumber:NA</v>
      </c>
      <c t="str" s="28" r="AJ389">
        <f>J389/$X389</f>
        <v>#VALUE!:notNumber:NA</v>
      </c>
      <c t="str" s="28" r="AK389">
        <f>K389/$X389</f>
        <v>#VALUE!:notNumber:NA</v>
      </c>
      <c s="30" r="AL389">
        <v>1</v>
      </c>
    </row>
    <row r="390">
      <c s="30" r="A390">
        <v>389</v>
      </c>
      <c t="s" s="30" r="B390">
        <v>38</v>
      </c>
      <c s="62" r="C390">
        <v>41597</v>
      </c>
      <c s="52" r="D390">
        <v>0.684027777777778</v>
      </c>
      <c s="55" r="E390">
        <v>540</v>
      </c>
      <c s="55" r="F390"/>
      <c t="s" s="55" r="G390">
        <v>39</v>
      </c>
      <c t="s" s="55" r="H390">
        <v>39</v>
      </c>
      <c t="s" s="55" r="I390">
        <v>39</v>
      </c>
      <c t="s" s="55" r="J390">
        <v>39</v>
      </c>
      <c t="s" s="55" r="K390">
        <v>39</v>
      </c>
      <c s="80" r="L390">
        <v>101.38</v>
      </c>
      <c s="79" r="M390">
        <v>343.16</v>
      </c>
      <c s="79" r="N390">
        <v>188.5</v>
      </c>
      <c s="32" r="O390">
        <f>SUMIF(Sellables!$A$2:$A$11482, $A390, Sellables!$G$2:$G$11482)</f>
        <v>0</v>
      </c>
      <c s="32" r="P390">
        <f>SUMIF(Skills!$A$2:$A$9999, A390, Skills!$F$2:$F$9999)</f>
        <v>0</v>
      </c>
      <c s="14" r="Q390">
        <f>(N390+O390)+P390</f>
        <v>188.5</v>
      </c>
      <c s="23" r="R390">
        <f>(E390+L390)-M390</f>
        <v>298.22</v>
      </c>
      <c s="70" r="S390">
        <f>Q390-R390</f>
        <v>-109.72</v>
      </c>
      <c s="29" r="T390">
        <f> (Q390/R390) - 1</f>
        <v>-0.367916303400174</v>
      </c>
      <c t="str" s="70" r="U390">
        <f>R390/X390</f>
        <v>#DIV/0!:divZero</v>
      </c>
      <c t="str" s="70" r="V390">
        <f>Q390/X390</f>
        <v>#DIV/0!:divZero</v>
      </c>
      <c t="s" s="30" r="W390">
        <v>234</v>
      </c>
      <c s="30" r="X390">
        <v>0</v>
      </c>
      <c t="s" s="30" r="Y390">
        <v>235</v>
      </c>
      <c t="s" s="30" r="Z390">
        <v>42</v>
      </c>
      <c s="30" r="AA390">
        <v>0</v>
      </c>
      <c s="30" r="AB390">
        <v>0</v>
      </c>
      <c s="30" r="AC390">
        <v>0</v>
      </c>
      <c s="30" r="AD390">
        <v>0</v>
      </c>
      <c s="30" r="AE390"/>
      <c t="str" s="8" r="AF390">
        <f>(I390+J390)/R390</f>
        <v>#VALUE!:notNumber:NA</v>
      </c>
      <c t="str" s="28" r="AG390">
        <f>G390/$X390</f>
        <v>#DIV/0!:divZero</v>
      </c>
      <c t="str" s="28" r="AH390">
        <f>H390/$X390</f>
        <v>#DIV/0!:divZero</v>
      </c>
      <c t="str" s="28" r="AI390">
        <f>I390/$X390</f>
        <v>#DIV/0!:divZero</v>
      </c>
      <c t="str" s="28" r="AJ390">
        <f>J390/$X390</f>
        <v>#DIV/0!:divZero</v>
      </c>
      <c t="str" s="28" r="AK390">
        <f>K390/$X390</f>
        <v>#DIV/0!:divZero</v>
      </c>
      <c s="30" r="AL390">
        <v>1</v>
      </c>
    </row>
    <row r="391">
      <c s="30" r="A391">
        <v>390</v>
      </c>
      <c t="s" s="30" r="B391">
        <v>38</v>
      </c>
      <c s="62" r="C391">
        <v>41597</v>
      </c>
      <c s="52" r="D391">
        <v>0.833333333333333</v>
      </c>
      <c s="55" r="E391">
        <v>490</v>
      </c>
      <c s="55" r="F391"/>
      <c t="s" s="55" r="G391">
        <v>39</v>
      </c>
      <c t="s" s="55" r="H391">
        <v>39</v>
      </c>
      <c t="s" s="55" r="I391">
        <v>39</v>
      </c>
      <c t="s" s="55" r="J391">
        <v>39</v>
      </c>
      <c t="s" s="55" r="K391">
        <v>39</v>
      </c>
      <c s="80" r="L391">
        <v>169.08</v>
      </c>
      <c s="79" r="M391">
        <v>173.13</v>
      </c>
      <c s="79" r="N391">
        <v>264.84</v>
      </c>
      <c s="32" r="O391">
        <f>SUMIF(Sellables!$A$2:$A$11482, $A391, Sellables!$G$2:$G$11482)</f>
        <v>0</v>
      </c>
      <c s="32" r="P391">
        <f>SUMIF(Skills!$A$2:$A$9999, A391, Skills!$F$2:$F$9999)</f>
        <v>0</v>
      </c>
      <c s="14" r="Q391">
        <f>(N391+O391)+P391</f>
        <v>264.84</v>
      </c>
      <c s="23" r="R391">
        <f>(E391+L391)-M391</f>
        <v>485.95</v>
      </c>
      <c s="70" r="S391">
        <f>Q391-R391</f>
        <v>-221.11</v>
      </c>
      <c s="29" r="T391">
        <f> (Q391/R391) - 1</f>
        <v>-0.455005659018418</v>
      </c>
      <c t="str" s="70" r="U391">
        <f>R391/X391</f>
        <v>#DIV/0!:divZero</v>
      </c>
      <c t="str" s="70" r="V391">
        <f>Q391/X391</f>
        <v>#DIV/0!:divZero</v>
      </c>
      <c t="s" s="30" r="W391">
        <v>237</v>
      </c>
      <c s="30" r="X391">
        <v>0</v>
      </c>
      <c t="s" s="30" r="Y391">
        <v>238</v>
      </c>
      <c t="s" s="30" r="Z391">
        <v>42</v>
      </c>
      <c s="30" r="AA391">
        <v>0</v>
      </c>
      <c s="30" r="AB391">
        <v>0</v>
      </c>
      <c s="30" r="AC391">
        <v>0</v>
      </c>
      <c s="30" r="AD391">
        <v>0</v>
      </c>
      <c s="30" r="AE391"/>
      <c t="str" s="8" r="AF391">
        <f>(I391+J391)/R391</f>
        <v>#VALUE!:notNumber:NA</v>
      </c>
      <c t="str" s="28" r="AG391">
        <f>G391/$X391</f>
        <v>#DIV/0!:divZero</v>
      </c>
      <c t="str" s="28" r="AH391">
        <f>H391/$X391</f>
        <v>#DIV/0!:divZero</v>
      </c>
      <c t="str" s="28" r="AI391">
        <f>I391/$X391</f>
        <v>#DIV/0!:divZero</v>
      </c>
      <c t="str" s="28" r="AJ391">
        <f>J391/$X391</f>
        <v>#DIV/0!:divZero</v>
      </c>
      <c t="str" s="28" r="AK391">
        <f>K391/$X391</f>
        <v>#DIV/0!:divZero</v>
      </c>
      <c s="30" r="AL391">
        <v>1</v>
      </c>
    </row>
    <row r="392">
      <c s="30" r="A392">
        <v>391</v>
      </c>
      <c t="s" s="30" r="B392">
        <v>38</v>
      </c>
      <c s="62" r="C392">
        <v>41599</v>
      </c>
      <c s="52" r="D392">
        <v>0.75</v>
      </c>
      <c s="55" r="E392">
        <v>500</v>
      </c>
      <c s="55" r="F392"/>
      <c t="s" s="55" r="G392">
        <v>39</v>
      </c>
      <c t="s" s="55" r="H392">
        <v>39</v>
      </c>
      <c t="s" s="55" r="I392">
        <v>39</v>
      </c>
      <c t="s" s="55" r="J392">
        <v>39</v>
      </c>
      <c t="s" s="55" r="K392">
        <v>39</v>
      </c>
      <c s="80" r="L392">
        <v>181.22</v>
      </c>
      <c s="79" r="M392">
        <v>139.98</v>
      </c>
      <c s="79" r="N392">
        <v>299.23</v>
      </c>
      <c s="32" r="O392">
        <f>SUMIF(Sellables!$A$2:$A$11482, $A392, Sellables!$G$2:$G$11482)</f>
        <v>25.65</v>
      </c>
      <c s="32" r="P392">
        <f>SUMIF(Skills!$A$2:$A$9999, A392, Skills!$F$2:$F$9999)</f>
        <v>0</v>
      </c>
      <c s="14" r="Q392">
        <f>(N392+O392)+P392</f>
        <v>324.88</v>
      </c>
      <c s="23" r="R392">
        <f>(E392+L392)-M392</f>
        <v>541.24</v>
      </c>
      <c s="70" r="S392">
        <f>Q392-R392</f>
        <v>-216.36</v>
      </c>
      <c s="29" r="T392">
        <f> (Q392/R392) - 1</f>
        <v>-0.399748725149656</v>
      </c>
      <c t="str" s="70" r="U392">
        <f>R392/X392</f>
        <v>#DIV/0!:divZero</v>
      </c>
      <c t="str" s="70" r="V392">
        <f>Q392/X392</f>
        <v>#DIV/0!:divZero</v>
      </c>
      <c t="s" s="30" r="W392">
        <v>237</v>
      </c>
      <c s="30" r="X392">
        <v>0</v>
      </c>
      <c t="s" s="30" r="Y392">
        <v>238</v>
      </c>
      <c t="s" s="30" r="Z392">
        <v>42</v>
      </c>
      <c s="30" r="AA392">
        <v>0</v>
      </c>
      <c s="30" r="AB392">
        <v>0</v>
      </c>
      <c s="30" r="AC392">
        <v>1</v>
      </c>
      <c s="30" r="AD392">
        <v>0</v>
      </c>
      <c s="30" r="AE392"/>
      <c t="str" s="8" r="AF392">
        <f>(I392+J392)/R392</f>
        <v>#VALUE!:notNumber:NA</v>
      </c>
      <c t="str" s="28" r="AG392">
        <f>G392/$X392</f>
        <v>#DIV/0!:divZero</v>
      </c>
      <c t="str" s="28" r="AH392">
        <f>H392/$X392</f>
        <v>#DIV/0!:divZero</v>
      </c>
      <c t="str" s="28" r="AI392">
        <f>I392/$X392</f>
        <v>#DIV/0!:divZero</v>
      </c>
      <c t="str" s="28" r="AJ392">
        <f>J392/$X392</f>
        <v>#DIV/0!:divZero</v>
      </c>
      <c t="str" s="28" r="AK392">
        <f>K392/$X392</f>
        <v>#DIV/0!:divZero</v>
      </c>
      <c s="30" r="AL392">
        <v>1</v>
      </c>
    </row>
    <row r="393">
      <c s="30" r="A393">
        <v>392</v>
      </c>
      <c t="s" s="30" r="B393">
        <v>38</v>
      </c>
      <c s="62" r="C393">
        <v>41599</v>
      </c>
      <c s="52" r="D393">
        <v>0.791666666666667</v>
      </c>
      <c s="55" r="E393">
        <v>450</v>
      </c>
      <c s="55" r="F393"/>
      <c t="s" s="55" r="G393">
        <v>39</v>
      </c>
      <c t="s" s="55" r="H393">
        <v>39</v>
      </c>
      <c t="s" s="55" r="I393">
        <v>39</v>
      </c>
      <c t="s" s="55" r="J393">
        <v>39</v>
      </c>
      <c t="s" s="55" r="K393">
        <v>39</v>
      </c>
      <c s="80" r="L393">
        <v>20.24</v>
      </c>
      <c s="79" r="M393">
        <v>384.61</v>
      </c>
      <c s="79" r="N393">
        <v>107.66</v>
      </c>
      <c s="32" r="O393">
        <f>SUMIF(Sellables!$A$2:$A$11482, $A393, Sellables!$G$2:$G$11482)</f>
        <v>0</v>
      </c>
      <c s="32" r="P393">
        <f>SUMIF(Skills!$A$2:$A$9999, A393, Skills!$F$2:$F$9999)</f>
        <v>0</v>
      </c>
      <c s="14" r="Q393">
        <f>(N393+O393)+P393</f>
        <v>107.66</v>
      </c>
      <c s="23" r="R393">
        <f>(E393+L393)-M393</f>
        <v>85.63</v>
      </c>
      <c s="70" r="S393">
        <f>Q393-R393</f>
        <v>22.03</v>
      </c>
      <c s="29" r="T393">
        <f> (Q393/R393) - 1</f>
        <v>0.25726964848768</v>
      </c>
      <c t="str" s="70" r="U393">
        <f>R393/X393</f>
        <v>#DIV/0!:divZero</v>
      </c>
      <c t="str" s="70" r="V393">
        <f>Q393/X393</f>
        <v>#DIV/0!:divZero</v>
      </c>
      <c t="s" s="30" r="W393">
        <v>205</v>
      </c>
      <c s="30" r="X393">
        <v>0</v>
      </c>
      <c t="s" s="30" r="Y393">
        <v>261</v>
      </c>
      <c t="s" s="30" r="Z393">
        <v>42</v>
      </c>
      <c s="30" r="AA393">
        <v>0</v>
      </c>
      <c s="30" r="AB393">
        <v>0</v>
      </c>
      <c s="30" r="AC393">
        <v>5</v>
      </c>
      <c s="30" r="AD393">
        <v>0</v>
      </c>
      <c s="30" r="AE393"/>
      <c t="str" s="8" r="AF393">
        <f>(I393+J393)/R393</f>
        <v>#VALUE!:notNumber:NA</v>
      </c>
      <c t="str" s="28" r="AG393">
        <f>G393/$X393</f>
        <v>#DIV/0!:divZero</v>
      </c>
      <c t="str" s="28" r="AH393">
        <f>H393/$X393</f>
        <v>#DIV/0!:divZero</v>
      </c>
      <c t="str" s="28" r="AI393">
        <f>I393/$X393</f>
        <v>#DIV/0!:divZero</v>
      </c>
      <c t="str" s="28" r="AJ393">
        <f>J393/$X393</f>
        <v>#DIV/0!:divZero</v>
      </c>
      <c t="str" s="28" r="AK393">
        <f>K393/$X393</f>
        <v>#DIV/0!:divZero</v>
      </c>
      <c s="30" r="AL393">
        <v>1</v>
      </c>
    </row>
    <row r="394">
      <c s="30" r="A394">
        <v>393</v>
      </c>
      <c t="s" s="30" r="B394">
        <v>38</v>
      </c>
      <c s="62" r="C394">
        <v>41599</v>
      </c>
      <c s="52" r="D394">
        <v>0.833333333333333</v>
      </c>
      <c s="55" r="E394">
        <v>0</v>
      </c>
      <c s="55" r="F394"/>
      <c t="s" s="55" r="G394">
        <v>39</v>
      </c>
      <c t="s" s="55" r="H394">
        <v>39</v>
      </c>
      <c t="s" s="55" r="I394">
        <v>39</v>
      </c>
      <c t="s" s="55" r="J394">
        <v>39</v>
      </c>
      <c t="s" s="55" r="K394">
        <v>39</v>
      </c>
      <c s="80" r="L394">
        <v>52.4</v>
      </c>
      <c s="79" r="M394">
        <v>0</v>
      </c>
      <c s="79" r="N394">
        <v>48.34</v>
      </c>
      <c s="32" r="O394">
        <f>SUMIF(Sellables!$A$2:$A$11482, $A394, Sellables!$G$2:$G$11482)</f>
        <v>2.268</v>
      </c>
      <c s="32" r="P394">
        <f>SUMIF(Skills!$A$2:$A$9999, A394, Skills!$F$2:$F$9999)</f>
        <v>0</v>
      </c>
      <c s="14" r="Q394">
        <f>(N394+O394)+P394</f>
        <v>50.608</v>
      </c>
      <c s="23" r="R394">
        <f>(E394+L394)-M394</f>
        <v>52.4</v>
      </c>
      <c s="70" r="S394">
        <f>Q394-R394</f>
        <v>-1.79199999999999</v>
      </c>
      <c s="29" r="T394">
        <f> (Q394/R394) - 1</f>
        <v>-0.034198473282443</v>
      </c>
      <c t="str" s="70" r="U394">
        <f>R394/X394</f>
        <v>#DIV/0!:divZero</v>
      </c>
      <c t="str" s="70" r="V394">
        <f>Q394/X394</f>
        <v>#DIV/0!:divZero</v>
      </c>
      <c t="s" s="30" r="W394">
        <v>221</v>
      </c>
      <c s="30" r="X394">
        <v>0</v>
      </c>
      <c t="s" s="30" r="Y394">
        <v>262</v>
      </c>
      <c t="s" s="30" r="Z394">
        <v>42</v>
      </c>
      <c s="30" r="AA394">
        <v>0</v>
      </c>
      <c s="30" r="AB394">
        <v>0</v>
      </c>
      <c s="30" r="AC394">
        <v>0</v>
      </c>
      <c s="30" r="AD394">
        <v>0</v>
      </c>
      <c s="30" r="AE394"/>
      <c t="str" s="8" r="AF394">
        <f>(I394+J394)/R394</f>
        <v>#VALUE!:notNumber:NA</v>
      </c>
      <c t="str" s="28" r="AG394">
        <f>G394/$X394</f>
        <v>#DIV/0!:divZero</v>
      </c>
      <c t="str" s="28" r="AH394">
        <f>H394/$X394</f>
        <v>#DIV/0!:divZero</v>
      </c>
      <c t="str" s="28" r="AI394">
        <f>I394/$X394</f>
        <v>#DIV/0!:divZero</v>
      </c>
      <c t="str" s="28" r="AJ394">
        <f>J394/$X394</f>
        <v>#DIV/0!:divZero</v>
      </c>
      <c t="str" s="28" r="AK394">
        <f>K394/$X394</f>
        <v>#DIV/0!:divZero</v>
      </c>
      <c s="30" r="AL394">
        <v>1</v>
      </c>
    </row>
    <row r="395">
      <c s="30" r="A395">
        <v>394</v>
      </c>
      <c t="s" s="30" r="B395">
        <v>38</v>
      </c>
      <c s="62" r="C395">
        <v>41599</v>
      </c>
      <c s="52" r="D395">
        <v>0.875</v>
      </c>
      <c s="55" r="E395">
        <v>0</v>
      </c>
      <c s="55" r="F395"/>
      <c t="s" s="55" r="G395">
        <v>39</v>
      </c>
      <c t="s" s="55" r="H395">
        <v>39</v>
      </c>
      <c t="s" s="55" r="I395">
        <v>39</v>
      </c>
      <c t="s" s="55" r="J395">
        <v>39</v>
      </c>
      <c t="s" s="55" r="K395">
        <v>39</v>
      </c>
      <c s="80" r="L395">
        <f>71.29+69.53</f>
        <v>140.82</v>
      </c>
      <c s="79" r="M395">
        <v>0</v>
      </c>
      <c s="79" r="N395">
        <f>36.98+67.92</f>
        <v>104.9</v>
      </c>
      <c s="32" r="O395">
        <f>SUMIF(Sellables!$A$2:$A$11482, $A395, Sellables!$G$2:$G$11482)</f>
        <v>7.722</v>
      </c>
      <c s="32" r="P395">
        <f>SUMIF(Skills!$A$2:$A$9999, A395, Skills!$F$2:$F$9999)</f>
        <v>0</v>
      </c>
      <c s="14" r="Q395">
        <f>(N395+O395)+P395</f>
        <v>112.622</v>
      </c>
      <c s="23" r="R395">
        <f>(E395+L395)-M395</f>
        <v>140.82</v>
      </c>
      <c s="70" r="S395">
        <f>Q395-R395</f>
        <v>-28.198</v>
      </c>
      <c s="29" r="T395">
        <f> (Q395/R395) - 1</f>
        <v>-0.20024144297685</v>
      </c>
      <c t="str" s="70" r="U395">
        <f>R395/X395</f>
        <v>#DIV/0!:divZero</v>
      </c>
      <c t="str" s="70" r="V395">
        <f>Q395/X395</f>
        <v>#DIV/0!:divZero</v>
      </c>
      <c t="s" s="30" r="W395">
        <v>131</v>
      </c>
      <c s="30" r="X395">
        <v>0</v>
      </c>
      <c t="s" s="30" r="Y395">
        <v>132</v>
      </c>
      <c t="s" s="30" r="Z395">
        <v>42</v>
      </c>
      <c s="30" r="AA395">
        <v>0</v>
      </c>
      <c s="30" r="AB395">
        <v>1</v>
      </c>
      <c s="30" r="AC395">
        <v>1</v>
      </c>
      <c s="30" r="AD395">
        <v>0</v>
      </c>
      <c s="30" r="AE395"/>
      <c t="str" s="8" r="AF395">
        <f>(I395+J395)/R395</f>
        <v>#VALUE!:notNumber:NA</v>
      </c>
      <c t="str" s="28" r="AG395">
        <f>G395/$X395</f>
        <v>#DIV/0!:divZero</v>
      </c>
      <c t="str" s="28" r="AH395">
        <f>H395/$X395</f>
        <v>#DIV/0!:divZero</v>
      </c>
      <c t="str" s="28" r="AI395">
        <f>I395/$X395</f>
        <v>#DIV/0!:divZero</v>
      </c>
      <c t="str" s="28" r="AJ395">
        <f>J395/$X395</f>
        <v>#DIV/0!:divZero</v>
      </c>
      <c t="str" s="28" r="AK395">
        <f>K395/$X395</f>
        <v>#DIV/0!:divZero</v>
      </c>
      <c s="30" r="AL395">
        <v>1</v>
      </c>
    </row>
    <row r="396">
      <c s="30" r="A396">
        <v>395</v>
      </c>
      <c t="s" s="30" r="B396">
        <v>38</v>
      </c>
      <c s="62" r="C396">
        <v>41600</v>
      </c>
      <c s="52" r="D396">
        <v>0.708333333333333</v>
      </c>
      <c s="55" r="E396">
        <v>205</v>
      </c>
      <c s="55" r="F396"/>
      <c t="s" s="55" r="G396">
        <v>39</v>
      </c>
      <c t="s" s="55" r="H396">
        <v>39</v>
      </c>
      <c t="s" s="55" r="I396">
        <v>39</v>
      </c>
      <c t="s" s="55" r="J396">
        <v>39</v>
      </c>
      <c t="s" s="55" r="K396">
        <v>39</v>
      </c>
      <c s="80" r="L396">
        <v>101.16</v>
      </c>
      <c s="79" r="M396">
        <v>85.92</v>
      </c>
      <c s="79" r="N396">
        <v>320.65</v>
      </c>
      <c s="32" r="O396">
        <v>0</v>
      </c>
      <c s="32" r="P396">
        <f>SUMIF(Skills!$A$2:$A$9999, A396, Skills!$F$2:$F$9999)</f>
        <v>0</v>
      </c>
      <c s="14" r="Q396">
        <f>(N396+O396)+P396</f>
        <v>320.65</v>
      </c>
      <c s="23" r="R396">
        <f>(E396+L396)-M396</f>
        <v>220.24</v>
      </c>
      <c s="70" r="S396">
        <f>Q396-R396</f>
        <v>100.41</v>
      </c>
      <c s="29" r="T396">
        <f> (Q396/R396) - 1</f>
        <v>0.455911732655285</v>
      </c>
      <c t="str" s="70" r="U396">
        <f>R396/X396</f>
        <v>#DIV/0!:divZero</v>
      </c>
      <c t="str" s="70" r="V396">
        <f>Q396/X396</f>
        <v>#DIV/0!:divZero</v>
      </c>
      <c t="s" s="30" r="W396">
        <v>263</v>
      </c>
      <c s="30" r="X396">
        <v>0</v>
      </c>
      <c t="s" s="30" r="Y396">
        <v>264</v>
      </c>
      <c t="s" s="30" r="Z396">
        <v>265</v>
      </c>
      <c s="30" r="AA396">
        <v>0</v>
      </c>
      <c s="30" r="AB396">
        <v>0</v>
      </c>
      <c s="30" r="AC396">
        <v>1</v>
      </c>
      <c s="30" r="AD396">
        <v>0</v>
      </c>
      <c s="30" r="AE396"/>
      <c t="str" s="8" r="AF396">
        <f>(I396+J396)/R396</f>
        <v>#VALUE!:notNumber:NA</v>
      </c>
      <c t="str" s="28" r="AG396">
        <f>G396/$X396</f>
        <v>#DIV/0!:divZero</v>
      </c>
      <c t="str" s="28" r="AH396">
        <f>H396/$X396</f>
        <v>#DIV/0!:divZero</v>
      </c>
      <c t="str" s="28" r="AI396">
        <f>I396/$X396</f>
        <v>#DIV/0!:divZero</v>
      </c>
      <c t="str" s="28" r="AJ396">
        <f>J396/$X396</f>
        <v>#DIV/0!:divZero</v>
      </c>
      <c t="str" s="28" r="AK396">
        <f>K396/$X396</f>
        <v>#DIV/0!:divZero</v>
      </c>
      <c s="30" r="AL396">
        <v>1</v>
      </c>
    </row>
    <row r="397">
      <c s="30" r="A397">
        <v>396</v>
      </c>
      <c t="s" s="30" r="B397">
        <v>55</v>
      </c>
      <c s="62" r="C397">
        <v>41600</v>
      </c>
      <c s="52" r="D397">
        <v>0.75</v>
      </c>
      <c s="55" r="E397">
        <f>1280*0.07</f>
        <v>89.6</v>
      </c>
      <c s="55" r="F397"/>
      <c t="s" s="55" r="G397">
        <v>39</v>
      </c>
      <c t="s" s="55" r="H397">
        <v>39</v>
      </c>
      <c t="s" s="55" r="I397">
        <v>39</v>
      </c>
      <c t="s" s="55" r="J397">
        <v>39</v>
      </c>
      <c t="s" s="55" r="K397">
        <v>39</v>
      </c>
      <c s="80" r="L397">
        <v>0</v>
      </c>
      <c s="79" r="M397">
        <v>0</v>
      </c>
      <c s="79" r="N397">
        <v>43.58</v>
      </c>
      <c s="32" r="O397">
        <f>SUMIF(Sellables!$A$2:$A$11482, $A397, Sellables!$G$2:$G$11482)</f>
        <v>0</v>
      </c>
      <c s="32" r="P397">
        <f>SUMIF(Skills!$A$2:$A$9999, A397, Skills!$F$2:$F$9999)</f>
        <v>0</v>
      </c>
      <c s="14" r="Q397">
        <f>(N397+O397)+P397</f>
        <v>43.58</v>
      </c>
      <c s="23" r="R397">
        <f>(E397+L397)-M397</f>
        <v>89.6</v>
      </c>
      <c s="70" r="S397">
        <f>Q397-R397</f>
        <v>-46.02</v>
      </c>
      <c s="29" r="T397">
        <f> (Q397/R397) - 1</f>
        <v>-0.513616071428572</v>
      </c>
      <c t="str" s="70" r="U397">
        <f>R397/X397</f>
        <v>#DIV/0!:divZero</v>
      </c>
      <c t="str" s="70" r="V397">
        <f>Q397/X397</f>
        <v>#DIV/0!:divZero</v>
      </c>
      <c t="s" s="30" r="W397">
        <v>190</v>
      </c>
      <c s="30" r="X397">
        <v>0</v>
      </c>
      <c t="s" s="30" r="Y397">
        <v>235</v>
      </c>
      <c t="s" s="30" r="Z397">
        <v>42</v>
      </c>
      <c s="30" r="AA397">
        <v>0</v>
      </c>
      <c s="30" r="AB397">
        <v>0</v>
      </c>
      <c s="30" r="AC397">
        <v>0</v>
      </c>
      <c s="30" r="AD397">
        <v>0</v>
      </c>
      <c s="30" r="AE397"/>
      <c t="str" s="8" r="AF397">
        <f>(I397+J397)/R397</f>
        <v>#VALUE!:notNumber:NA</v>
      </c>
      <c t="str" s="28" r="AG397">
        <f>G397/$X397</f>
        <v>#DIV/0!:divZero</v>
      </c>
      <c t="str" s="28" r="AH397">
        <f>H397/$X397</f>
        <v>#DIV/0!:divZero</v>
      </c>
      <c t="str" s="28" r="AI397">
        <f>I397/$X397</f>
        <v>#DIV/0!:divZero</v>
      </c>
      <c t="str" s="28" r="AJ397">
        <f>J397/$X397</f>
        <v>#DIV/0!:divZero</v>
      </c>
      <c t="str" s="28" r="AK397">
        <f>K397/$X397</f>
        <v>#DIV/0!:divZero</v>
      </c>
      <c s="30" r="AL397">
        <v>1</v>
      </c>
    </row>
    <row r="398">
      <c s="30" r="A398">
        <v>397</v>
      </c>
      <c t="s" s="30" r="B398">
        <v>55</v>
      </c>
      <c s="62" r="C398">
        <v>41600</v>
      </c>
      <c s="52" r="D398">
        <v>0.791666666666667</v>
      </c>
      <c s="55" r="E398">
        <f>1280*0.07</f>
        <v>89.6</v>
      </c>
      <c s="55" r="F398"/>
      <c t="s" s="55" r="G398">
        <v>39</v>
      </c>
      <c t="s" s="55" r="H398">
        <v>39</v>
      </c>
      <c t="s" s="55" r="I398">
        <v>39</v>
      </c>
      <c t="s" s="55" r="J398">
        <v>39</v>
      </c>
      <c t="s" s="55" r="K398">
        <v>39</v>
      </c>
      <c s="80" r="L398">
        <v>0</v>
      </c>
      <c s="79" r="M398">
        <v>0</v>
      </c>
      <c s="79" r="N398">
        <v>43.58</v>
      </c>
      <c s="32" r="O398">
        <f>SUMIF(Sellables!$A$2:$A$11482, $A398, Sellables!$G$2:$G$11482)</f>
        <v>0</v>
      </c>
      <c s="32" r="P398">
        <f>SUMIF(Skills!$A$2:$A$9999, A398, Skills!$F$2:$F$9999)</f>
        <v>0</v>
      </c>
      <c s="14" r="Q398">
        <f>(N398+O398)+P398</f>
        <v>43.58</v>
      </c>
      <c s="23" r="R398">
        <f>(E398+L398)-M398</f>
        <v>89.6</v>
      </c>
      <c s="70" r="S398">
        <f>Q398-R398</f>
        <v>-46.02</v>
      </c>
      <c s="29" r="T398">
        <f> (Q398/R398) - 1</f>
        <v>-0.513616071428572</v>
      </c>
      <c t="str" s="70" r="U398">
        <f>R398/X398</f>
        <v>#DIV/0!:divZero</v>
      </c>
      <c t="str" s="70" r="V398">
        <f>Q398/X398</f>
        <v>#DIV/0!:divZero</v>
      </c>
      <c t="s" s="30" r="W398">
        <v>190</v>
      </c>
      <c s="30" r="X398">
        <v>0</v>
      </c>
      <c t="s" s="30" r="Y398">
        <v>235</v>
      </c>
      <c t="s" s="30" r="Z398">
        <v>42</v>
      </c>
      <c s="30" r="AA398">
        <v>0</v>
      </c>
      <c s="30" r="AB398">
        <v>0</v>
      </c>
      <c s="30" r="AC398">
        <v>0</v>
      </c>
      <c s="30" r="AD398">
        <v>0</v>
      </c>
      <c s="30" r="AE398"/>
      <c t="str" s="8" r="AF398">
        <f>(I398+J398)/R398</f>
        <v>#VALUE!:notNumber:NA</v>
      </c>
      <c t="str" s="28" r="AG398">
        <f>G398/$X398</f>
        <v>#DIV/0!:divZero</v>
      </c>
      <c t="str" s="28" r="AH398">
        <f>H398/$X398</f>
        <v>#DIV/0!:divZero</v>
      </c>
      <c t="str" s="28" r="AI398">
        <f>I398/$X398</f>
        <v>#DIV/0!:divZero</v>
      </c>
      <c t="str" s="28" r="AJ398">
        <f>J398/$X398</f>
        <v>#DIV/0!:divZero</v>
      </c>
      <c t="str" s="28" r="AK398">
        <f>K398/$X398</f>
        <v>#DIV/0!:divZero</v>
      </c>
      <c s="30" r="AL398">
        <v>1</v>
      </c>
    </row>
    <row r="399">
      <c s="30" r="A399">
        <v>398</v>
      </c>
      <c t="s" s="30" r="B399">
        <v>38</v>
      </c>
      <c s="62" r="C399">
        <v>41601</v>
      </c>
      <c s="52" r="D399">
        <v>0.708333333333333</v>
      </c>
      <c s="55" r="E399">
        <v>250</v>
      </c>
      <c s="55" r="F399"/>
      <c t="s" s="55" r="G399">
        <v>39</v>
      </c>
      <c t="s" s="55" r="H399">
        <v>39</v>
      </c>
      <c t="s" s="55" r="I399">
        <v>39</v>
      </c>
      <c t="s" s="55" r="J399">
        <v>39</v>
      </c>
      <c t="s" s="55" r="K399">
        <v>39</v>
      </c>
      <c s="80" r="L399">
        <v>78.84</v>
      </c>
      <c s="79" r="M399">
        <v>49.21</v>
      </c>
      <c s="79" r="N399">
        <v>109.87</v>
      </c>
      <c s="32" r="O399">
        <f>SUMIF(Sellables!$A$2:$A$11482, $A399, Sellables!$G$2:$G$11482)</f>
        <v>124.4496</v>
      </c>
      <c s="32" r="P399">
        <f>SUMIF(Skills!$A$2:$A$9999, A399, Skills!$F$2:$F$9999)</f>
        <v>0</v>
      </c>
      <c s="14" r="Q399">
        <f>(N399+O399)+P399</f>
        <v>234.3196</v>
      </c>
      <c s="23" r="R399">
        <f>(E399+L399)-M399</f>
        <v>279.63</v>
      </c>
      <c s="70" r="S399">
        <f>Q399-R399</f>
        <v>-45.3104</v>
      </c>
      <c s="29" r="T399">
        <f> (Q399/R399) - 1</f>
        <v>-0.162036977434467</v>
      </c>
      <c t="str" s="70" r="U399">
        <f>R399/X399</f>
        <v>#DIV/0!:divZero</v>
      </c>
      <c t="str" s="70" r="V399">
        <f>Q399/X399</f>
        <v>#DIV/0!:divZero</v>
      </c>
      <c t="s" s="30" r="W399">
        <v>40</v>
      </c>
      <c s="30" r="X399">
        <v>0</v>
      </c>
      <c t="s" s="30" r="Y399">
        <v>41</v>
      </c>
      <c t="s" s="30" r="Z399">
        <v>42</v>
      </c>
      <c s="30" r="AA399">
        <v>0</v>
      </c>
      <c s="30" r="AB399">
        <v>0</v>
      </c>
      <c s="30" r="AC399">
        <v>0</v>
      </c>
      <c s="30" r="AD399">
        <v>0</v>
      </c>
      <c s="30" r="AE399"/>
      <c t="str" s="8" r="AF399">
        <f>(I399+J399)/R399</f>
        <v>#VALUE!:notNumber:NA</v>
      </c>
      <c t="str" s="28" r="AG399">
        <f>G399/$X399</f>
        <v>#DIV/0!:divZero</v>
      </c>
      <c t="str" s="28" r="AH399">
        <f>H399/$X399</f>
        <v>#DIV/0!:divZero</v>
      </c>
      <c t="str" s="28" r="AI399">
        <f>I399/$X399</f>
        <v>#DIV/0!:divZero</v>
      </c>
      <c t="str" s="28" r="AJ399">
        <f>J399/$X399</f>
        <v>#DIV/0!:divZero</v>
      </c>
      <c t="str" s="28" r="AK399">
        <f>K399/$X399</f>
        <v>#DIV/0!:divZero</v>
      </c>
      <c s="30" r="AL399">
        <v>1</v>
      </c>
    </row>
    <row r="400">
      <c s="30" r="A400">
        <v>399</v>
      </c>
      <c t="s" s="30" r="B400">
        <v>38</v>
      </c>
      <c s="62" r="C400">
        <v>41601</v>
      </c>
      <c s="52" r="D400">
        <v>0.770833333333333</v>
      </c>
      <c s="55" r="E400">
        <v>183</v>
      </c>
      <c s="55" r="F400"/>
      <c t="s" s="55" r="G400">
        <v>39</v>
      </c>
      <c t="s" s="55" r="H400">
        <v>39</v>
      </c>
      <c t="s" s="55" r="I400">
        <v>39</v>
      </c>
      <c t="s" s="55" r="J400">
        <v>39</v>
      </c>
      <c t="s" s="55" r="K400">
        <v>39</v>
      </c>
      <c s="80" r="L400">
        <v>80.37</v>
      </c>
      <c s="79" r="M400">
        <v>7.99</v>
      </c>
      <c s="79" r="N400">
        <v>144.9</v>
      </c>
      <c s="32" r="O400">
        <f>SUMIF(Sellables!$A$2:$A$11482, $A400, Sellables!$G$2:$G$11482)</f>
        <v>0</v>
      </c>
      <c s="32" r="P400">
        <f>SUMIF(Skills!$A$2:$A$9999, A400, Skills!$F$2:$F$9999)</f>
        <v>0</v>
      </c>
      <c s="14" r="Q400">
        <f>(N400+O400)+P400</f>
        <v>144.9</v>
      </c>
      <c s="23" r="R400">
        <f>(E400+L400)-M400</f>
        <v>255.38</v>
      </c>
      <c s="70" r="S400">
        <f>Q400-R400</f>
        <v>-110.48</v>
      </c>
      <c s="29" r="T400">
        <f> (Q400/R400) - 1</f>
        <v>-0.432610227895685</v>
      </c>
      <c t="str" s="70" r="U400">
        <f>R400/X400</f>
        <v>#DIV/0!:divZero</v>
      </c>
      <c t="str" s="70" r="V400">
        <f>Q400/X400</f>
        <v>#DIV/0!:divZero</v>
      </c>
      <c t="s" s="30" r="W400">
        <v>118</v>
      </c>
      <c s="30" r="X400">
        <v>0</v>
      </c>
      <c t="s" s="30" r="Y400">
        <v>266</v>
      </c>
      <c t="s" s="30" r="Z400">
        <v>42</v>
      </c>
      <c s="30" r="AA400">
        <v>0</v>
      </c>
      <c s="30" r="AB400">
        <v>0</v>
      </c>
      <c s="30" r="AC400">
        <v>0</v>
      </c>
      <c s="30" r="AD400">
        <v>0</v>
      </c>
      <c s="30" r="AE400"/>
      <c t="str" s="8" r="AF400">
        <f>(I400+J400)/R400</f>
        <v>#VALUE!:notNumber:NA</v>
      </c>
      <c t="str" s="28" r="AG400">
        <f>G400/$X400</f>
        <v>#DIV/0!:divZero</v>
      </c>
      <c t="str" s="28" r="AH400">
        <f>H400/$X400</f>
        <v>#DIV/0!:divZero</v>
      </c>
      <c t="str" s="28" r="AI400">
        <f>I400/$X400</f>
        <v>#DIV/0!:divZero</v>
      </c>
      <c t="str" s="28" r="AJ400">
        <f>J400/$X400</f>
        <v>#DIV/0!:divZero</v>
      </c>
      <c t="str" s="28" r="AK400">
        <f>K400/$X400</f>
        <v>#DIV/0!:divZero</v>
      </c>
      <c s="30" r="AL400">
        <v>1</v>
      </c>
    </row>
    <row r="401">
      <c s="30" r="A401">
        <v>400</v>
      </c>
      <c t="s" s="30" r="B401">
        <v>38</v>
      </c>
      <c s="62" r="C401">
        <v>41602</v>
      </c>
      <c s="52" r="D401">
        <v>0.520833333333333</v>
      </c>
      <c s="55" r="E401">
        <v>0</v>
      </c>
      <c s="55" r="F401"/>
      <c t="s" s="55" r="G401">
        <v>39</v>
      </c>
      <c t="s" s="55" r="H401">
        <v>39</v>
      </c>
      <c t="s" s="55" r="I401">
        <v>39</v>
      </c>
      <c t="s" s="55" r="J401">
        <v>39</v>
      </c>
      <c t="s" s="55" r="K401">
        <v>39</v>
      </c>
      <c s="80" r="L401">
        <v>20.6</v>
      </c>
      <c s="79" r="M401">
        <v>0</v>
      </c>
      <c s="79" r="N401">
        <v>12.32</v>
      </c>
      <c s="32" r="O401">
        <f>SUMIF(Sellables!$A$2:$A$11482, $A401, Sellables!$G$2:$G$11482)</f>
        <v>0</v>
      </c>
      <c s="32" r="P401">
        <f>SUMIF(Skills!$A$2:$A$9999, A401, Skills!$F$2:$F$9999)</f>
        <v>0</v>
      </c>
      <c s="14" r="Q401">
        <f>(N401+O401)+P401</f>
        <v>12.32</v>
      </c>
      <c s="23" r="R401">
        <f>(E401+L401)-M401</f>
        <v>20.6</v>
      </c>
      <c s="70" r="S401">
        <f>Q401-R401</f>
        <v>-8.28</v>
      </c>
      <c s="29" r="T401">
        <f> (Q401/R401) - 1</f>
        <v>-0.401941747572816</v>
      </c>
      <c t="str" s="70" r="U401">
        <f>R401/X401</f>
        <v>#DIV/0!:divZero</v>
      </c>
      <c t="str" s="70" r="V401">
        <f>Q401/X401</f>
        <v>#DIV/0!:divZero</v>
      </c>
      <c t="s" s="30" r="W401">
        <v>267</v>
      </c>
      <c s="30" r="X401">
        <v>0</v>
      </c>
      <c t="s" s="30" r="Y401">
        <v>228</v>
      </c>
      <c t="s" s="30" r="Z401">
        <v>65</v>
      </c>
      <c s="30" r="AA401">
        <v>0</v>
      </c>
      <c s="30" r="AB401">
        <v>0</v>
      </c>
      <c s="30" r="AC401">
        <v>0</v>
      </c>
      <c s="30" r="AD401">
        <v>0</v>
      </c>
      <c s="30" r="AE401"/>
      <c t="str" s="8" r="AF401">
        <f>(I401+J401)/R401</f>
        <v>#VALUE!:notNumber:NA</v>
      </c>
      <c t="str" s="28" r="AG401">
        <f>G401/$X401</f>
        <v>#DIV/0!:divZero</v>
      </c>
      <c t="str" s="28" r="AH401">
        <f>H401/$X401</f>
        <v>#DIV/0!:divZero</v>
      </c>
      <c t="str" s="28" r="AI401">
        <f>I401/$X401</f>
        <v>#DIV/0!:divZero</v>
      </c>
      <c t="str" s="28" r="AJ401">
        <f>J401/$X401</f>
        <v>#DIV/0!:divZero</v>
      </c>
      <c t="str" s="28" r="AK401">
        <f>K401/$X401</f>
        <v>#DIV/0!:divZero</v>
      </c>
      <c s="30" r="AL401">
        <v>1</v>
      </c>
    </row>
    <row r="402">
      <c s="30" r="A402">
        <v>401</v>
      </c>
      <c t="s" s="30" r="B402">
        <v>38</v>
      </c>
      <c s="62" r="C402">
        <v>41602</v>
      </c>
      <c s="52" r="D402">
        <v>0.625</v>
      </c>
      <c s="55" r="E402">
        <v>500</v>
      </c>
      <c s="55" r="F402"/>
      <c t="s" s="55" r="G402">
        <v>39</v>
      </c>
      <c t="s" s="55" r="H402">
        <v>39</v>
      </c>
      <c t="s" s="55" r="I402">
        <v>39</v>
      </c>
      <c t="s" s="55" r="J402">
        <v>39</v>
      </c>
      <c t="s" s="55" r="K402">
        <v>39</v>
      </c>
      <c s="80" r="L402">
        <f>94.45+43</f>
        <v>137.45</v>
      </c>
      <c s="79" r="M402">
        <v>302.13</v>
      </c>
      <c s="79" r="N402">
        <v>465.35</v>
      </c>
      <c s="32" r="O402">
        <f>SUMIF(Sellables!$A$2:$A$11482, $A402, Sellables!$G$2:$G$11482)</f>
        <v>0</v>
      </c>
      <c s="32" r="P402">
        <f>SUMIF(Skills!$A$2:$A$9999, A402, Skills!$F$2:$F$9999)</f>
        <v>0</v>
      </c>
      <c s="14" r="Q402">
        <f>(N402+O402)+P402</f>
        <v>465.35</v>
      </c>
      <c s="23" r="R402">
        <f>(E402+L402)-M402</f>
        <v>335.32</v>
      </c>
      <c s="70" r="S402">
        <f>Q402-R402</f>
        <v>130.03</v>
      </c>
      <c s="29" r="T402">
        <f> (Q402/R402) - 1</f>
        <v>0.387778838124776</v>
      </c>
      <c t="str" s="70" r="U402">
        <f>R402/X402</f>
        <v>#DIV/0!:divZero</v>
      </c>
      <c t="str" s="70" r="V402">
        <f>Q402/X402</f>
        <v>#DIV/0!:divZero</v>
      </c>
      <c t="s" s="30" r="W402">
        <v>237</v>
      </c>
      <c s="30" r="X402">
        <v>0</v>
      </c>
      <c t="s" s="30" r="Y402">
        <v>238</v>
      </c>
      <c t="s" s="30" r="Z402">
        <v>42</v>
      </c>
      <c s="30" r="AA402">
        <v>0</v>
      </c>
      <c s="30" r="AB402">
        <v>0</v>
      </c>
      <c s="30" r="AC402">
        <v>2</v>
      </c>
      <c s="30" r="AD402">
        <v>0</v>
      </c>
      <c s="30" r="AE402"/>
      <c t="str" s="8" r="AF402">
        <f>(I402+J402)/R402</f>
        <v>#VALUE!:notNumber:NA</v>
      </c>
      <c t="str" s="28" r="AG402">
        <f>G402/$X402</f>
        <v>#DIV/0!:divZero</v>
      </c>
      <c t="str" s="28" r="AH402">
        <f>H402/$X402</f>
        <v>#DIV/0!:divZero</v>
      </c>
      <c t="str" s="28" r="AI402">
        <f>I402/$X402</f>
        <v>#DIV/0!:divZero</v>
      </c>
      <c t="str" s="28" r="AJ402">
        <f>J402/$X402</f>
        <v>#DIV/0!:divZero</v>
      </c>
      <c t="str" s="28" r="AK402">
        <f>K402/$X402</f>
        <v>#DIV/0!:divZero</v>
      </c>
      <c s="30" r="AL402">
        <v>1</v>
      </c>
    </row>
    <row r="403">
      <c s="30" r="A403">
        <v>402</v>
      </c>
      <c t="s" s="30" r="B403">
        <v>38</v>
      </c>
      <c s="62" r="C403">
        <v>41602</v>
      </c>
      <c s="52" r="D403">
        <v>0.71875</v>
      </c>
      <c s="55" r="E403">
        <v>500</v>
      </c>
      <c s="55" r="F403"/>
      <c t="s" s="55" r="G403">
        <v>39</v>
      </c>
      <c t="s" s="55" r="H403">
        <v>39</v>
      </c>
      <c t="s" s="55" r="I403">
        <v>39</v>
      </c>
      <c t="s" s="55" r="J403">
        <v>39</v>
      </c>
      <c t="s" s="55" r="K403">
        <v>39</v>
      </c>
      <c s="80" r="L403">
        <v>137.39</v>
      </c>
      <c s="79" r="M403">
        <v>223.67</v>
      </c>
      <c s="79" r="N403">
        <v>418.76</v>
      </c>
      <c s="32" r="O403">
        <f>SUMIF(Sellables!$A$2:$A$11482, $A403, Sellables!$G$2:$G$11482)</f>
        <v>0</v>
      </c>
      <c s="32" r="P403">
        <f>SUMIF(Skills!$A$2:$A$9999, A403, Skills!$F$2:$F$9999)</f>
        <v>0</v>
      </c>
      <c s="14" r="Q403">
        <f>(N403+O403)+P403</f>
        <v>418.76</v>
      </c>
      <c s="23" r="R403">
        <f>(E403+L403)-M403</f>
        <v>413.72</v>
      </c>
      <c s="70" r="S403">
        <f>Q403-R403</f>
        <v>5.03999999999996</v>
      </c>
      <c s="29" r="T403">
        <f> (Q403/R403) - 1</f>
        <v>0.012182152180218</v>
      </c>
      <c t="str" s="70" r="U403">
        <f>R403/X403</f>
        <v>#DIV/0!:divZero</v>
      </c>
      <c t="str" s="70" r="V403">
        <f>Q403/X403</f>
        <v>#DIV/0!:divZero</v>
      </c>
      <c t="s" s="30" r="W403">
        <v>239</v>
      </c>
      <c s="30" r="X403">
        <v>0</v>
      </c>
      <c t="s" s="30" r="Y403">
        <v>268</v>
      </c>
      <c t="s" s="30" r="Z403">
        <v>42</v>
      </c>
      <c s="30" r="AA403">
        <v>0</v>
      </c>
      <c s="30" r="AB403">
        <v>0</v>
      </c>
      <c s="30" r="AC403">
        <v>1</v>
      </c>
      <c s="30" r="AD403">
        <v>0</v>
      </c>
      <c s="30" r="AE403"/>
      <c t="str" s="8" r="AF403">
        <f>(I403+J403)/R403</f>
        <v>#VALUE!:notNumber:NA</v>
      </c>
      <c t="str" s="28" r="AG403">
        <f>G403/$X403</f>
        <v>#DIV/0!:divZero</v>
      </c>
      <c t="str" s="28" r="AH403">
        <f>H403/$X403</f>
        <v>#DIV/0!:divZero</v>
      </c>
      <c t="str" s="28" r="AI403">
        <f>I403/$X403</f>
        <v>#DIV/0!:divZero</v>
      </c>
      <c t="str" s="28" r="AJ403">
        <f>J403/$X403</f>
        <v>#DIV/0!:divZero</v>
      </c>
      <c t="str" s="28" r="AK403">
        <f>K403/$X403</f>
        <v>#DIV/0!:divZero</v>
      </c>
      <c s="30" r="AL403">
        <v>1</v>
      </c>
    </row>
    <row r="404">
      <c s="30" r="A404">
        <v>403</v>
      </c>
      <c t="s" s="30" r="B404">
        <v>38</v>
      </c>
      <c s="62" r="C404">
        <v>41602</v>
      </c>
      <c s="52" r="D404">
        <v>0.791666666666667</v>
      </c>
      <c s="55" r="E404">
        <v>299</v>
      </c>
      <c s="55" r="F404"/>
      <c t="s" s="55" r="G404">
        <v>39</v>
      </c>
      <c t="s" s="55" r="H404">
        <v>39</v>
      </c>
      <c t="s" s="55" r="I404">
        <v>39</v>
      </c>
      <c t="s" s="55" r="J404">
        <v>39</v>
      </c>
      <c t="s" s="55" r="K404">
        <v>39</v>
      </c>
      <c s="80" r="L404">
        <v>47.37</v>
      </c>
      <c s="79" r="M404">
        <v>118.34</v>
      </c>
      <c s="79" r="N404">
        <v>149.12</v>
      </c>
      <c s="32" r="O404">
        <f>SUMIF(Sellables!$A$2:$A$11482, $A404, Sellables!$G$2:$G$11482)</f>
        <v>0</v>
      </c>
      <c s="32" r="P404">
        <f>SUMIF(Skills!$A$2:$A$9999, A404, Skills!$F$2:$F$9999)</f>
        <v>0</v>
      </c>
      <c s="14" r="Q404">
        <f>(N404+O404)+P404</f>
        <v>149.12</v>
      </c>
      <c s="23" r="R404">
        <f>(E404+L404)-M404</f>
        <v>228.03</v>
      </c>
      <c s="70" r="S404">
        <f>Q404-R404</f>
        <v>-78.91</v>
      </c>
      <c s="29" r="T404">
        <f> (Q404/R404) - 1</f>
        <v>-0.346050958207253</v>
      </c>
      <c t="str" s="70" r="U404">
        <f>R404/X404</f>
        <v>#DIV/0!:divZero</v>
      </c>
      <c t="str" s="70" r="V404">
        <f>Q404/X404</f>
        <v>#DIV/0!:divZero</v>
      </c>
      <c t="s" s="30" r="W404">
        <v>269</v>
      </c>
      <c s="30" r="X404">
        <v>0</v>
      </c>
      <c t="s" s="30" r="Y404">
        <v>270</v>
      </c>
      <c t="s" s="30" r="Z404">
        <v>42</v>
      </c>
      <c s="30" r="AA404">
        <v>0</v>
      </c>
      <c s="30" r="AB404">
        <v>0</v>
      </c>
      <c s="30" r="AC404">
        <v>0</v>
      </c>
      <c s="30" r="AD404">
        <v>0</v>
      </c>
      <c s="30" r="AE404"/>
      <c t="str" s="8" r="AF404">
        <f>(I404+J404)/R404</f>
        <v>#VALUE!:notNumber:NA</v>
      </c>
      <c t="str" s="28" r="AG404">
        <f>G404/$X404</f>
        <v>#DIV/0!:divZero</v>
      </c>
      <c t="str" s="28" r="AH404">
        <f>H404/$X404</f>
        <v>#DIV/0!:divZero</v>
      </c>
      <c t="str" s="28" r="AI404">
        <f>I404/$X404</f>
        <v>#DIV/0!:divZero</v>
      </c>
      <c t="str" s="28" r="AJ404">
        <f>J404/$X404</f>
        <v>#DIV/0!:divZero</v>
      </c>
      <c t="str" s="28" r="AK404">
        <f>K404/$X404</f>
        <v>#DIV/0!:divZero</v>
      </c>
      <c s="30" r="AL404">
        <v>1</v>
      </c>
    </row>
    <row r="405">
      <c s="30" r="A405">
        <v>404</v>
      </c>
      <c t="s" s="30" r="B405">
        <v>38</v>
      </c>
      <c s="62" r="C405">
        <v>41602</v>
      </c>
      <c s="52" r="D405">
        <v>0.833333333333333</v>
      </c>
      <c s="55" r="E405">
        <v>400</v>
      </c>
      <c s="55" r="F405"/>
      <c t="s" s="55" r="G405">
        <v>39</v>
      </c>
      <c t="s" s="55" r="H405">
        <v>39</v>
      </c>
      <c t="s" s="55" r="I405">
        <v>39</v>
      </c>
      <c t="s" s="55" r="J405">
        <v>39</v>
      </c>
      <c t="s" s="55" r="K405">
        <v>39</v>
      </c>
      <c s="80" r="L405">
        <f>58.61+49</f>
        <v>107.61</v>
      </c>
      <c s="79" r="M405">
        <v>96.8</v>
      </c>
      <c s="79" r="N405">
        <f>145.2+15.83</f>
        <v>161.03</v>
      </c>
      <c s="32" r="O405">
        <f>SUMIF(Sellables!$A$2:$A$11482, $A405, Sellables!$G$2:$G$11482)</f>
        <v>63.6728</v>
      </c>
      <c s="32" r="P405">
        <f>SUMIF(Skills!$A$2:$A$9999, A405, Skills!$F$2:$F$9999)</f>
        <v>0</v>
      </c>
      <c s="14" r="Q405">
        <f>(N405+O405)+P405</f>
        <v>224.7028</v>
      </c>
      <c s="23" r="R405">
        <f>(E405+L405)-M405</f>
        <v>410.81</v>
      </c>
      <c s="70" r="S405">
        <f>Q405-R405</f>
        <v>-186.1072</v>
      </c>
      <c s="29" r="T405">
        <f> (Q405/R405) - 1</f>
        <v>-0.453024999391446</v>
      </c>
      <c t="str" s="70" r="U405">
        <f>R405/X405</f>
        <v>#DIV/0!:divZero</v>
      </c>
      <c t="str" s="70" r="V405">
        <f>Q405/X405</f>
        <v>#DIV/0!:divZero</v>
      </c>
      <c t="s" s="30" r="W405">
        <v>271</v>
      </c>
      <c s="30" r="X405">
        <v>0</v>
      </c>
      <c t="s" s="30" r="Y405">
        <v>270</v>
      </c>
      <c t="s" s="30" r="Z405">
        <v>42</v>
      </c>
      <c s="30" r="AA405">
        <v>0</v>
      </c>
      <c s="30" r="AB405">
        <v>0</v>
      </c>
      <c s="30" r="AC405">
        <v>0</v>
      </c>
      <c s="30" r="AD405">
        <v>0</v>
      </c>
      <c s="30" r="AE405"/>
      <c t="str" s="8" r="AF405">
        <f>(I405+J405)/R405</f>
        <v>#VALUE!:notNumber:NA</v>
      </c>
      <c t="str" s="28" r="AG405">
        <f>G405/$X405</f>
        <v>#DIV/0!:divZero</v>
      </c>
      <c t="str" s="28" r="AH405">
        <f>H405/$X405</f>
        <v>#DIV/0!:divZero</v>
      </c>
      <c t="str" s="28" r="AI405">
        <f>I405/$X405</f>
        <v>#DIV/0!:divZero</v>
      </c>
      <c t="str" s="28" r="AJ405">
        <f>J405/$X405</f>
        <v>#DIV/0!:divZero</v>
      </c>
      <c t="str" s="28" r="AK405">
        <f>K405/$X405</f>
        <v>#DIV/0!:divZero</v>
      </c>
      <c s="30" r="AL405">
        <v>1</v>
      </c>
    </row>
    <row r="406">
      <c s="30" r="A406">
        <v>405</v>
      </c>
      <c t="s" s="30" r="B406">
        <v>38</v>
      </c>
      <c s="62" r="C406">
        <v>41602</v>
      </c>
      <c s="52" r="D406">
        <v>0.875</v>
      </c>
      <c s="55" r="E406">
        <v>408</v>
      </c>
      <c s="55" r="F406"/>
      <c t="s" s="55" r="G406">
        <v>39</v>
      </c>
      <c t="s" s="55" r="H406">
        <v>39</v>
      </c>
      <c t="s" s="55" r="I406">
        <v>39</v>
      </c>
      <c t="s" s="55" r="J406">
        <v>39</v>
      </c>
      <c t="s" s="55" r="K406">
        <v>39</v>
      </c>
      <c s="80" r="L406">
        <f>((53.86+76.88)+15)+83.40</f>
        <v>229.14</v>
      </c>
      <c s="79" r="M406">
        <f>(4.24+22.12)+9.63</f>
        <v>35.99</v>
      </c>
      <c s="79" r="N406">
        <f>(127.12+189.94)+93.23</f>
        <v>410.29</v>
      </c>
      <c s="32" r="O406">
        <f>SUMIF(Sellables!$A$2:$A$11482, $A406, Sellables!$G$2:$G$11482)</f>
        <v>47.8524</v>
      </c>
      <c s="32" r="P406">
        <f>SUMIF(Skills!$A$2:$A$9999, A406, Skills!$F$2:$F$9999)</f>
        <v>0</v>
      </c>
      <c s="14" r="Q406">
        <f>(N406+O406)+P406</f>
        <v>458.1424</v>
      </c>
      <c s="23" r="R406">
        <f>(E406+L406)-M406</f>
        <v>601.15</v>
      </c>
      <c s="70" r="S406">
        <f>Q406-R406</f>
        <v>-143.0076</v>
      </c>
      <c s="29" r="T406">
        <f> (Q406/R406) - 1</f>
        <v>-0.237890044082176</v>
      </c>
      <c s="70" r="U406">
        <f>R406/X406</f>
        <v>1.25239583333333</v>
      </c>
      <c s="70" r="V406">
        <f>Q406/X406</f>
        <v>0.954463333333333</v>
      </c>
      <c t="s" s="30" r="W406">
        <v>131</v>
      </c>
      <c s="30" r="X406">
        <f>1771-1291</f>
        <v>480</v>
      </c>
      <c t="s" s="30" r="Y406">
        <v>132</v>
      </c>
      <c t="s" s="30" r="Z406">
        <v>42</v>
      </c>
      <c s="30" r="AA406">
        <v>0</v>
      </c>
      <c s="30" r="AB406">
        <v>2</v>
      </c>
      <c s="30" r="AC406">
        <v>1</v>
      </c>
      <c s="30" r="AD406">
        <v>0</v>
      </c>
      <c s="30" r="AE406"/>
      <c t="str" s="8" r="AF406">
        <f>(I406+J406)/R406</f>
        <v>#VALUE!:notNumber:NA</v>
      </c>
      <c t="str" s="28" r="AG406">
        <f>G406/$X406</f>
        <v>#VALUE!:notNumber:NA</v>
      </c>
      <c t="str" s="28" r="AH406">
        <f>H406/$X406</f>
        <v>#VALUE!:notNumber:NA</v>
      </c>
      <c t="str" s="28" r="AI406">
        <f>I406/$X406</f>
        <v>#VALUE!:notNumber:NA</v>
      </c>
      <c t="str" s="28" r="AJ406">
        <f>J406/$X406</f>
        <v>#VALUE!:notNumber:NA</v>
      </c>
      <c t="str" s="28" r="AK406">
        <f>K406/$X406</f>
        <v>#VALUE!:notNumber:NA</v>
      </c>
      <c s="30" r="AL406">
        <v>1</v>
      </c>
    </row>
    <row r="407">
      <c s="30" r="A407">
        <v>406</v>
      </c>
      <c t="s" s="30" r="B407">
        <v>38</v>
      </c>
      <c s="62" r="C407">
        <v>41603</v>
      </c>
      <c s="52" r="D407">
        <v>0.666666666666667</v>
      </c>
      <c s="55" r="E407">
        <v>0</v>
      </c>
      <c s="55" r="F407"/>
      <c t="s" s="55" r="G407">
        <v>39</v>
      </c>
      <c t="s" s="55" r="H407">
        <v>39</v>
      </c>
      <c t="s" s="55" r="I407">
        <v>39</v>
      </c>
      <c t="s" s="55" r="J407">
        <v>39</v>
      </c>
      <c t="s" s="55" r="K407">
        <v>39</v>
      </c>
      <c s="80" r="L407">
        <v>142.69</v>
      </c>
      <c s="79" r="M407">
        <v>0</v>
      </c>
      <c s="79" r="N407">
        <v>96.72</v>
      </c>
      <c s="32" r="O407">
        <f>SUMIF(Sellables!$A$2:$A$11482, $A407, Sellables!$G$2:$G$11482)</f>
        <v>10.2492</v>
      </c>
      <c s="32" r="P407">
        <f>SUMIF(Skills!$A$2:$A$9999, A407, Skills!$F$2:$F$9999)</f>
        <v>0</v>
      </c>
      <c s="14" r="Q407">
        <f>(N407+O407)+P407</f>
        <v>106.9692</v>
      </c>
      <c s="23" r="R407">
        <f>(E407+L407)-M407</f>
        <v>142.69</v>
      </c>
      <c s="70" r="S407">
        <f>Q407-R407</f>
        <v>-35.7208</v>
      </c>
      <c s="29" r="T407">
        <f> (Q407/R407) - 1</f>
        <v>-0.250338496040367</v>
      </c>
      <c s="70" r="U407">
        <f>R407/X407</f>
        <v>1.09761538461538</v>
      </c>
      <c s="70" r="V407">
        <f>Q407/X407</f>
        <v>0.82284</v>
      </c>
      <c t="s" s="30" r="W407">
        <v>131</v>
      </c>
      <c s="30" r="X407">
        <f>1901-1771</f>
        <v>130</v>
      </c>
      <c t="s" s="30" r="Y407">
        <v>132</v>
      </c>
      <c t="s" s="30" r="Z407">
        <v>42</v>
      </c>
      <c s="30" r="AA407">
        <v>0</v>
      </c>
      <c s="30" r="AB407">
        <v>0</v>
      </c>
      <c s="30" r="AC407">
        <v>1</v>
      </c>
      <c s="30" r="AD407">
        <v>0</v>
      </c>
      <c s="30" r="AE407"/>
      <c t="str" s="8" r="AF407">
        <f>(I407+J407)/R407</f>
        <v>#VALUE!:notNumber:NA</v>
      </c>
      <c t="str" s="28" r="AG407">
        <f>G407/$X407</f>
        <v>#VALUE!:notNumber:NA</v>
      </c>
      <c t="str" s="28" r="AH407">
        <f>H407/$X407</f>
        <v>#VALUE!:notNumber:NA</v>
      </c>
      <c t="str" s="28" r="AI407">
        <f>I407/$X407</f>
        <v>#VALUE!:notNumber:NA</v>
      </c>
      <c t="str" s="28" r="AJ407">
        <f>J407/$X407</f>
        <v>#VALUE!:notNumber:NA</v>
      </c>
      <c t="str" s="28" r="AK407">
        <f>K407/$X407</f>
        <v>#VALUE!:notNumber:NA</v>
      </c>
      <c s="30" r="AL407">
        <v>1</v>
      </c>
    </row>
    <row r="408">
      <c s="30" r="A408">
        <v>407</v>
      </c>
      <c t="s" s="30" r="B408">
        <v>38</v>
      </c>
      <c s="62" r="C408">
        <v>41603</v>
      </c>
      <c s="52" r="D408">
        <v>0.708333333333333</v>
      </c>
      <c s="55" r="E408">
        <v>75</v>
      </c>
      <c s="55" r="F408"/>
      <c t="s" s="55" r="G408">
        <v>39</v>
      </c>
      <c t="s" s="55" r="H408">
        <v>39</v>
      </c>
      <c t="s" s="55" r="I408">
        <v>39</v>
      </c>
      <c t="s" s="55" r="J408">
        <v>39</v>
      </c>
      <c t="s" s="55" r="K408">
        <v>39</v>
      </c>
      <c s="80" r="L408">
        <v>21.61</v>
      </c>
      <c s="79" r="M408">
        <v>14.1</v>
      </c>
      <c s="79" r="N408">
        <v>35.54</v>
      </c>
      <c s="32" r="O408">
        <f>SUMIF(Sellables!$A$2:$A$11482, $A408, Sellables!$G$2:$G$11482)</f>
        <v>0</v>
      </c>
      <c s="32" r="P408">
        <f>SUMIF(Skills!$A$2:$A$9999, A408, Skills!$F$2:$F$9999)</f>
        <v>0</v>
      </c>
      <c s="14" r="Q408">
        <f>(N408+O408)+P408</f>
        <v>35.54</v>
      </c>
      <c s="23" r="R408">
        <f>(E408+L408)-M408</f>
        <v>82.51</v>
      </c>
      <c s="70" r="S408">
        <f>Q408-R408</f>
        <v>-46.97</v>
      </c>
      <c s="29" r="T408">
        <f> (Q408/R408) - 1</f>
        <v>-0.56926433159617</v>
      </c>
      <c s="70" r="U408">
        <f>R408/X408</f>
        <v>10.31375</v>
      </c>
      <c s="70" r="V408">
        <f>Q408/X408</f>
        <v>4.4425</v>
      </c>
      <c t="s" s="30" r="W408">
        <v>237</v>
      </c>
      <c s="30" r="X408">
        <v>8</v>
      </c>
      <c t="s" s="30" r="Y408">
        <v>238</v>
      </c>
      <c t="s" s="30" r="Z408">
        <v>42</v>
      </c>
      <c s="30" r="AA408">
        <v>0</v>
      </c>
      <c s="30" r="AB408">
        <v>0</v>
      </c>
      <c s="30" r="AC408">
        <v>1</v>
      </c>
      <c s="30" r="AD408">
        <v>0</v>
      </c>
      <c s="30" r="AE408"/>
      <c t="str" s="8" r="AF408">
        <f>(I408+J408)/R408</f>
        <v>#VALUE!:notNumber:NA</v>
      </c>
      <c t="str" s="28" r="AG408">
        <f>G408/$X408</f>
        <v>#VALUE!:notNumber:NA</v>
      </c>
      <c t="str" s="28" r="AH408">
        <f>H408/$X408</f>
        <v>#VALUE!:notNumber:NA</v>
      </c>
      <c t="str" s="28" r="AI408">
        <f>I408/$X408</f>
        <v>#VALUE!:notNumber:NA</v>
      </c>
      <c t="str" s="28" r="AJ408">
        <f>J408/$X408</f>
        <v>#VALUE!:notNumber:NA</v>
      </c>
      <c t="str" s="28" r="AK408">
        <f>K408/$X408</f>
        <v>#VALUE!:notNumber:NA</v>
      </c>
      <c s="30" r="AL408">
        <v>1</v>
      </c>
    </row>
    <row r="409">
      <c s="30" r="A409">
        <v>408</v>
      </c>
      <c t="s" s="30" r="B409">
        <v>38</v>
      </c>
      <c s="62" r="C409">
        <v>41603</v>
      </c>
      <c s="52" r="D409">
        <v>0.916666666666667</v>
      </c>
      <c s="55" r="E409">
        <v>0</v>
      </c>
      <c s="55" r="F409"/>
      <c t="s" s="55" r="G409">
        <v>39</v>
      </c>
      <c t="s" s="55" r="H409">
        <v>39</v>
      </c>
      <c t="s" s="55" r="I409">
        <v>39</v>
      </c>
      <c t="s" s="55" r="J409">
        <v>39</v>
      </c>
      <c t="s" s="55" r="K409">
        <v>39</v>
      </c>
      <c s="80" r="L409">
        <v>94.5</v>
      </c>
      <c s="79" r="M409">
        <v>0</v>
      </c>
      <c s="79" r="N409">
        <v>57.31</v>
      </c>
      <c s="32" r="O409">
        <f>SUMIF(Sellables!$A$2:$A$11482, $A409, Sellables!$G$2:$G$11482)</f>
        <v>1.8252</v>
      </c>
      <c s="32" r="P409">
        <f>SUMIF(Skills!$A$2:$A$9999, A409, Skills!$F$2:$F$9999)</f>
        <v>0</v>
      </c>
      <c s="14" r="Q409">
        <f>(N409+O409)+P409</f>
        <v>59.1352</v>
      </c>
      <c s="23" r="R409">
        <f>(E409+L409)-M409</f>
        <v>94.5</v>
      </c>
      <c s="70" r="S409">
        <f>Q409-R409</f>
        <v>-35.3648</v>
      </c>
      <c s="29" r="T409">
        <f> (Q409/R409) - 1</f>
        <v>-0.374230687830688</v>
      </c>
      <c s="70" r="U409">
        <f>R409/X409</f>
        <v>1.26</v>
      </c>
      <c s="70" r="V409">
        <f>Q409/X409</f>
        <v>0.788469333333333</v>
      </c>
      <c t="s" s="30" r="W409">
        <v>131</v>
      </c>
      <c s="30" r="X409">
        <f>1976-1901</f>
        <v>75</v>
      </c>
      <c t="s" s="30" r="Y409">
        <v>132</v>
      </c>
      <c t="s" s="30" r="Z409">
        <v>42</v>
      </c>
      <c s="30" r="AA409">
        <v>0</v>
      </c>
      <c s="30" r="AB409">
        <v>0</v>
      </c>
      <c s="30" r="AC409">
        <v>0</v>
      </c>
      <c s="30" r="AD409">
        <v>0</v>
      </c>
      <c s="30" r="AE409"/>
      <c t="str" s="8" r="AF409">
        <f>(I409+J409)/R409</f>
        <v>#VALUE!:notNumber:NA</v>
      </c>
      <c t="str" s="28" r="AG409">
        <f>G409/$X409</f>
        <v>#VALUE!:notNumber:NA</v>
      </c>
      <c t="str" s="28" r="AH409">
        <f>H409/$X409</f>
        <v>#VALUE!:notNumber:NA</v>
      </c>
      <c t="str" s="28" r="AI409">
        <f>I409/$X409</f>
        <v>#VALUE!:notNumber:NA</v>
      </c>
      <c t="str" s="28" r="AJ409">
        <f>J409/$X409</f>
        <v>#VALUE!:notNumber:NA</v>
      </c>
      <c t="str" s="28" r="AK409">
        <f>K409/$X409</f>
        <v>#VALUE!:notNumber:NA</v>
      </c>
      <c s="30" r="AL409">
        <v>1</v>
      </c>
    </row>
    <row r="410">
      <c s="30" r="A410">
        <v>409</v>
      </c>
      <c t="s" s="30" r="B410">
        <v>38</v>
      </c>
      <c s="62" r="C410">
        <v>41603</v>
      </c>
      <c s="52" r="D410">
        <v>0.958333333333333</v>
      </c>
      <c s="55" r="E410">
        <v>500</v>
      </c>
      <c s="55" r="F410"/>
      <c t="s" s="55" r="G410">
        <v>39</v>
      </c>
      <c t="s" s="55" r="H410">
        <v>39</v>
      </c>
      <c t="s" s="55" r="I410">
        <v>39</v>
      </c>
      <c t="s" s="55" r="J410">
        <v>39</v>
      </c>
      <c t="s" s="55" r="K410">
        <v>39</v>
      </c>
      <c s="80" r="L410">
        <v>134.12</v>
      </c>
      <c s="79" r="M410">
        <v>78.71</v>
      </c>
      <c s="79" r="N410">
        <v>693.78</v>
      </c>
      <c s="32" r="O410">
        <f>SUMIF(Sellables!$A$2:$A$11482, $A410, Sellables!$G$2:$G$11482)</f>
        <v>20.29</v>
      </c>
      <c s="32" r="P410">
        <f>SUMIF(Skills!$A$2:$A$9999, A410, Skills!$F$2:$F$9999)</f>
        <v>0</v>
      </c>
      <c s="14" r="Q410">
        <f>(N410+O410)+P410</f>
        <v>714.07</v>
      </c>
      <c s="23" r="R410">
        <f>(E410+L410)-M410</f>
        <v>555.41</v>
      </c>
      <c s="70" r="S410">
        <f>Q410-R410</f>
        <v>158.66</v>
      </c>
      <c s="29" r="T410">
        <f> (Q410/R410) - 1</f>
        <v>0.28566284366504</v>
      </c>
      <c s="70" r="U410">
        <f>R410/X410</f>
        <v>6.10340659340659</v>
      </c>
      <c s="70" r="V410">
        <f>Q410/X410</f>
        <v>7.84692307692308</v>
      </c>
      <c t="s" s="30" r="W410">
        <v>52</v>
      </c>
      <c s="30" r="X410">
        <f>343-252</f>
        <v>91</v>
      </c>
      <c t="s" s="30" r="Y410">
        <v>53</v>
      </c>
      <c t="s" s="30" r="Z410">
        <v>54</v>
      </c>
      <c s="30" r="AA410">
        <v>0</v>
      </c>
      <c s="30" r="AB410">
        <v>0</v>
      </c>
      <c s="30" r="AC410">
        <v>6</v>
      </c>
      <c s="30" r="AD410">
        <v>0</v>
      </c>
      <c s="30" r="AE410"/>
      <c t="str" s="8" r="AF410">
        <f>(I410+J410)/R410</f>
        <v>#VALUE!:notNumber:NA</v>
      </c>
      <c t="str" s="28" r="AG410">
        <f>G410/$X410</f>
        <v>#VALUE!:notNumber:NA</v>
      </c>
      <c t="str" s="28" r="AH410">
        <f>H410/$X410</f>
        <v>#VALUE!:notNumber:NA</v>
      </c>
      <c t="str" s="28" r="AI410">
        <f>I410/$X410</f>
        <v>#VALUE!:notNumber:NA</v>
      </c>
      <c t="str" s="28" r="AJ410">
        <f>J410/$X410</f>
        <v>#VALUE!:notNumber:NA</v>
      </c>
      <c t="str" s="28" r="AK410">
        <f>K410/$X410</f>
        <v>#VALUE!:notNumber:NA</v>
      </c>
      <c s="30" r="AL410">
        <v>1</v>
      </c>
    </row>
    <row r="411">
      <c s="30" r="A411">
        <v>410</v>
      </c>
      <c t="s" s="30" r="B411">
        <v>38</v>
      </c>
      <c s="62" r="C411">
        <v>41604</v>
      </c>
      <c s="52" r="D411">
        <v>0.708333333333333</v>
      </c>
      <c s="55" r="E411">
        <v>1000</v>
      </c>
      <c s="55" r="F411"/>
      <c t="s" s="55" r="G411">
        <v>39</v>
      </c>
      <c t="s" s="55" r="H411">
        <v>39</v>
      </c>
      <c t="s" s="55" r="I411">
        <v>39</v>
      </c>
      <c t="s" s="55" r="J411">
        <v>39</v>
      </c>
      <c t="s" s="55" r="K411">
        <v>39</v>
      </c>
      <c s="80" r="L411">
        <f>168.05+114.75</f>
        <v>282.8</v>
      </c>
      <c s="79" r="M411">
        <f>125.7+63.33</f>
        <v>189.03</v>
      </c>
      <c s="79" r="N411">
        <f>(339.64-23.70)+586.60</f>
        <v>902.54</v>
      </c>
      <c s="32" r="O411">
        <f>SUMIF(Sellables!$A$2:$A$11482, $A411, Sellables!$G$2:$G$11482)</f>
        <v>83.98</v>
      </c>
      <c s="32" r="P411">
        <f>SUMIF(Skills!$A$2:$A$9999, A411, Skills!$F$2:$F$9999)</f>
        <v>68.564</v>
      </c>
      <c s="14" r="Q411">
        <f>(N411+O411)+P411</f>
        <v>1055.084</v>
      </c>
      <c s="23" r="R411">
        <f>(E411+L411)-M411</f>
        <v>1093.77</v>
      </c>
      <c s="70" r="S411">
        <f>Q411-R411</f>
        <v>-38.6859999999999</v>
      </c>
      <c s="29" r="T411">
        <f> (Q411/R411) - 1</f>
        <v>-0.035369410387924</v>
      </c>
      <c s="70" r="U411">
        <f>R411/X411</f>
        <v>6.32236994219653</v>
      </c>
      <c s="70" r="V411">
        <f>Q411/X411</f>
        <v>6.0987514450867</v>
      </c>
      <c t="s" s="30" r="W411">
        <v>52</v>
      </c>
      <c s="30" r="X411">
        <f>(((416-343)+3)+94)+3</f>
        <v>173</v>
      </c>
      <c t="s" s="30" r="Y411">
        <v>53</v>
      </c>
      <c t="s" s="30" r="Z411">
        <v>54</v>
      </c>
      <c s="30" r="AA411">
        <v>0</v>
      </c>
      <c s="30" r="AB411">
        <v>1</v>
      </c>
      <c s="30" r="AC411">
        <v>4</v>
      </c>
      <c s="30" r="AD411">
        <v>0</v>
      </c>
      <c s="30" r="AE411"/>
      <c t="str" s="8" r="AF411">
        <f>(I411+J411)/R411</f>
        <v>#VALUE!:notNumber:NA</v>
      </c>
      <c t="str" s="28" r="AG411">
        <f>G411/$X411</f>
        <v>#VALUE!:notNumber:NA</v>
      </c>
      <c t="str" s="28" r="AH411">
        <f>H411/$X411</f>
        <v>#VALUE!:notNumber:NA</v>
      </c>
      <c t="str" s="28" r="AI411">
        <f>I411/$X411</f>
        <v>#VALUE!:notNumber:NA</v>
      </c>
      <c t="str" s="28" r="AJ411">
        <f>J411/$X411</f>
        <v>#VALUE!:notNumber:NA</v>
      </c>
      <c t="str" s="28" r="AK411">
        <f>K411/$X411</f>
        <v>#VALUE!:notNumber:NA</v>
      </c>
      <c s="30" r="AL411">
        <v>1</v>
      </c>
    </row>
    <row r="412">
      <c s="30" r="A412">
        <v>411</v>
      </c>
      <c t="s" s="30" r="B412">
        <v>55</v>
      </c>
      <c s="62" r="C412">
        <v>41604</v>
      </c>
      <c s="52" r="D412">
        <v>0.8125</v>
      </c>
      <c s="55" r="E412">
        <f>813*0.71</f>
        <v>577.23</v>
      </c>
      <c s="55" r="F412"/>
      <c t="s" s="55" r="G412">
        <v>39</v>
      </c>
      <c t="s" s="55" r="H412">
        <v>39</v>
      </c>
      <c t="s" s="55" r="I412">
        <v>39</v>
      </c>
      <c t="s" s="55" r="J412">
        <v>39</v>
      </c>
      <c t="s" s="55" r="K412">
        <v>39</v>
      </c>
      <c s="80" r="L412">
        <v>0</v>
      </c>
      <c s="79" r="M412">
        <v>0</v>
      </c>
      <c s="79" r="N412">
        <f>275.5+30.80</f>
        <v>306.3</v>
      </c>
      <c s="32" r="O412">
        <f>SUMIF(Sellables!$A$2:$A$11482, $A412, Sellables!$G$2:$G$11482)</f>
        <v>269.955</v>
      </c>
      <c s="32" r="P412">
        <f>SUMIF(Skills!$A$2:$A$9999, A412, Skills!$F$2:$F$9999)</f>
        <v>0</v>
      </c>
      <c s="14" r="Q412">
        <f>(N412+O412)+P412</f>
        <v>576.255</v>
      </c>
      <c s="23" r="R412">
        <f>(E412+L412)-M412</f>
        <v>577.23</v>
      </c>
      <c s="70" r="S412">
        <f>Q412-R412</f>
        <v>-0.975000000000023</v>
      </c>
      <c s="29" r="T412">
        <f> (Q412/R412) - 1</f>
        <v>-0.001689101398056</v>
      </c>
      <c t="str" s="70" r="U412">
        <f>R412/X412</f>
        <v>#DIV/0!:divZero</v>
      </c>
      <c t="str" s="70" r="V412">
        <f>Q412/X412</f>
        <v>#DIV/0!:divZero</v>
      </c>
      <c t="s" s="30" r="W412">
        <v>56</v>
      </c>
      <c s="30" r="X412">
        <v>0</v>
      </c>
      <c t="s" s="30" r="Y412">
        <v>104</v>
      </c>
      <c t="s" s="30" r="Z412">
        <v>42</v>
      </c>
      <c s="30" r="AA412">
        <v>0</v>
      </c>
      <c s="30" r="AB412">
        <v>0</v>
      </c>
      <c s="30" r="AC412">
        <v>1</v>
      </c>
      <c s="30" r="AD412">
        <v>0</v>
      </c>
      <c s="30" r="AE412"/>
      <c t="str" s="8" r="AF412">
        <f>(I412+J412)/R412</f>
        <v>#VALUE!:notNumber:NA</v>
      </c>
      <c t="str" s="28" r="AG412">
        <f>G412/$X412</f>
        <v>#DIV/0!:divZero</v>
      </c>
      <c t="str" s="28" r="AH412">
        <f>H412/$X412</f>
        <v>#DIV/0!:divZero</v>
      </c>
      <c t="str" s="28" r="AI412">
        <f>I412/$X412</f>
        <v>#DIV/0!:divZero</v>
      </c>
      <c t="str" s="28" r="AJ412">
        <f>J412/$X412</f>
        <v>#DIV/0!:divZero</v>
      </c>
      <c t="str" s="28" r="AK412">
        <f>K412/$X412</f>
        <v>#DIV/0!:divZero</v>
      </c>
      <c s="30" r="AL412">
        <v>1</v>
      </c>
    </row>
    <row r="413">
      <c s="30" r="A413">
        <v>412</v>
      </c>
      <c t="s" s="30" r="B413">
        <v>55</v>
      </c>
      <c s="62" r="C413">
        <v>41604</v>
      </c>
      <c s="52" r="D413">
        <v>0.875</v>
      </c>
      <c s="55" r="E413">
        <f>90*0.31</f>
        <v>27.9</v>
      </c>
      <c s="55" r="F413"/>
      <c t="s" s="55" r="G413">
        <v>39</v>
      </c>
      <c t="s" s="55" r="H413">
        <v>39</v>
      </c>
      <c t="s" s="55" r="I413">
        <v>39</v>
      </c>
      <c t="s" s="55" r="J413">
        <v>39</v>
      </c>
      <c t="s" s="55" r="K413">
        <v>39</v>
      </c>
      <c s="80" r="L413">
        <v>0</v>
      </c>
      <c s="79" r="M413">
        <v>0</v>
      </c>
      <c s="79" r="N413">
        <f>18.83-3.96</f>
        <v>14.87</v>
      </c>
      <c s="32" r="O413">
        <f>SUMIF(Sellables!$A$2:$A$11482, $A413, Sellables!$G$2:$G$11482)</f>
        <v>4.257</v>
      </c>
      <c s="32" r="P413">
        <f>SUMIF(Skills!$A$2:$A$9999, A413, Skills!$F$2:$F$9999)</f>
        <v>0</v>
      </c>
      <c s="14" r="Q413">
        <f>(N413+O413)+P413</f>
        <v>19.127</v>
      </c>
      <c s="23" r="R413">
        <f>(E413+L413)-M413</f>
        <v>27.9</v>
      </c>
      <c s="70" r="S413">
        <f>Q413-R413</f>
        <v>-8.773</v>
      </c>
      <c s="29" r="T413">
        <f> (Q413/R413) - 1</f>
        <v>-0.314444444444444</v>
      </c>
      <c t="str" s="70" r="U413">
        <f>R413/X413</f>
        <v>#DIV/0!:divZero</v>
      </c>
      <c t="str" s="70" r="V413">
        <f>Q413/X413</f>
        <v>#DIV/0!:divZero</v>
      </c>
      <c t="s" s="30" r="W413">
        <v>133</v>
      </c>
      <c s="30" r="X413">
        <v>0</v>
      </c>
      <c t="s" s="30" r="Y413">
        <v>104</v>
      </c>
      <c t="s" s="30" r="Z413">
        <v>42</v>
      </c>
      <c s="30" r="AA413">
        <v>0</v>
      </c>
      <c s="30" r="AB413">
        <v>0</v>
      </c>
      <c s="30" r="AC413">
        <v>0</v>
      </c>
      <c s="30" r="AD413">
        <v>0</v>
      </c>
      <c s="30" r="AE413"/>
      <c t="str" s="8" r="AF413">
        <f>(I413+J413)/R413</f>
        <v>#VALUE!:notNumber:NA</v>
      </c>
      <c t="str" s="28" r="AG413">
        <f>G413/$X413</f>
        <v>#DIV/0!:divZero</v>
      </c>
      <c t="str" s="28" r="AH413">
        <f>H413/$X413</f>
        <v>#DIV/0!:divZero</v>
      </c>
      <c t="str" s="28" r="AI413">
        <f>I413/$X413</f>
        <v>#DIV/0!:divZero</v>
      </c>
      <c t="str" s="28" r="AJ413">
        <f>J413/$X413</f>
        <v>#DIV/0!:divZero</v>
      </c>
      <c t="str" s="28" r="AK413">
        <f>K413/$X413</f>
        <v>#DIV/0!:divZero</v>
      </c>
      <c s="30" r="AL413">
        <v>1</v>
      </c>
    </row>
    <row r="414">
      <c s="30" r="A414">
        <v>413</v>
      </c>
      <c t="s" s="30" r="B414">
        <v>38</v>
      </c>
      <c s="62" r="C414">
        <v>41604</v>
      </c>
      <c s="52" r="D414">
        <v>0.895833333333333</v>
      </c>
      <c s="55" r="E414">
        <v>500</v>
      </c>
      <c s="55" r="F414"/>
      <c t="s" s="55" r="G414">
        <v>39</v>
      </c>
      <c t="s" s="55" r="H414">
        <v>39</v>
      </c>
      <c t="s" s="55" r="I414">
        <v>39</v>
      </c>
      <c t="s" s="55" r="J414">
        <v>39</v>
      </c>
      <c t="s" s="55" r="K414">
        <v>39</v>
      </c>
      <c s="80" r="L414">
        <v>191.4</v>
      </c>
      <c s="79" r="M414">
        <v>62.99</v>
      </c>
      <c s="79" r="N414">
        <v>481.92</v>
      </c>
      <c s="32" r="O414">
        <f>SUMIF(Sellables!$A$2:$A$11482, $A414, Sellables!$G$2:$G$11482)</f>
        <v>19.8</v>
      </c>
      <c s="32" r="P414">
        <f>SUMIF(Skills!$A$2:$A$9999, A414, Skills!$F$2:$F$9999)</f>
        <v>0</v>
      </c>
      <c s="14" r="Q414">
        <f>(N414+O414)+P414</f>
        <v>501.72</v>
      </c>
      <c s="23" r="R414">
        <f>(E414+L414)-M414</f>
        <v>628.41</v>
      </c>
      <c s="70" r="S414">
        <f>Q414-R414</f>
        <v>-126.69</v>
      </c>
      <c s="29" r="T414">
        <f> (Q414/R414) - 1</f>
        <v>-0.201604048312407</v>
      </c>
      <c s="70" r="U414">
        <f>R414/X414</f>
        <v>6.47845360824742</v>
      </c>
      <c s="70" r="V414">
        <f>Q414/X414</f>
        <v>5.17237113402062</v>
      </c>
      <c t="s" s="30" r="W414">
        <v>52</v>
      </c>
      <c s="30" r="X414">
        <v>97</v>
      </c>
      <c t="s" s="30" r="Y414">
        <v>53</v>
      </c>
      <c t="s" s="30" r="Z414">
        <v>54</v>
      </c>
      <c s="30" r="AA414">
        <v>0</v>
      </c>
      <c s="30" r="AB414">
        <v>0</v>
      </c>
      <c s="30" r="AC414">
        <v>2</v>
      </c>
      <c s="30" r="AD414">
        <v>0</v>
      </c>
      <c s="30" r="AE414"/>
      <c t="str" s="8" r="AF414">
        <f>(I414+J414)/R414</f>
        <v>#VALUE!:notNumber:NA</v>
      </c>
      <c t="str" s="28" r="AG414">
        <f>G414/$X414</f>
        <v>#VALUE!:notNumber:NA</v>
      </c>
      <c t="str" s="28" r="AH414">
        <f>H414/$X414</f>
        <v>#VALUE!:notNumber:NA</v>
      </c>
      <c t="str" s="28" r="AI414">
        <f>I414/$X414</f>
        <v>#VALUE!:notNumber:NA</v>
      </c>
      <c t="str" s="28" r="AJ414">
        <f>J414/$X414</f>
        <v>#VALUE!:notNumber:NA</v>
      </c>
      <c t="str" s="28" r="AK414">
        <f>K414/$X414</f>
        <v>#VALUE!:notNumber:NA</v>
      </c>
      <c s="30" r="AL414">
        <v>1</v>
      </c>
    </row>
    <row r="415">
      <c s="30" r="A415">
        <v>414</v>
      </c>
      <c t="s" s="30" r="B415">
        <v>55</v>
      </c>
      <c s="62" r="C415">
        <v>41605</v>
      </c>
      <c s="52" r="D415">
        <v>0.666666666666667</v>
      </c>
      <c s="55" r="E415">
        <f>2286*0.125</f>
        <v>285.75</v>
      </c>
      <c s="55" r="F415"/>
      <c t="s" s="55" r="G415">
        <v>39</v>
      </c>
      <c t="s" s="55" r="H415">
        <v>39</v>
      </c>
      <c t="s" s="55" r="I415">
        <v>39</v>
      </c>
      <c t="s" s="55" r="J415">
        <v>39</v>
      </c>
      <c t="s" s="55" r="K415">
        <v>39</v>
      </c>
      <c s="80" r="L415">
        <v>0</v>
      </c>
      <c s="79" r="M415">
        <v>0</v>
      </c>
      <c s="79" r="N415">
        <f>((270.26-78.17)-12.92)-134.16</f>
        <v>45.01</v>
      </c>
      <c s="32" r="O415">
        <f>SUMIF(Sellables!$A$2:$A$11482, $A415, Sellables!$G$2:$G$11482)</f>
        <v>326.00429</v>
      </c>
      <c s="32" r="P415">
        <f>SUMIF(Skills!$A$2:$A$9999, A415, Skills!$F$2:$F$9999)</f>
        <v>0</v>
      </c>
      <c s="14" r="Q415">
        <f>(N415+O415)+P415</f>
        <v>371.01429</v>
      </c>
      <c s="23" r="R415">
        <f>(E415+L415)-M415</f>
        <v>285.75</v>
      </c>
      <c s="70" r="S415">
        <f>Q415-R415</f>
        <v>85.26429</v>
      </c>
      <c s="29" r="T415">
        <f> (Q415/R415) - 1</f>
        <v>0.298387716535433</v>
      </c>
      <c t="str" s="70" r="U415">
        <f>R415/X415</f>
        <v>#DIV/0!:divZero</v>
      </c>
      <c t="str" s="70" r="V415">
        <f>Q415/X415</f>
        <v>#DIV/0!:divZero</v>
      </c>
      <c t="s" s="30" r="W415">
        <v>272</v>
      </c>
      <c s="30" r="X415">
        <v>0</v>
      </c>
      <c t="s" s="30" r="Y415">
        <v>104</v>
      </c>
      <c t="s" s="30" r="Z415">
        <v>42</v>
      </c>
      <c s="30" r="AA415">
        <v>0</v>
      </c>
      <c s="30" r="AB415">
        <v>1</v>
      </c>
      <c s="30" r="AC415">
        <v>0</v>
      </c>
      <c s="30" r="AD415">
        <v>0</v>
      </c>
      <c s="30" r="AE415"/>
      <c t="str" s="8" r="AF415">
        <f>(I415+J415)/R415</f>
        <v>#VALUE!:notNumber:NA</v>
      </c>
      <c t="str" s="28" r="AG415">
        <f>G415/$X415</f>
        <v>#DIV/0!:divZero</v>
      </c>
      <c t="str" s="28" r="AH415">
        <f>H415/$X415</f>
        <v>#DIV/0!:divZero</v>
      </c>
      <c t="str" s="28" r="AI415">
        <f>I415/$X415</f>
        <v>#DIV/0!:divZero</v>
      </c>
      <c t="str" s="28" r="AJ415">
        <f>J415/$X415</f>
        <v>#DIV/0!:divZero</v>
      </c>
      <c t="str" s="28" r="AK415">
        <f>K415/$X415</f>
        <v>#DIV/0!:divZero</v>
      </c>
      <c s="30" r="AL415">
        <v>1</v>
      </c>
    </row>
    <row r="416">
      <c s="30" r="A416">
        <v>415</v>
      </c>
      <c t="s" s="30" r="B416">
        <v>38</v>
      </c>
      <c s="62" r="C416">
        <v>41605</v>
      </c>
      <c s="52" r="D416">
        <v>0.729166666666667</v>
      </c>
      <c s="55" r="E416">
        <v>250</v>
      </c>
      <c s="55" r="F416"/>
      <c t="s" s="55" r="G416">
        <v>39</v>
      </c>
      <c t="s" s="55" r="H416">
        <v>39</v>
      </c>
      <c t="s" s="55" r="I416">
        <v>39</v>
      </c>
      <c t="s" s="55" r="J416">
        <v>39</v>
      </c>
      <c t="s" s="55" r="K416">
        <v>39</v>
      </c>
      <c s="80" r="L416">
        <v>107.54</v>
      </c>
      <c s="79" r="M416">
        <v>13.73</v>
      </c>
      <c s="79" r="N416">
        <v>218.32</v>
      </c>
      <c s="32" r="O416">
        <f>SUMIF(Sellables!$A$2:$A$11482, $A416, Sellables!$G$2:$G$11482)</f>
        <v>0</v>
      </c>
      <c s="32" r="P416">
        <f>SUMIF(Skills!$A$2:$A$9999, A416, Skills!$F$2:$F$9999)</f>
        <v>0</v>
      </c>
      <c s="14" r="Q416">
        <f>(N416+O416)+P416</f>
        <v>218.32</v>
      </c>
      <c s="23" r="R416">
        <f>(E416+L416)-M416</f>
        <v>343.81</v>
      </c>
      <c s="70" r="S416">
        <f>Q416-R416</f>
        <v>-125.49</v>
      </c>
      <c s="29" r="T416">
        <f> (Q416/R416) - 1</f>
        <v>-0.364998109420901</v>
      </c>
      <c t="str" s="70" r="U416">
        <f>R416/X416</f>
        <v>#DIV/0!:divZero</v>
      </c>
      <c t="str" s="70" r="V416">
        <f>Q416/X416</f>
        <v>#DIV/0!:divZero</v>
      </c>
      <c t="s" s="30" r="W416">
        <v>273</v>
      </c>
      <c s="30" r="X416">
        <v>0</v>
      </c>
      <c t="s" s="30" r="Y416">
        <v>268</v>
      </c>
      <c t="s" s="30" r="Z416">
        <v>42</v>
      </c>
      <c s="30" r="AA416">
        <v>0</v>
      </c>
      <c s="30" r="AB416">
        <v>0</v>
      </c>
      <c s="30" r="AC416">
        <v>0</v>
      </c>
      <c s="30" r="AD416">
        <v>0</v>
      </c>
      <c s="30" r="AE416"/>
      <c t="str" s="8" r="AF416">
        <f>(I416+J416)/R416</f>
        <v>#VALUE!:notNumber:NA</v>
      </c>
      <c t="str" s="28" r="AG416">
        <f>G416/$X416</f>
        <v>#DIV/0!:divZero</v>
      </c>
      <c t="str" s="28" r="AH416">
        <f>H416/$X416</f>
        <v>#DIV/0!:divZero</v>
      </c>
      <c t="str" s="28" r="AI416">
        <f>I416/$X416</f>
        <v>#DIV/0!:divZero</v>
      </c>
      <c t="str" s="28" r="AJ416">
        <f>J416/$X416</f>
        <v>#DIV/0!:divZero</v>
      </c>
      <c t="str" s="28" r="AK416">
        <f>K416/$X416</f>
        <v>#DIV/0!:divZero</v>
      </c>
      <c s="30" r="AL416">
        <v>1</v>
      </c>
    </row>
    <row r="417">
      <c s="30" r="A417">
        <v>416</v>
      </c>
      <c t="s" s="30" r="B417">
        <v>55</v>
      </c>
      <c s="62" r="C417">
        <v>41605</v>
      </c>
      <c s="52" r="D417">
        <v>0.791666666666667</v>
      </c>
      <c s="55" r="E417">
        <f>323*0.91</f>
        <v>293.93</v>
      </c>
      <c s="55" r="F417"/>
      <c t="s" s="55" r="G417">
        <v>39</v>
      </c>
      <c t="s" s="55" r="H417">
        <v>39</v>
      </c>
      <c t="s" s="55" r="I417">
        <v>39</v>
      </c>
      <c t="s" s="55" r="J417">
        <v>39</v>
      </c>
      <c t="s" s="55" r="K417">
        <v>39</v>
      </c>
      <c s="80" r="L417">
        <v>0</v>
      </c>
      <c s="79" r="M417">
        <v>0</v>
      </c>
      <c s="79" r="N417">
        <f>238.23-127.20</f>
        <v>111.03</v>
      </c>
      <c s="32" r="O417">
        <f>SUMIF(Sellables!$A$2:$A$11482, $A417, Sellables!$G$2:$G$11482)</f>
        <v>134.832</v>
      </c>
      <c s="32" r="P417">
        <f>SUMIF(Skills!$A$2:$A$9999, A417, Skills!$F$2:$F$9999)</f>
        <v>0</v>
      </c>
      <c s="14" r="Q417">
        <f>(N417+O417)+P417</f>
        <v>245.862</v>
      </c>
      <c s="23" r="R417">
        <f>(E417+L417)-M417</f>
        <v>293.93</v>
      </c>
      <c s="70" r="S417">
        <f>Q417-R417</f>
        <v>-48.068</v>
      </c>
      <c s="29" r="T417">
        <f> (Q417/R417) - 1</f>
        <v>-0.163535535671758</v>
      </c>
      <c t="str" s="70" r="U417">
        <f>R417/X417</f>
        <v>#DIV/0!:divZero</v>
      </c>
      <c t="str" s="70" r="V417">
        <f>Q417/X417</f>
        <v>#DIV/0!:divZero</v>
      </c>
      <c t="s" s="30" r="W417">
        <v>139</v>
      </c>
      <c s="30" r="X417">
        <v>0</v>
      </c>
      <c t="s" s="30" r="Y417">
        <v>104</v>
      </c>
      <c t="s" s="30" r="Z417">
        <v>42</v>
      </c>
      <c s="30" r="AA417">
        <v>0</v>
      </c>
      <c s="30" r="AB417">
        <v>0</v>
      </c>
      <c s="30" r="AC417">
        <v>0</v>
      </c>
      <c s="30" r="AD417">
        <v>0</v>
      </c>
      <c s="30" r="AE417"/>
      <c t="str" s="8" r="AF417">
        <f>(I417+J417)/R417</f>
        <v>#VALUE!:notNumber:NA</v>
      </c>
      <c t="str" s="28" r="AG417">
        <f>G417/$X417</f>
        <v>#DIV/0!:divZero</v>
      </c>
      <c t="str" s="28" r="AH417">
        <f>H417/$X417</f>
        <v>#DIV/0!:divZero</v>
      </c>
      <c t="str" s="28" r="AI417">
        <f>I417/$X417</f>
        <v>#DIV/0!:divZero</v>
      </c>
      <c t="str" s="28" r="AJ417">
        <f>J417/$X417</f>
        <v>#DIV/0!:divZero</v>
      </c>
      <c t="str" s="28" r="AK417">
        <f>K417/$X417</f>
        <v>#DIV/0!:divZero</v>
      </c>
      <c s="30" r="AL417">
        <v>1</v>
      </c>
    </row>
    <row r="418">
      <c s="30" r="A418">
        <v>417</v>
      </c>
      <c t="s" s="30" r="B418">
        <v>38</v>
      </c>
      <c s="62" r="C418">
        <v>41605</v>
      </c>
      <c s="52" r="D418">
        <v>0.833333333333333</v>
      </c>
      <c s="55" r="E418">
        <v>375</v>
      </c>
      <c s="55" r="F418"/>
      <c t="s" s="55" r="G418">
        <v>39</v>
      </c>
      <c t="s" s="55" r="H418">
        <v>39</v>
      </c>
      <c t="s" s="55" r="I418">
        <v>39</v>
      </c>
      <c t="s" s="55" r="J418">
        <v>39</v>
      </c>
      <c t="s" s="55" r="K418">
        <v>39</v>
      </c>
      <c s="80" r="L418">
        <v>24.94</v>
      </c>
      <c s="79" r="M418">
        <v>238.21</v>
      </c>
      <c s="79" r="N418">
        <v>43.99</v>
      </c>
      <c s="32" r="O418">
        <f>SUMIF(Sellables!$A$2:$A$11482, $A418, Sellables!$G$2:$G$11482)</f>
        <v>80.7296</v>
      </c>
      <c s="32" r="P418">
        <f>SUMIF(Skills!$A$2:$A$9999, A418, Skills!$F$2:$F$9999)</f>
        <v>0</v>
      </c>
      <c s="14" r="Q418">
        <f>(N418+O418)+P418</f>
        <v>124.7196</v>
      </c>
      <c s="23" r="R418">
        <f>(E418+L418)-M418</f>
        <v>161.73</v>
      </c>
      <c s="70" r="S418">
        <f>Q418-R418</f>
        <v>-37.0104</v>
      </c>
      <c s="29" r="T418">
        <f> (Q418/R418) - 1</f>
        <v>-0.228840660359859</v>
      </c>
      <c t="str" s="70" r="U418">
        <f>R418/X418</f>
        <v>#DIV/0!:divZero</v>
      </c>
      <c t="str" s="70" r="V418">
        <f>Q418/X418</f>
        <v>#DIV/0!:divZero</v>
      </c>
      <c t="s" s="30" r="W418">
        <v>99</v>
      </c>
      <c s="30" r="X418">
        <v>0</v>
      </c>
      <c t="s" s="30" r="Y418">
        <v>41</v>
      </c>
      <c t="s" s="30" r="Z418">
        <v>42</v>
      </c>
      <c s="30" r="AA418">
        <v>0</v>
      </c>
      <c s="30" r="AB418">
        <v>0</v>
      </c>
      <c s="30" r="AC418">
        <v>0</v>
      </c>
      <c s="30" r="AD418">
        <v>0</v>
      </c>
      <c s="30" r="AE418"/>
      <c t="str" s="8" r="AF418">
        <f>(I418+J418)/R418</f>
        <v>#VALUE!:notNumber:NA</v>
      </c>
      <c t="str" s="28" r="AG418">
        <f>G418/$X418</f>
        <v>#DIV/0!:divZero</v>
      </c>
      <c t="str" s="28" r="AH418">
        <f>H418/$X418</f>
        <v>#DIV/0!:divZero</v>
      </c>
      <c t="str" s="28" r="AI418">
        <f>I418/$X418</f>
        <v>#DIV/0!:divZero</v>
      </c>
      <c t="str" s="28" r="AJ418">
        <f>J418/$X418</f>
        <v>#DIV/0!:divZero</v>
      </c>
      <c t="str" s="28" r="AK418">
        <f>K418/$X418</f>
        <v>#DIV/0!:divZero</v>
      </c>
      <c s="30" r="AL418">
        <v>1</v>
      </c>
    </row>
    <row r="419">
      <c s="30" r="A419">
        <v>418</v>
      </c>
      <c t="s" s="30" r="B419">
        <v>38</v>
      </c>
      <c s="62" r="C419">
        <v>41605</v>
      </c>
      <c s="52" r="D419">
        <v>0.833333333333333</v>
      </c>
      <c s="55" r="E419">
        <v>1600</v>
      </c>
      <c s="55" r="F419"/>
      <c t="s" s="55" r="G419">
        <v>39</v>
      </c>
      <c t="s" s="55" r="H419">
        <v>39</v>
      </c>
      <c t="s" s="55" r="I419">
        <v>39</v>
      </c>
      <c t="s" s="55" r="J419">
        <v>39</v>
      </c>
      <c t="s" s="55" r="K419">
        <v>39</v>
      </c>
      <c s="80" r="L419">
        <f>(((46.25+74.40)+71.93)+68.12)+143.02</f>
        <v>403.72</v>
      </c>
      <c s="79" r="M419">
        <f>67.32+330.38</f>
        <v>397.7</v>
      </c>
      <c s="79" r="N419">
        <f>((37.01+29.25)+17.87)+868.05</f>
        <v>952.18</v>
      </c>
      <c s="32" r="O419">
        <f>SUMIF(Sellables!$A$2:$A$11482, $A419, Sellables!$G$2:$G$11482)</f>
        <v>0</v>
      </c>
      <c s="32" r="P419">
        <f>SUMIF(Skills!$A$2:$A$9999, A419, Skills!$F$2:$F$9999)</f>
        <v>79.212</v>
      </c>
      <c s="14" r="Q419">
        <f>(N419+O419)+P419</f>
        <v>1031.392</v>
      </c>
      <c s="23" r="R419">
        <f>(E419+L419)-M419</f>
        <v>1606.02</v>
      </c>
      <c s="70" r="S419">
        <f>Q419-R419</f>
        <v>-574.628</v>
      </c>
      <c s="29" r="T419">
        <f> (Q419/R419) - 1</f>
        <v>-0.357796291453406</v>
      </c>
      <c t="str" s="70" r="U419">
        <f>R419/X419</f>
        <v>#DIV/0!:divZero</v>
      </c>
      <c t="str" s="70" r="V419">
        <f>Q419/X419</f>
        <v>#DIV/0!:divZero</v>
      </c>
      <c t="s" s="30" r="W419">
        <v>274</v>
      </c>
      <c s="30" r="X419">
        <v>0</v>
      </c>
      <c t="s" s="30" r="Y419">
        <v>67</v>
      </c>
      <c t="s" s="30" r="Z419">
        <v>65</v>
      </c>
      <c s="30" r="AA419">
        <v>0</v>
      </c>
      <c s="30" r="AB419">
        <v>1</v>
      </c>
      <c s="30" r="AC419">
        <v>1</v>
      </c>
      <c s="30" r="AD419">
        <v>0</v>
      </c>
      <c s="30" r="AE419"/>
      <c t="str" s="8" r="AF419">
        <f>(I419+J419)/R419</f>
        <v>#VALUE!:notNumber:NA</v>
      </c>
      <c t="str" s="28" r="AG419">
        <f>G419/$X419</f>
        <v>#DIV/0!:divZero</v>
      </c>
      <c t="str" s="28" r="AH419">
        <f>H419/$X419</f>
        <v>#DIV/0!:divZero</v>
      </c>
      <c t="str" s="28" r="AI419">
        <f>I419/$X419</f>
        <v>#DIV/0!:divZero</v>
      </c>
      <c t="str" s="28" r="AJ419">
        <f>J419/$X419</f>
        <v>#DIV/0!:divZero</v>
      </c>
      <c t="str" s="28" r="AK419">
        <f>K419/$X419</f>
        <v>#DIV/0!:divZero</v>
      </c>
      <c s="30" r="AL419">
        <v>1</v>
      </c>
    </row>
    <row r="420">
      <c s="30" r="A420">
        <v>419</v>
      </c>
      <c t="s" s="30" r="B420">
        <v>55</v>
      </c>
      <c s="62" r="C420">
        <v>41606</v>
      </c>
      <c s="52" r="D420">
        <v>0.0625</v>
      </c>
      <c s="55" r="E420">
        <f>287*0.71</f>
        <v>203.77</v>
      </c>
      <c s="55" r="F420"/>
      <c t="s" s="55" r="G420">
        <v>39</v>
      </c>
      <c t="s" s="55" r="H420">
        <v>39</v>
      </c>
      <c t="s" s="55" r="I420">
        <v>39</v>
      </c>
      <c t="s" s="55" r="J420">
        <v>39</v>
      </c>
      <c t="s" s="55" r="K420">
        <v>39</v>
      </c>
      <c s="80" r="L420">
        <v>0</v>
      </c>
      <c s="79" r="M420">
        <v>0</v>
      </c>
      <c s="79" r="N420">
        <f>167.72-84.90</f>
        <v>82.82</v>
      </c>
      <c s="32" r="O420">
        <f>SUMIF(Sellables!$A$2:$A$11482, $A420, Sellables!$G$2:$G$11482)</f>
        <v>89.145</v>
      </c>
      <c s="32" r="P420">
        <f>SUMIF(Skills!$A$2:$A$9999, A420, Skills!$F$2:$F$9999)</f>
        <v>0</v>
      </c>
      <c s="14" r="Q420">
        <f>(N420+O420)+P420</f>
        <v>171.965</v>
      </c>
      <c s="23" r="R420">
        <f>(E420+L420)-M420</f>
        <v>203.77</v>
      </c>
      <c s="70" r="S420">
        <f>Q420-R420</f>
        <v>-31.805</v>
      </c>
      <c s="29" r="T420">
        <f> (Q420/R420) - 1</f>
        <v>-0.156082838494381</v>
      </c>
      <c t="str" s="70" r="U420">
        <f>R420/X420</f>
        <v>#DIV/0!:divZero</v>
      </c>
      <c t="str" s="70" r="V420">
        <f>Q420/X420</f>
        <v>#DIV/0!:divZero</v>
      </c>
      <c t="s" s="30" r="W420">
        <v>56</v>
      </c>
      <c s="30" r="X420">
        <v>0</v>
      </c>
      <c t="s" s="30" r="Y420">
        <v>87</v>
      </c>
      <c t="s" s="30" r="Z420">
        <v>65</v>
      </c>
      <c s="30" r="AA420">
        <v>0</v>
      </c>
      <c s="30" r="AB420">
        <v>0</v>
      </c>
      <c s="30" r="AC420">
        <v>0</v>
      </c>
      <c s="30" r="AD420">
        <v>0</v>
      </c>
      <c s="30" r="AE420"/>
      <c t="str" s="8" r="AF420">
        <f>(I420+J420)/R420</f>
        <v>#VALUE!:notNumber:NA</v>
      </c>
      <c t="str" s="28" r="AG420">
        <f>G420/$X420</f>
        <v>#DIV/0!:divZero</v>
      </c>
      <c t="str" s="28" r="AH420">
        <f>H420/$X420</f>
        <v>#DIV/0!:divZero</v>
      </c>
      <c t="str" s="28" r="AI420">
        <f>I420/$X420</f>
        <v>#DIV/0!:divZero</v>
      </c>
      <c t="str" s="28" r="AJ420">
        <f>J420/$X420</f>
        <v>#DIV/0!:divZero</v>
      </c>
      <c t="str" s="28" r="AK420">
        <f>K420/$X420</f>
        <v>#DIV/0!:divZero</v>
      </c>
      <c s="30" r="AL420">
        <v>1</v>
      </c>
    </row>
    <row r="421">
      <c s="30" r="A421">
        <v>420</v>
      </c>
      <c t="s" s="30" r="B421">
        <v>38</v>
      </c>
      <c s="62" r="C421">
        <v>41606</v>
      </c>
      <c s="52" r="D421">
        <v>0.5</v>
      </c>
      <c s="55" r="E421">
        <v>0</v>
      </c>
      <c s="55" r="F421"/>
      <c t="s" s="55" r="G421">
        <v>39</v>
      </c>
      <c t="s" s="55" r="H421">
        <v>39</v>
      </c>
      <c t="s" s="55" r="I421">
        <v>39</v>
      </c>
      <c t="s" s="55" r="J421">
        <v>39</v>
      </c>
      <c t="s" s="55" r="K421">
        <v>39</v>
      </c>
      <c s="80" r="L421">
        <v>66.35</v>
      </c>
      <c s="79" r="M421">
        <v>0</v>
      </c>
      <c s="79" r="N421">
        <v>53.93</v>
      </c>
      <c s="32" r="O421">
        <f>SUMIF(Sellables!$A$2:$A$11482, $A421, Sellables!$G$2:$G$11482)</f>
        <v>0</v>
      </c>
      <c s="32" r="P421">
        <f>SUMIF(Skills!$A$2:$A$9999, A421, Skills!$F$2:$F$9999)</f>
        <v>0</v>
      </c>
      <c s="14" r="Q421">
        <f>(N421+O421)+P421</f>
        <v>53.93</v>
      </c>
      <c s="23" r="R421">
        <f>(E421+L421)-M421</f>
        <v>66.35</v>
      </c>
      <c s="70" r="S421">
        <f>Q421-R421</f>
        <v>-12.42</v>
      </c>
      <c s="29" r="T421">
        <f> (Q421/R421) - 1</f>
        <v>-0.187189148455162</v>
      </c>
      <c t="str" s="70" r="U421">
        <f>R421/X421</f>
        <v>#DIV/0!:divZero</v>
      </c>
      <c t="str" s="70" r="V421">
        <f>Q421/X421</f>
        <v>#DIV/0!:divZero</v>
      </c>
      <c t="s" s="30" r="W421">
        <v>275</v>
      </c>
      <c s="30" r="X421">
        <v>0</v>
      </c>
      <c t="s" s="30" r="Y421">
        <v>276</v>
      </c>
      <c t="s" s="30" r="Z421">
        <v>42</v>
      </c>
      <c s="30" r="AA421">
        <v>0</v>
      </c>
      <c s="30" r="AB421">
        <v>0</v>
      </c>
      <c s="30" r="AC421">
        <v>0</v>
      </c>
      <c s="30" r="AD421">
        <v>0</v>
      </c>
      <c s="30" r="AE421"/>
      <c t="str" s="8" r="AF421">
        <f>(I421+J421)/R421</f>
        <v>#VALUE!:notNumber:NA</v>
      </c>
      <c t="str" s="28" r="AG421">
        <f>G421/$X421</f>
        <v>#DIV/0!:divZero</v>
      </c>
      <c t="str" s="28" r="AH421">
        <f>H421/$X421</f>
        <v>#DIV/0!:divZero</v>
      </c>
      <c t="str" s="28" r="AI421">
        <f>I421/$X421</f>
        <v>#DIV/0!:divZero</v>
      </c>
      <c t="str" s="28" r="AJ421">
        <f>J421/$X421</f>
        <v>#DIV/0!:divZero</v>
      </c>
      <c t="str" s="28" r="AK421">
        <f>K421/$X421</f>
        <v>#DIV/0!:divZero</v>
      </c>
      <c s="30" r="AL421">
        <v>1</v>
      </c>
    </row>
    <row r="422">
      <c s="30" r="A422">
        <v>421</v>
      </c>
      <c t="s" s="30" r="B422">
        <v>38</v>
      </c>
      <c s="62" r="C422">
        <v>41606</v>
      </c>
      <c s="52" r="D422">
        <v>0.770833333333333</v>
      </c>
      <c s="55" r="E422">
        <v>3107</v>
      </c>
      <c s="55" r="F422"/>
      <c t="s" s="55" r="G422">
        <v>39</v>
      </c>
      <c t="s" s="55" r="H422">
        <v>39</v>
      </c>
      <c t="s" s="55" r="I422">
        <v>39</v>
      </c>
      <c t="s" s="55" r="J422">
        <v>39</v>
      </c>
      <c t="s" s="55" r="K422">
        <v>39</v>
      </c>
      <c s="80" r="L422">
        <f>((((((((((54.86+123.88)+73.65)+89.26)+117.06)+132.80)+234.72)+1.4)+53.86)+30.50)+100.37)+60.69</f>
        <v>1073.05</v>
      </c>
      <c s="79" r="M422">
        <f>((((75.52+85.10)+25.01)+157.98)+29.67)+96.08</f>
        <v>469.36</v>
      </c>
      <c s="79" r="N422">
        <f>((((((771.42+74.47)+59.38)+1752.68)+39.68)+371.34)+34.35)+312.86</f>
        <v>3416.18</v>
      </c>
      <c s="32" r="O422">
        <f>SUMIF(Sellables!$A$2:$A$11482, $A422, Sellables!$G$2:$G$11482)</f>
        <v>255.83</v>
      </c>
      <c s="32" r="P422">
        <f>SUMIF(Skills!$A$2:$A$9999, A422, Skills!$F$2:$F$9999)</f>
        <v>0</v>
      </c>
      <c s="14" r="Q422">
        <f>(N422+O422)+P422</f>
        <v>3672.01</v>
      </c>
      <c s="23" r="R422">
        <f>(E422+L422)-M422</f>
        <v>3710.69</v>
      </c>
      <c s="70" r="S422">
        <f>Q422-R422</f>
        <v>-38.6800000000003</v>
      </c>
      <c s="29" r="T422">
        <f> (Q422/R422) - 1</f>
        <v>-0.01042393732702</v>
      </c>
      <c s="70" r="U422">
        <f>R422/X422</f>
        <v>6.36481989708405</v>
      </c>
      <c s="70" r="V422">
        <f>Q422/X422</f>
        <v>6.29847341337907</v>
      </c>
      <c t="s" s="30" r="W422">
        <v>52</v>
      </c>
      <c s="30" r="X422">
        <f>(448+46)+89</f>
        <v>583</v>
      </c>
      <c t="s" s="30" r="Y422">
        <v>53</v>
      </c>
      <c t="s" s="30" r="Z422">
        <v>54</v>
      </c>
      <c s="30" r="AA422">
        <v>0</v>
      </c>
      <c s="30" r="AB422">
        <v>3</v>
      </c>
      <c s="30" r="AC422">
        <v>14</v>
      </c>
      <c s="30" r="AD422">
        <v>0</v>
      </c>
      <c s="30" r="AE422"/>
      <c t="str" s="8" r="AF422">
        <f>(I422+J422)/R422</f>
        <v>#VALUE!:notNumber:NA</v>
      </c>
      <c t="str" s="28" r="AG422">
        <f>G422/$X422</f>
        <v>#VALUE!:notNumber:NA</v>
      </c>
      <c t="str" s="28" r="AH422">
        <f>H422/$X422</f>
        <v>#VALUE!:notNumber:NA</v>
      </c>
      <c t="str" s="28" r="AI422">
        <f>I422/$X422</f>
        <v>#VALUE!:notNumber:NA</v>
      </c>
      <c t="str" s="28" r="AJ422">
        <f>J422/$X422</f>
        <v>#VALUE!:notNumber:NA</v>
      </c>
      <c t="str" s="28" r="AK422">
        <f>K422/$X422</f>
        <v>#VALUE!:notNumber:NA</v>
      </c>
      <c s="30" r="AL422">
        <v>1</v>
      </c>
    </row>
    <row r="423">
      <c s="30" r="A423">
        <v>422</v>
      </c>
      <c t="s" s="30" r="B423">
        <v>38</v>
      </c>
      <c s="62" r="C423">
        <v>41607</v>
      </c>
      <c s="52" r="D423">
        <v>0.041666666666667</v>
      </c>
      <c s="55" r="E423">
        <v>500</v>
      </c>
      <c s="55" r="F423"/>
      <c t="s" s="55" r="G423">
        <v>39</v>
      </c>
      <c t="s" s="55" r="H423">
        <v>39</v>
      </c>
      <c t="s" s="55" r="I423">
        <v>39</v>
      </c>
      <c t="s" s="55" r="J423">
        <v>39</v>
      </c>
      <c t="s" s="55" r="K423">
        <v>39</v>
      </c>
      <c s="80" r="L423">
        <f>(99.48+54.27)+2.82</f>
        <v>156.57</v>
      </c>
      <c s="79" r="M423">
        <v>133.57</v>
      </c>
      <c s="79" r="N423">
        <v>349.65</v>
      </c>
      <c s="32" r="O423">
        <f>SUMIF(Sellables!$A$2:$A$11482, $A423, Sellables!$G$2:$G$11482)</f>
        <v>0</v>
      </c>
      <c s="32" r="P423">
        <f>SUMIF(Skills!$A$2:$A$9999, A423, Skills!$F$2:$F$9999)</f>
        <v>0</v>
      </c>
      <c s="14" r="Q423">
        <f>(N423+O423)+P423</f>
        <v>349.65</v>
      </c>
      <c s="23" r="R423">
        <f>(E423+L423)-M423</f>
        <v>523</v>
      </c>
      <c s="70" r="S423">
        <f>Q423-R423</f>
        <v>-173.35</v>
      </c>
      <c s="29" r="T423">
        <f> (Q423/R423) - 1</f>
        <v>-0.331453154875717</v>
      </c>
      <c s="70" r="U423">
        <f>R423/X423</f>
        <v>11.1276595744681</v>
      </c>
      <c s="70" r="V423">
        <f>Q423/X423</f>
        <v>7.43936170212766</v>
      </c>
      <c t="s" s="30" r="W423">
        <v>237</v>
      </c>
      <c s="30" r="X423">
        <v>47</v>
      </c>
      <c t="s" s="30" r="Y423">
        <v>238</v>
      </c>
      <c t="s" s="30" r="Z423">
        <v>54</v>
      </c>
      <c s="30" r="AA423">
        <v>0</v>
      </c>
      <c s="30" r="AB423">
        <v>0</v>
      </c>
      <c s="30" r="AC423">
        <v>1</v>
      </c>
      <c s="30" r="AD423">
        <v>0</v>
      </c>
      <c s="30" r="AE423"/>
      <c t="str" s="8" r="AF423">
        <f>(I423+J423)/R423</f>
        <v>#VALUE!:notNumber:NA</v>
      </c>
      <c t="str" s="28" r="AG423">
        <f>G423/$X423</f>
        <v>#VALUE!:notNumber:NA</v>
      </c>
      <c t="str" s="28" r="AH423">
        <f>H423/$X423</f>
        <v>#VALUE!:notNumber:NA</v>
      </c>
      <c t="str" s="28" r="AI423">
        <f>I423/$X423</f>
        <v>#VALUE!:notNumber:NA</v>
      </c>
      <c t="str" s="28" r="AJ423">
        <f>J423/$X423</f>
        <v>#VALUE!:notNumber:NA</v>
      </c>
      <c t="str" s="28" r="AK423">
        <f>K423/$X423</f>
        <v>#VALUE!:notNumber:NA</v>
      </c>
      <c s="30" r="AL423">
        <v>1</v>
      </c>
    </row>
    <row r="424">
      <c s="30" r="A424">
        <v>423</v>
      </c>
      <c t="s" s="30" r="B424">
        <v>55</v>
      </c>
      <c s="62" r="C424">
        <v>41607</v>
      </c>
      <c s="52" r="D424">
        <v>0.083333333333333</v>
      </c>
      <c s="55" r="E424">
        <f>1501*0.91</f>
        <v>1365.91</v>
      </c>
      <c s="55" r="F424"/>
      <c t="s" s="55" r="G424">
        <v>39</v>
      </c>
      <c t="s" s="55" r="H424">
        <v>39</v>
      </c>
      <c t="s" s="55" r="I424">
        <v>39</v>
      </c>
      <c t="s" s="55" r="J424">
        <v>39</v>
      </c>
      <c t="s" s="55" r="K424">
        <v>39</v>
      </c>
      <c s="80" r="L424">
        <v>0</v>
      </c>
      <c s="79" r="M424">
        <v>0</v>
      </c>
      <c s="79" r="N424">
        <f>1227.23-521.60</f>
        <v>705.63</v>
      </c>
      <c s="32" r="O424">
        <f>SUMIF(Sellables!$A$2:$A$11482, $A424, Sellables!$G$2:$G$11482)</f>
        <v>528.9024</v>
      </c>
      <c s="32" r="P424">
        <f>SUMIF(Skills!$A$2:$A$9999, A424, Skills!$F$2:$F$9999)</f>
        <v>0</v>
      </c>
      <c s="14" r="Q424">
        <f>(N424+O424)+P424</f>
        <v>1234.5324</v>
      </c>
      <c s="23" r="R424">
        <f>(E424+L424)-M424</f>
        <v>1365.91</v>
      </c>
      <c s="70" r="S424">
        <f>Q424-R424</f>
        <v>-131.3776</v>
      </c>
      <c s="29" r="T424">
        <f> (Q424/R424) - 1</f>
        <v>-0.096183203871412</v>
      </c>
      <c t="str" s="70" r="U424">
        <f>R424/X424</f>
        <v>#DIV/0!:divZero</v>
      </c>
      <c t="str" s="70" r="V424">
        <f>Q424/X424</f>
        <v>#DIV/0!:divZero</v>
      </c>
      <c t="s" s="30" r="W424">
        <v>139</v>
      </c>
      <c s="30" r="X424">
        <v>0</v>
      </c>
      <c t="s" s="30" r="Y424">
        <v>104</v>
      </c>
      <c t="s" s="30" r="Z424">
        <v>42</v>
      </c>
      <c s="30" r="AA424">
        <v>0</v>
      </c>
      <c s="30" r="AB424">
        <v>0</v>
      </c>
      <c s="30" r="AC424">
        <v>1</v>
      </c>
      <c s="30" r="AD424">
        <v>0</v>
      </c>
      <c s="30" r="AE424"/>
      <c t="str" s="8" r="AF424">
        <f>(I424+J424)/R424</f>
        <v>#VALUE!:notNumber:NA</v>
      </c>
      <c t="str" s="28" r="AG424">
        <f>G424/$X424</f>
        <v>#DIV/0!:divZero</v>
      </c>
      <c t="str" s="28" r="AH424">
        <f>H424/$X424</f>
        <v>#DIV/0!:divZero</v>
      </c>
      <c t="str" s="28" r="AI424">
        <f>I424/$X424</f>
        <v>#DIV/0!:divZero</v>
      </c>
      <c t="str" s="28" r="AJ424">
        <f>J424/$X424</f>
        <v>#DIV/0!:divZero</v>
      </c>
      <c t="str" s="28" r="AK424">
        <f>K424/$X424</f>
        <v>#DIV/0!:divZero</v>
      </c>
      <c s="30" r="AL424">
        <v>1</v>
      </c>
    </row>
    <row r="425">
      <c s="30" r="A425">
        <v>424</v>
      </c>
      <c t="s" s="30" r="B425">
        <v>38</v>
      </c>
      <c s="62" r="C425">
        <v>41607</v>
      </c>
      <c s="52" r="D425">
        <v>0.770833333333333</v>
      </c>
      <c s="55" r="E425">
        <v>2000</v>
      </c>
      <c s="55" r="F425"/>
      <c t="s" s="55" r="G425">
        <v>39</v>
      </c>
      <c t="s" s="55" r="H425">
        <v>39</v>
      </c>
      <c t="s" s="55" r="I425">
        <v>39</v>
      </c>
      <c t="s" s="55" r="J425">
        <v>39</v>
      </c>
      <c t="s" s="55" r="K425">
        <v>39</v>
      </c>
      <c s="80" r="L425">
        <f>((((107.03+114.49)+100)+51.06)+82.48)+46</f>
        <v>501.06</v>
      </c>
      <c s="79" r="M425">
        <f>((82.31+105.35)+266.67)+195.07</f>
        <v>649.4</v>
      </c>
      <c s="79" r="N425">
        <f>((25.18+14.47)+1400.23)+183.23</f>
        <v>1623.11</v>
      </c>
      <c s="32" r="O425">
        <f>SUMIF(Sellables!$A$2:$A$11482, $A425, Sellables!$G$2:$G$11482)</f>
        <v>68.64</v>
      </c>
      <c s="32" r="P425">
        <f>SUMIF(Skills!$A$2:$A$9999, A425, Skills!$F$2:$F$9999)</f>
        <v>128.1</v>
      </c>
      <c s="14" r="Q425">
        <f>(N425+O425)+P425</f>
        <v>1819.85</v>
      </c>
      <c s="23" r="R425">
        <f>(E425+L425)-M425</f>
        <v>1851.66</v>
      </c>
      <c s="70" r="S425">
        <f>Q425-R425</f>
        <v>-31.8099999999997</v>
      </c>
      <c s="29" r="T425">
        <f> (Q425/R425) - 1</f>
        <v>-0.017179179763023</v>
      </c>
      <c s="70" r="U425">
        <f>R425/X425</f>
        <v>5.36713043478261</v>
      </c>
      <c s="70" r="V425">
        <f>Q425/X425</f>
        <v>5.27492753623188</v>
      </c>
      <c t="s" s="30" r="W425">
        <v>52</v>
      </c>
      <c s="30" r="X425">
        <v>345</v>
      </c>
      <c t="s" s="30" r="Y425">
        <v>53</v>
      </c>
      <c t="s" s="30" r="Z425">
        <v>54</v>
      </c>
      <c s="30" r="AA425">
        <v>0</v>
      </c>
      <c s="30" r="AB425">
        <v>2</v>
      </c>
      <c s="30" r="AC425">
        <v>8</v>
      </c>
      <c s="30" r="AD425">
        <v>0</v>
      </c>
      <c s="30" r="AE425"/>
      <c t="str" s="8" r="AF425">
        <f>(I425+J425)/R425</f>
        <v>#VALUE!:notNumber:NA</v>
      </c>
      <c t="str" s="28" r="AG425">
        <f>G425/$X425</f>
        <v>#VALUE!:notNumber:NA</v>
      </c>
      <c t="str" s="28" r="AH425">
        <f>H425/$X425</f>
        <v>#VALUE!:notNumber:NA</v>
      </c>
      <c t="str" s="28" r="AI425">
        <f>I425/$X425</f>
        <v>#VALUE!:notNumber:NA</v>
      </c>
      <c t="str" s="28" r="AJ425">
        <f>J425/$X425</f>
        <v>#VALUE!:notNumber:NA</v>
      </c>
      <c t="str" s="28" r="AK425">
        <f>K425/$X425</f>
        <v>#VALUE!:notNumber:NA</v>
      </c>
      <c s="30" r="AL425">
        <v>1</v>
      </c>
    </row>
    <row r="426">
      <c s="30" r="A426">
        <v>429</v>
      </c>
      <c t="s" s="30" r="B426">
        <v>38</v>
      </c>
      <c s="62" r="C426">
        <v>41607</v>
      </c>
      <c s="52" r="D426">
        <v>0.729166666666667</v>
      </c>
      <c s="27" r="E426">
        <v>250</v>
      </c>
      <c s="27" r="F426"/>
      <c s="27" r="G426">
        <v>32</v>
      </c>
      <c s="27" r="H426">
        <v>33.83</v>
      </c>
      <c s="27" r="I426">
        <v>5.87</v>
      </c>
      <c s="27" r="J426">
        <v>0.14</v>
      </c>
      <c s="27" r="K426">
        <v>1.1</v>
      </c>
      <c s="80" r="L426">
        <f>SUM(G426:K426)</f>
        <v>72.94</v>
      </c>
      <c s="79" r="M426">
        <v>44.49</v>
      </c>
      <c s="79" r="N426">
        <v>224.75</v>
      </c>
      <c s="32" r="O426">
        <f>SUMIF(Sellables!$A$2:$A$11482, $A426, Sellables!$G$2:$G$11482)</f>
        <v>0</v>
      </c>
      <c s="32" r="P426">
        <f>SUMIF(Skills!$A$2:$A$9999, A426, Skills!$F$2:$F$9999)</f>
        <v>0</v>
      </c>
      <c s="14" r="Q426">
        <f>(N426+O426)+P426</f>
        <v>224.75</v>
      </c>
      <c s="23" r="R426">
        <f>(E426+L426)-M426</f>
        <v>278.45</v>
      </c>
      <c s="70" r="S426">
        <f>Q426-R426</f>
        <v>-53.7</v>
      </c>
      <c s="29" r="T426">
        <f> (Q426/R426) - 1</f>
        <v>-0.192853295026037</v>
      </c>
      <c s="70" r="U426">
        <f>R426/X426</f>
        <v>3.61623376623377</v>
      </c>
      <c s="70" r="V426">
        <f>Q426/X426</f>
        <v>2.91883116883117</v>
      </c>
      <c t="s" s="30" r="W426">
        <v>118</v>
      </c>
      <c s="30" r="X426">
        <f>161-84</f>
        <v>77</v>
      </c>
      <c t="s" s="30" r="Y426">
        <v>206</v>
      </c>
      <c t="s" s="30" r="Z426">
        <v>42</v>
      </c>
      <c s="30" r="AA426">
        <v>0</v>
      </c>
      <c s="30" r="AB426">
        <v>0</v>
      </c>
      <c s="30" r="AC426">
        <v>1</v>
      </c>
      <c s="30" r="AD426">
        <v>0</v>
      </c>
      <c s="30" r="AE426"/>
      <c s="8" r="AF426">
        <f>(I426+J426)/R426</f>
        <v>0.021583767283175</v>
      </c>
      <c s="28" r="AG426">
        <f>G426/$X426</f>
        <v>0.415584415584416</v>
      </c>
      <c s="28" r="AH426">
        <f>H426/$X426</f>
        <v>0.439350649350649</v>
      </c>
      <c s="28" r="AI426">
        <f>I426/$X426</f>
        <v>0.076233766233766</v>
      </c>
      <c s="28" r="AJ426">
        <f>J426/$X426</f>
        <v>0.001818181818182</v>
      </c>
      <c s="28" r="AK426">
        <f>K426/$X426</f>
        <v>0.014285714285714</v>
      </c>
      <c s="30" r="AL426">
        <v>1</v>
      </c>
    </row>
    <row r="427">
      <c s="30" r="A427">
        <v>430</v>
      </c>
      <c t="s" s="30" r="B427">
        <v>38</v>
      </c>
      <c s="62" r="C427">
        <v>41607</v>
      </c>
      <c s="52" r="D427">
        <v>0.854166666666667</v>
      </c>
      <c s="27" r="E427">
        <v>2100</v>
      </c>
      <c s="27" r="F427"/>
      <c s="75" r="G427">
        <f>(2348.73-2155.98)+0.18</f>
        <v>192.93</v>
      </c>
      <c s="27" r="H427">
        <f>((61.87+41.64)+62.38)+40.11</f>
        <v>206</v>
      </c>
      <c s="27" r="I427">
        <f>((39.85+18.08)+42.28)+26.17</f>
        <v>126.38</v>
      </c>
      <c s="27" r="J427">
        <f>(2.72+1.47)+0.89</f>
        <v>5.08</v>
      </c>
      <c s="27" r="K427">
        <f>3.34+0.29</f>
        <v>3.63</v>
      </c>
      <c s="80" r="L427">
        <f>SUM(G427:K427)</f>
        <v>534.02</v>
      </c>
      <c s="79" r="M427">
        <f>((130.06+335.14)+114.60)+248.01</f>
        <v>827.81</v>
      </c>
      <c s="79" r="N427">
        <f>((565.29+426.17)+575.47)+264.14</f>
        <v>1831.07</v>
      </c>
      <c s="32" r="O427">
        <f>SUMIF(Sellables!$A$2:$A$11482, $A427, Sellables!$G$2:$G$11482)</f>
        <v>150.2</v>
      </c>
      <c s="32" r="P427">
        <f>SUMIF(Skills!$A$2:$A$9999, A427, Skills!$F$2:$F$9999)</f>
        <v>0</v>
      </c>
      <c s="14" r="Q427">
        <f>(N427+O427)+P427</f>
        <v>1981.27</v>
      </c>
      <c s="23" r="R427">
        <f>(E427+L427)-M427</f>
        <v>1806.21</v>
      </c>
      <c s="70" r="S427">
        <f>Q427-R427</f>
        <v>175.06</v>
      </c>
      <c s="29" r="T427">
        <f> (Q427/R427) - 1</f>
        <v>0.096921177493204</v>
      </c>
      <c s="70" r="U427">
        <f>R427/X427</f>
        <v>3.7786820083682</v>
      </c>
      <c s="70" r="V427">
        <f>Q427/X427</f>
        <v>4.14491631799163</v>
      </c>
      <c t="s" s="30" r="W427">
        <v>52</v>
      </c>
      <c s="30" r="X427">
        <v>478</v>
      </c>
      <c t="s" s="30" r="Y427">
        <v>53</v>
      </c>
      <c t="s" s="30" r="Z427">
        <v>54</v>
      </c>
      <c s="30" r="AA427">
        <v>0</v>
      </c>
      <c s="30" r="AB427">
        <v>2</v>
      </c>
      <c s="30" r="AC427">
        <v>18</v>
      </c>
      <c s="30" r="AD427">
        <v>0</v>
      </c>
      <c s="30" r="AE427"/>
      <c s="8" r="AF427">
        <f>(I427+J427)/R427</f>
        <v>0.072782234623881</v>
      </c>
      <c s="28" r="AG427">
        <f>G427/$X427</f>
        <v>0.403619246861925</v>
      </c>
      <c s="28" r="AH427">
        <f>H427/$X427</f>
        <v>0.430962343096234</v>
      </c>
      <c s="28" r="AI427">
        <f>I427/$X427</f>
        <v>0.264393305439331</v>
      </c>
      <c s="28" r="AJ427">
        <f>J427/$X427</f>
        <v>0.010627615062762</v>
      </c>
      <c s="28" r="AK427">
        <f>K427/$X427</f>
        <v>0.007594142259414</v>
      </c>
      <c s="30" r="AL427">
        <v>1</v>
      </c>
    </row>
    <row r="428">
      <c s="30" r="A428">
        <v>431</v>
      </c>
      <c t="s" s="30" r="B428">
        <v>38</v>
      </c>
      <c s="62" r="C428">
        <v>41608</v>
      </c>
      <c s="52" r="D428">
        <v>0.5625</v>
      </c>
      <c s="27" r="E428">
        <v>500</v>
      </c>
      <c s="27" r="F428"/>
      <c s="75" r="G428">
        <f>(2155.98-2127.60)+0.44</f>
        <v>28.8200000000001</v>
      </c>
      <c s="27" r="H428">
        <v>30.33</v>
      </c>
      <c s="27" r="I428">
        <v>8.62</v>
      </c>
      <c s="27" r="J428">
        <v>2.57</v>
      </c>
      <c s="27" r="K428">
        <v>8.07</v>
      </c>
      <c s="59" r="L428">
        <f>SUM(G428:K428)</f>
        <v>78.4100000000001</v>
      </c>
      <c s="79" r="M428">
        <v>261.72</v>
      </c>
      <c s="79" r="N428">
        <v>132.48</v>
      </c>
      <c s="32" r="O428">
        <f>SUMIF(Sellables!$A$2:$A$11482, $A428, Sellables!$G$2:$G$11482)</f>
        <v>0.39</v>
      </c>
      <c s="32" r="P428">
        <f>SUMIF(Skills!$A$2:$A$9999, A428, Skills!$F$2:$F$9999)</f>
        <v>10.4</v>
      </c>
      <c s="14" r="Q428">
        <f>(N428+O428)+P428</f>
        <v>143.27</v>
      </c>
      <c s="23" r="R428">
        <f>(E428+L428)-M428</f>
        <v>316.69</v>
      </c>
      <c s="70" r="S428">
        <f>Q428-R428</f>
        <v>-173.42</v>
      </c>
      <c s="29" r="T428">
        <f> (Q428/R428) - 1</f>
        <v>-0.547601755660109</v>
      </c>
      <c s="70" r="U428">
        <f>R428/X428</f>
        <v>6.20960784313726</v>
      </c>
      <c s="70" r="V428">
        <f>Q428/X428</f>
        <v>2.80921568627451</v>
      </c>
      <c t="s" s="30" r="W428">
        <v>58</v>
      </c>
      <c s="30" r="X428">
        <v>51</v>
      </c>
      <c t="s" s="30" r="Y428">
        <v>277</v>
      </c>
      <c t="s" s="30" r="Z428">
        <v>54</v>
      </c>
      <c s="30" r="AA428">
        <v>0</v>
      </c>
      <c s="30" r="AB428">
        <v>0</v>
      </c>
      <c s="30" r="AC428">
        <v>0</v>
      </c>
      <c s="30" r="AD428">
        <v>0</v>
      </c>
      <c s="30" r="AE428"/>
      <c s="8" r="AF428">
        <f>(I428+J428)/R428</f>
        <v>0.035334238529792</v>
      </c>
      <c s="28" r="AG428">
        <f>G428/$X428</f>
        <v>0.565098039215688</v>
      </c>
      <c s="28" r="AH428">
        <f>H428/$X428</f>
        <v>0.594705882352941</v>
      </c>
      <c s="28" r="AI428">
        <f>I428/$X428</f>
        <v>0.169019607843137</v>
      </c>
      <c s="28" r="AJ428">
        <f>J428/$X428</f>
        <v>0.050392156862745</v>
      </c>
      <c s="28" r="AK428">
        <f>K428/$X428</f>
        <v>0.158235294117647</v>
      </c>
      <c s="30" r="AL428">
        <v>1</v>
      </c>
    </row>
    <row r="429">
      <c s="30" r="A429">
        <v>439</v>
      </c>
      <c t="s" s="30" r="B429">
        <v>38</v>
      </c>
      <c s="62" r="C429">
        <v>41608</v>
      </c>
      <c s="52" r="D429">
        <v>0.5625</v>
      </c>
      <c s="27" r="E429">
        <v>0</v>
      </c>
      <c s="27" r="F429"/>
      <c s="75" r="G429">
        <v>100.96</v>
      </c>
      <c s="27" r="H429">
        <v>0</v>
      </c>
      <c s="27" r="I429">
        <v>2.93</v>
      </c>
      <c s="27" r="J429">
        <v>7.19</v>
      </c>
      <c s="27" r="K429">
        <v>0.02</v>
      </c>
      <c s="59" r="L429">
        <f>SUM(G429:K429)</f>
        <v>111.1</v>
      </c>
      <c s="79" r="M429">
        <v>0</v>
      </c>
      <c s="79" r="N429">
        <v>105.02</v>
      </c>
      <c s="32" r="O429">
        <f>SUMIF(Sellables!$A$2:$A$11482, $A429, Sellables!$G$2:$G$11482)</f>
        <v>66.5977</v>
      </c>
      <c s="32" r="P429">
        <f>SUMIF(Skills!$A$2:$A$9999, A429, Skills!$F$2:$F$9999)</f>
        <v>0</v>
      </c>
      <c s="14" r="Q429">
        <f>(N429+O429)+P429</f>
        <v>171.6177</v>
      </c>
      <c s="23" r="R429">
        <f>(E429+L429)-M429</f>
        <v>111.1</v>
      </c>
      <c s="70" r="S429">
        <f>Q429-R429</f>
        <v>60.5177</v>
      </c>
      <c s="29" r="T429">
        <f> (Q429/R429) - 1</f>
        <v>0.544713771377138</v>
      </c>
      <c t="str" s="70" r="U429">
        <f>R429/X429</f>
        <v>#DIV/0!:divZero</v>
      </c>
      <c t="str" s="70" r="V429">
        <f>Q429/X429</f>
        <v>#DIV/0!:divZero</v>
      </c>
      <c t="s" s="30" r="W429">
        <v>99</v>
      </c>
      <c s="30" r="X429">
        <v>0</v>
      </c>
      <c t="s" s="30" r="Y429">
        <v>41</v>
      </c>
      <c t="s" s="30" r="Z429">
        <v>42</v>
      </c>
      <c s="30" r="AA429">
        <v>0</v>
      </c>
      <c s="30" r="AB429">
        <v>0</v>
      </c>
      <c s="30" r="AC429">
        <v>1</v>
      </c>
      <c s="30" r="AD429">
        <v>0</v>
      </c>
      <c s="30" r="AE429"/>
      <c s="8" r="AF429">
        <f>(I429+J429)/R429</f>
        <v>0.091089108910891</v>
      </c>
      <c t="str" s="28" r="AG429">
        <f>G429/$X429</f>
        <v>#DIV/0!:divZero</v>
      </c>
      <c t="str" s="28" r="AH429">
        <f>H429/$X429</f>
        <v>#DIV/0!:divZero</v>
      </c>
      <c t="str" s="28" r="AI429">
        <f>I429/$X429</f>
        <v>#DIV/0!:divZero</v>
      </c>
      <c t="str" s="28" r="AJ429">
        <f>J429/$X429</f>
        <v>#DIV/0!:divZero</v>
      </c>
      <c t="str" s="28" r="AK429">
        <f>K429/$X429</f>
        <v>#DIV/0!:divZero</v>
      </c>
      <c s="30" r="AL429">
        <v>1</v>
      </c>
    </row>
    <row r="430">
      <c s="30" r="A430">
        <v>440</v>
      </c>
      <c t="s" s="30" r="B430">
        <v>38</v>
      </c>
      <c s="62" r="C430">
        <v>41608</v>
      </c>
      <c s="52" r="D430">
        <v>0.833333333333333</v>
      </c>
      <c s="27" r="E430">
        <v>500</v>
      </c>
      <c s="27" r="F430"/>
      <c s="75" r="G430">
        <f>(2127.6-2074.87)+1.65</f>
        <v>54.38</v>
      </c>
      <c s="27" r="H430">
        <v>56.36</v>
      </c>
      <c s="27" r="I430">
        <v>27.05</v>
      </c>
      <c s="27" r="J430">
        <v>3.92</v>
      </c>
      <c s="27" r="K430">
        <v>2.32</v>
      </c>
      <c s="59" r="L430">
        <f>SUM(G430:K430)</f>
        <v>144.03</v>
      </c>
      <c s="79" r="M430">
        <v>120.54</v>
      </c>
      <c s="79" r="N430">
        <v>336.65</v>
      </c>
      <c s="32" r="O430">
        <f>SUMIF(Sellables!$A$2:$A$11482, $A430, Sellables!$G$2:$G$11482)</f>
        <v>337.193333333333</v>
      </c>
      <c s="32" r="P430">
        <f>SUMIF(Skills!$A$2:$A$9999, A430, Skills!$F$2:$F$9999)</f>
        <v>0</v>
      </c>
      <c s="14" r="Q430">
        <f>(N430+O430)+P430</f>
        <v>673.843333333333</v>
      </c>
      <c s="23" r="R430">
        <f>(E430+L430)-M430</f>
        <v>523.49</v>
      </c>
      <c s="70" r="S430">
        <f>Q430-R430</f>
        <v>150.353333333333</v>
      </c>
      <c s="29" r="T430">
        <f> (Q430/R430) - 1</f>
        <v>0.28721338198119</v>
      </c>
      <c t="str" s="70" r="U430">
        <f>R430/X430</f>
        <v>#DIV/0!:divZero</v>
      </c>
      <c t="str" s="70" r="V430">
        <f>Q430/X430</f>
        <v>#DIV/0!:divZero</v>
      </c>
      <c t="s" s="30" r="W430">
        <v>52</v>
      </c>
      <c s="30" r="X430">
        <v>0</v>
      </c>
      <c t="s" s="30" r="Y430">
        <v>278</v>
      </c>
      <c t="s" s="30" r="Z430">
        <v>54</v>
      </c>
      <c s="30" r="AA430">
        <v>0</v>
      </c>
      <c s="30" r="AB430">
        <v>0</v>
      </c>
      <c s="30" r="AC430">
        <v>6</v>
      </c>
      <c s="30" r="AD430">
        <v>1</v>
      </c>
      <c s="30" r="AE430"/>
      <c s="8" r="AF430">
        <f>(I430+J430)/R430</f>
        <v>0.059160633440944</v>
      </c>
      <c t="str" s="28" r="AG430">
        <f>G430/$X430</f>
        <v>#DIV/0!:divZero</v>
      </c>
      <c t="str" s="28" r="AH430">
        <f>H430/$X430</f>
        <v>#DIV/0!:divZero</v>
      </c>
      <c t="str" s="28" r="AI430">
        <f>I430/$X430</f>
        <v>#DIV/0!:divZero</v>
      </c>
      <c t="str" s="28" r="AJ430">
        <f>J430/$X430</f>
        <v>#DIV/0!:divZero</v>
      </c>
      <c t="str" s="28" r="AK430">
        <f>K430/$X430</f>
        <v>#DIV/0!:divZero</v>
      </c>
      <c s="30" r="AL430">
        <v>1</v>
      </c>
    </row>
    <row r="431">
      <c s="30" r="A431">
        <v>441</v>
      </c>
      <c t="s" s="30" r="B431">
        <v>38</v>
      </c>
      <c s="62" r="C431">
        <v>41608</v>
      </c>
      <c s="52" r="D431">
        <v>0.9375</v>
      </c>
      <c s="27" r="E431">
        <v>500</v>
      </c>
      <c s="27" r="F431"/>
      <c s="75" r="G431">
        <v>70.11</v>
      </c>
      <c s="27" r="H431">
        <v>53.17</v>
      </c>
      <c s="27" r="I431">
        <v>51.09</v>
      </c>
      <c s="27" r="J431">
        <v>2.86</v>
      </c>
      <c s="27" r="K431">
        <v>10.35</v>
      </c>
      <c s="59" r="L431">
        <f>SUM(G431:K431)</f>
        <v>187.58</v>
      </c>
      <c s="79" r="M431">
        <v>45.48</v>
      </c>
      <c s="79" r="N431">
        <v>480.12</v>
      </c>
      <c s="32" r="O431">
        <f>SUMIF(Sellables!$A$2:$A$11482, $A431, Sellables!$G$2:$G$11482)</f>
        <v>13.948</v>
      </c>
      <c s="32" r="P431">
        <f>SUMIF(Skills!$A$2:$A$9999, A431, Skills!$F$2:$F$9999)</f>
        <v>0</v>
      </c>
      <c s="14" r="Q431">
        <f>(N431+O431)+P431</f>
        <v>494.068</v>
      </c>
      <c s="23" r="R431">
        <f>(E431+L431)-M431</f>
        <v>642.1</v>
      </c>
      <c s="70" r="S431">
        <f>Q431-R431</f>
        <v>-148.032</v>
      </c>
      <c s="29" r="T431">
        <f> (Q431/R431) - 1</f>
        <v>-0.23054352904532</v>
      </c>
      <c s="70" r="U431">
        <f>R431/X431</f>
        <v>6.35742574257426</v>
      </c>
      <c s="70" r="V431">
        <f>Q431/X431</f>
        <v>4.89176237623762</v>
      </c>
      <c t="s" s="30" r="W431">
        <v>52</v>
      </c>
      <c s="30" r="X431">
        <v>101</v>
      </c>
      <c t="s" s="30" r="Y431">
        <v>53</v>
      </c>
      <c t="s" s="30" r="Z431">
        <v>54</v>
      </c>
      <c s="30" r="AA431">
        <v>0</v>
      </c>
      <c s="30" r="AB431">
        <v>1</v>
      </c>
      <c s="30" r="AC431">
        <v>2</v>
      </c>
      <c s="30" r="AD431">
        <v>0</v>
      </c>
      <c s="30" r="AE431"/>
      <c s="8" r="AF431">
        <f>(I431+J431)/R431</f>
        <v>0.08402118050148</v>
      </c>
      <c s="28" r="AG431">
        <f>G431/$X431</f>
        <v>0.694158415841584</v>
      </c>
      <c s="28" r="AH431">
        <f>H431/$X431</f>
        <v>0.526435643564356</v>
      </c>
      <c s="28" r="AI431">
        <f>I431/$X431</f>
        <v>0.505841584158416</v>
      </c>
      <c s="28" r="AJ431">
        <f>J431/$X431</f>
        <v>0.028316831683168</v>
      </c>
      <c s="28" r="AK431">
        <f>K431/$X431</f>
        <v>0.102475247524752</v>
      </c>
      <c s="30" r="AL431">
        <v>1</v>
      </c>
    </row>
    <row r="432">
      <c s="30" r="A432">
        <v>442</v>
      </c>
      <c t="s" s="30" r="B432">
        <v>38</v>
      </c>
      <c s="62" r="C432">
        <v>41609</v>
      </c>
      <c s="52" r="D432">
        <v>0</v>
      </c>
      <c s="27" r="E432">
        <v>0</v>
      </c>
      <c s="27" r="F432"/>
      <c s="75" r="G432">
        <v>182.16</v>
      </c>
      <c s="27" r="H432">
        <v>0</v>
      </c>
      <c s="27" r="I432">
        <v>12.69</v>
      </c>
      <c s="27" r="J432">
        <v>0.64</v>
      </c>
      <c s="27" r="K432">
        <v>0</v>
      </c>
      <c s="59" r="L432">
        <f>SUM(G432:K432)</f>
        <v>195.49</v>
      </c>
      <c s="79" r="M432">
        <v>0</v>
      </c>
      <c s="79" r="N432">
        <v>151.94</v>
      </c>
      <c s="32" r="O432">
        <f>SUMIF(Sellables!$A$2:$A$11482, $A432, Sellables!$G$2:$G$11482)</f>
        <v>79.494</v>
      </c>
      <c s="32" r="P432">
        <f>SUMIF(Skills!$A$2:$A$9999, A432, Skills!$F$2:$F$9999)</f>
        <v>0</v>
      </c>
      <c s="14" r="Q432">
        <f>(N432+O432)+P432</f>
        <v>231.434</v>
      </c>
      <c s="23" r="R432">
        <f>(E432+L432)-M432</f>
        <v>195.49</v>
      </c>
      <c s="70" r="S432">
        <f>Q432-R432</f>
        <v>35.944</v>
      </c>
      <c s="29" r="T432">
        <f> (Q432/R432) - 1</f>
        <v>0.183866182413423</v>
      </c>
      <c s="70" r="U432">
        <f>R432/X432</f>
        <v>1.19201219512195</v>
      </c>
      <c s="70" r="V432">
        <f>Q432/X432</f>
        <v>1.41118292682927</v>
      </c>
      <c t="s" s="30" r="W432">
        <v>131</v>
      </c>
      <c s="30" r="X432">
        <f>2205-2041</f>
        <v>164</v>
      </c>
      <c t="s" s="30" r="Y432">
        <v>132</v>
      </c>
      <c t="s" s="30" r="Z432">
        <v>42</v>
      </c>
      <c s="30" r="AA432">
        <v>0</v>
      </c>
      <c s="30" r="AB432">
        <v>0</v>
      </c>
      <c s="30" r="AC432">
        <v>2</v>
      </c>
      <c s="30" r="AD432">
        <v>0</v>
      </c>
      <c s="30" r="AE432"/>
      <c s="8" r="AF432">
        <f>(I432+J432)/R432</f>
        <v>0.068187631080874</v>
      </c>
      <c s="28" r="AG432">
        <f>G432/$X432</f>
        <v>1.11073170731707</v>
      </c>
      <c s="28" r="AH432">
        <f>H432/$X432</f>
        <v>0</v>
      </c>
      <c s="28" r="AI432">
        <f>I432/$X432</f>
        <v>0.077378048780488</v>
      </c>
      <c s="28" r="AJ432">
        <f>J432/$X432</f>
        <v>0.00390243902439</v>
      </c>
      <c s="28" r="AK432">
        <f>K432/$X432</f>
        <v>0</v>
      </c>
      <c s="30" r="AL432">
        <v>1</v>
      </c>
    </row>
    <row r="433">
      <c s="30" r="A433">
        <v>443</v>
      </c>
      <c t="s" s="30" r="B433">
        <v>38</v>
      </c>
      <c s="62" r="C433">
        <v>41609</v>
      </c>
      <c s="52" r="D433">
        <v>0.604166666666667</v>
      </c>
      <c s="27" r="E433">
        <v>0</v>
      </c>
      <c s="27" r="F433"/>
      <c s="75" r="G433">
        <v>40.78</v>
      </c>
      <c s="27" r="H433">
        <v>0</v>
      </c>
      <c s="27" r="I433">
        <v>0.69</v>
      </c>
      <c s="27" r="J433">
        <v>0.14</v>
      </c>
      <c s="27" r="K433">
        <v>0.02</v>
      </c>
      <c s="59" r="L433">
        <f>SUM(G433:K433)</f>
        <v>41.63</v>
      </c>
      <c s="79" r="M433">
        <v>0</v>
      </c>
      <c s="79" r="N433">
        <v>41.43</v>
      </c>
      <c s="32" r="O433">
        <f>SUMIF(Sellables!$A$2:$A$11482, $A433, Sellables!$G$2:$G$11482)</f>
        <v>17.3622</v>
      </c>
      <c s="32" r="P433">
        <f>SUMIF(Skills!$A$2:$A$9999, A433, Skills!$F$2:$F$9999)</f>
        <v>0</v>
      </c>
      <c s="14" r="Q433">
        <f>(N433+O433)+P433</f>
        <v>58.7922</v>
      </c>
      <c s="23" r="R433">
        <f>(E433+L433)-M433</f>
        <v>41.63</v>
      </c>
      <c s="70" r="S433">
        <f>Q433-R433</f>
        <v>17.1622</v>
      </c>
      <c s="29" r="T433">
        <f> (Q433/R433) - 1</f>
        <v>0.412255584914725</v>
      </c>
      <c t="str" s="70" r="U433">
        <f>R433/X433</f>
        <v>#DIV/0!:divZero</v>
      </c>
      <c t="str" s="70" r="V433">
        <f>Q433/X433</f>
        <v>#DIV/0!:divZero</v>
      </c>
      <c t="s" s="30" r="W433">
        <v>106</v>
      </c>
      <c s="30" r="X433">
        <v>0</v>
      </c>
      <c t="s" s="30" r="Y433">
        <v>279</v>
      </c>
      <c t="s" s="30" r="Z433">
        <v>42</v>
      </c>
      <c s="30" r="AA433">
        <v>0</v>
      </c>
      <c s="30" r="AB433">
        <v>0</v>
      </c>
      <c s="30" r="AC433">
        <v>0</v>
      </c>
      <c s="30" r="AD433">
        <v>0</v>
      </c>
      <c s="30" r="AE433"/>
      <c s="8" r="AF433">
        <f>(I433+J433)/R433</f>
        <v>0.019937545039635</v>
      </c>
      <c t="str" s="28" r="AG433">
        <f>G433/$X433</f>
        <v>#DIV/0!:divZero</v>
      </c>
      <c t="str" s="28" r="AH433">
        <f>H433/$X433</f>
        <v>#DIV/0!:divZero</v>
      </c>
      <c t="str" s="28" r="AI433">
        <f>I433/$X433</f>
        <v>#DIV/0!:divZero</v>
      </c>
      <c t="str" s="28" r="AJ433">
        <f>J433/$X433</f>
        <v>#DIV/0!:divZero</v>
      </c>
      <c t="str" s="28" r="AK433">
        <f>K433/$X433</f>
        <v>#DIV/0!:divZero</v>
      </c>
      <c s="30" r="AL433">
        <v>1</v>
      </c>
    </row>
    <row r="434">
      <c s="30" r="A434">
        <v>446</v>
      </c>
      <c t="s" s="30" r="B434">
        <v>38</v>
      </c>
      <c s="62" r="C434">
        <v>41609</v>
      </c>
      <c s="52" r="D434">
        <v>0.8125</v>
      </c>
      <c s="27" r="E434">
        <v>0</v>
      </c>
      <c s="27" r="F434"/>
      <c s="75" r="G434">
        <v>74.51</v>
      </c>
      <c s="27" r="H434">
        <v>0</v>
      </c>
      <c s="27" r="I434">
        <v>0.95</v>
      </c>
      <c s="27" r="J434">
        <v>2.49</v>
      </c>
      <c s="27" r="K434">
        <v>0.18</v>
      </c>
      <c s="59" r="L434">
        <f>SUM(G434:K434)</f>
        <v>78.13</v>
      </c>
      <c s="79" r="M434">
        <v>0</v>
      </c>
      <c s="79" r="N434">
        <f>50.41+17.75</f>
        <v>68.16</v>
      </c>
      <c s="32" r="O434">
        <f>SUMIF(Sellables!$A$2:$A$11482, $A434, Sellables!$G$2:$G$11482)</f>
        <v>8.231</v>
      </c>
      <c s="32" r="P434">
        <f>SUMIF(Skills!$A$2:$A$9999, A434, Skills!$F$2:$F$9999)</f>
        <v>0</v>
      </c>
      <c s="14" r="Q434">
        <f>(N434+O434)+P434</f>
        <v>76.391</v>
      </c>
      <c s="23" r="R434">
        <f>(E434+L434)-M434</f>
        <v>78.13</v>
      </c>
      <c s="70" r="S434">
        <f>Q434-R434</f>
        <v>-1.73900000000002</v>
      </c>
      <c s="29" r="T434">
        <f> (Q434/R434) - 1</f>
        <v>-0.022257775502368</v>
      </c>
      <c t="str" s="70" r="U434">
        <f>R434/X434</f>
        <v>#DIV/0!:divZero</v>
      </c>
      <c t="str" s="70" r="V434">
        <f>Q434/X434</f>
        <v>#DIV/0!:divZero</v>
      </c>
      <c t="s" s="30" r="W434">
        <v>280</v>
      </c>
      <c s="30" r="X434">
        <v>0</v>
      </c>
      <c t="s" s="30" r="Y434">
        <v>281</v>
      </c>
      <c t="s" s="30" r="Z434">
        <v>42</v>
      </c>
      <c s="30" r="AA434">
        <v>0</v>
      </c>
      <c s="30" r="AB434">
        <v>0</v>
      </c>
      <c s="30" r="AC434">
        <v>0</v>
      </c>
      <c s="30" r="AD434">
        <v>0</v>
      </c>
      <c s="30" r="AE434"/>
      <c s="8" r="AF434">
        <f>(I434+J434)/R434</f>
        <v>0.044029182132344</v>
      </c>
      <c t="str" s="28" r="AG434">
        <f>G434/$X434</f>
        <v>#DIV/0!:divZero</v>
      </c>
      <c t="str" s="28" r="AH434">
        <f>H434/$X434</f>
        <v>#DIV/0!:divZero</v>
      </c>
      <c t="str" s="28" r="AI434">
        <f>I434/$X434</f>
        <v>#DIV/0!:divZero</v>
      </c>
      <c t="str" s="28" r="AJ434">
        <f>J434/$X434</f>
        <v>#DIV/0!:divZero</v>
      </c>
      <c t="str" s="28" r="AK434">
        <f>K434/$X434</f>
        <v>#DIV/0!:divZero</v>
      </c>
      <c s="30" r="AL434">
        <v>1</v>
      </c>
    </row>
    <row r="435">
      <c s="30" r="A435">
        <v>449</v>
      </c>
      <c t="s" s="30" r="B435">
        <v>38</v>
      </c>
      <c s="62" r="C435">
        <v>41609</v>
      </c>
      <c s="52" r="D435">
        <v>0.822916666666667</v>
      </c>
      <c s="27" r="E435">
        <v>0</v>
      </c>
      <c s="27" r="F435"/>
      <c s="75" r="G435">
        <v>279.85</v>
      </c>
      <c s="27" r="H435">
        <v>0</v>
      </c>
      <c s="27" r="I435">
        <v>10.96</v>
      </c>
      <c s="27" r="J435">
        <v>0.37</v>
      </c>
      <c s="27" r="K435">
        <v>0.04</v>
      </c>
      <c s="59" r="L435">
        <f>SUM(G435:K435)</f>
        <v>291.22</v>
      </c>
      <c s="79" r="M435">
        <v>0</v>
      </c>
      <c s="79" r="N435">
        <v>276.34</v>
      </c>
      <c s="32" r="O435">
        <f>SUMIF(Sellables!$A$2:$A$11482, $A435, Sellables!$G$2:$G$11482)</f>
        <v>15.8652</v>
      </c>
      <c s="32" r="P435">
        <f>SUMIF(Skills!$A$2:$A$9999, A435, Skills!$F$2:$F$9999)</f>
        <v>0</v>
      </c>
      <c s="14" r="Q435">
        <f>(N435+O435)+P435</f>
        <v>292.2052</v>
      </c>
      <c s="23" r="R435">
        <f>(E435+L435)-M435</f>
        <v>291.22</v>
      </c>
      <c s="70" r="S435">
        <f>Q435-R435</f>
        <v>0.985199999999964</v>
      </c>
      <c s="29" r="T435">
        <f> (Q435/R435) - 1</f>
        <v>0.003383009408694</v>
      </c>
      <c s="70" r="U435">
        <f>R435/X435</f>
        <v>1.15106719367589</v>
      </c>
      <c s="70" r="V435">
        <f>Q435/X435</f>
        <v>1.15496126482213</v>
      </c>
      <c t="s" s="30" r="W435">
        <v>131</v>
      </c>
      <c s="30" r="X435">
        <f>2458-2205</f>
        <v>253</v>
      </c>
      <c t="s" s="30" r="Y435">
        <v>132</v>
      </c>
      <c t="s" s="30" r="Z435">
        <v>42</v>
      </c>
      <c s="30" r="AA435">
        <v>0</v>
      </c>
      <c s="30" r="AB435">
        <v>0</v>
      </c>
      <c s="30" r="AC435">
        <v>1</v>
      </c>
      <c s="30" r="AD435">
        <v>0</v>
      </c>
      <c s="30" r="AE435"/>
      <c s="8" r="AF435">
        <f>(I435+J435)/R435</f>
        <v>0.038905294966005</v>
      </c>
      <c s="28" r="AG435">
        <f>G435/$X435</f>
        <v>1.10612648221344</v>
      </c>
      <c s="28" r="AH435">
        <f>H435/$X435</f>
        <v>0</v>
      </c>
      <c s="28" r="AI435">
        <f>I435/$X435</f>
        <v>0.043320158102767</v>
      </c>
      <c s="28" r="AJ435">
        <f>J435/$X435</f>
        <v>0.001462450592885</v>
      </c>
      <c s="28" r="AK435">
        <f>K435/$X435</f>
        <v>0.000158102766798</v>
      </c>
      <c s="30" r="AL435">
        <v>1</v>
      </c>
    </row>
    <row r="436">
      <c s="30" r="A436">
        <v>457</v>
      </c>
      <c t="s" s="30" r="B436">
        <v>38</v>
      </c>
      <c s="62" r="C436">
        <v>41610</v>
      </c>
      <c s="52" r="D436">
        <v>0.6875</v>
      </c>
      <c s="27" r="E436">
        <v>0</v>
      </c>
      <c s="27" r="F436"/>
      <c s="75" r="G436">
        <v>247.64</v>
      </c>
      <c s="27" r="H436">
        <v>0</v>
      </c>
      <c s="27" r="I436">
        <v>9.34</v>
      </c>
      <c s="27" r="J436">
        <v>2.88</v>
      </c>
      <c s="27" r="K436">
        <v>0</v>
      </c>
      <c s="59" r="L436">
        <f>SUM(G436:K436)</f>
        <v>259.86</v>
      </c>
      <c s="79" r="M436">
        <v>0</v>
      </c>
      <c s="79" r="N436">
        <v>139.01</v>
      </c>
      <c s="32" r="O436">
        <f>SUMIF(Sellables!$A$2:$A$11482, $A436, Sellables!$G$2:$G$11482)</f>
        <v>20.4984</v>
      </c>
      <c s="32" r="P436">
        <f>SUMIF(Skills!$A$2:$A$9999, A436, Skills!$F$2:$F$9999)</f>
        <v>0</v>
      </c>
      <c s="14" r="Q436">
        <f>(N436+O436)+P436</f>
        <v>159.5084</v>
      </c>
      <c s="23" r="R436">
        <f>(E436+L436)-M436</f>
        <v>259.86</v>
      </c>
      <c s="70" r="S436">
        <f>Q436-R436</f>
        <v>-100.3516</v>
      </c>
      <c s="29" r="T436">
        <f> (Q436/R436) - 1</f>
        <v>-0.386175633033172</v>
      </c>
      <c t="str" s="70" r="U436">
        <f>R436/X436</f>
        <v>#DIV/0!:divZero</v>
      </c>
      <c t="str" s="70" r="V436">
        <f>Q436/X436</f>
        <v>#DIV/0!:divZero</v>
      </c>
      <c t="s" s="30" r="W436">
        <v>131</v>
      </c>
      <c s="30" r="X436">
        <v>0</v>
      </c>
      <c t="s" s="30" r="Y436">
        <v>132</v>
      </c>
      <c t="s" s="30" r="Z436">
        <v>42</v>
      </c>
      <c s="30" r="AA436">
        <v>0</v>
      </c>
      <c s="30" r="AB436">
        <v>0</v>
      </c>
      <c s="30" r="AC436">
        <v>0</v>
      </c>
      <c s="30" r="AD436">
        <v>0</v>
      </c>
      <c s="30" r="AE436"/>
      <c s="8" r="AF436">
        <f>(I436+J436)/R436</f>
        <v>0.047025321326868</v>
      </c>
      <c t="str" s="28" r="AG436">
        <f>G436/$X436</f>
        <v>#DIV/0!:divZero</v>
      </c>
      <c t="str" s="28" r="AH436">
        <f>H436/$X436</f>
        <v>#DIV/0!:divZero</v>
      </c>
      <c t="str" s="28" r="AI436">
        <f>I436/$X436</f>
        <v>#DIV/0!:divZero</v>
      </c>
      <c t="str" s="28" r="AJ436">
        <f>J436/$X436</f>
        <v>#DIV/0!:divZero</v>
      </c>
      <c t="str" s="28" r="AK436">
        <f>K436/$X436</f>
        <v>#DIV/0!:divZero</v>
      </c>
      <c s="30" r="AL436">
        <v>1</v>
      </c>
    </row>
    <row r="437">
      <c s="30" r="A437">
        <v>458</v>
      </c>
      <c t="s" s="30" r="B437">
        <v>38</v>
      </c>
      <c s="62" r="C437">
        <v>41610</v>
      </c>
      <c s="52" r="D437">
        <v>0.895833333333333</v>
      </c>
      <c s="27" r="E437">
        <v>600</v>
      </c>
      <c s="27" r="F437"/>
      <c s="75" r="G437">
        <v>82.06</v>
      </c>
      <c s="27" r="H437">
        <v>63.68</v>
      </c>
      <c s="27" r="I437">
        <v>46.96</v>
      </c>
      <c s="27" r="J437">
        <v>7.6</v>
      </c>
      <c s="27" r="K437">
        <v>10.16</v>
      </c>
      <c s="59" r="L437">
        <f>SUM(G437:K437)</f>
        <v>210.46</v>
      </c>
      <c s="79" r="M437">
        <v>59.31</v>
      </c>
      <c s="79" r="N437">
        <v>630.05</v>
      </c>
      <c s="32" r="O437">
        <f>SUMIF(Sellables!$A$2:$A$11482, $A437, Sellables!$G$2:$G$11482)</f>
        <v>117.520925</v>
      </c>
      <c s="32" r="P437">
        <f>SUMIF(Skills!$A$2:$A$9999, A437, Skills!$F$2:$F$9999)</f>
        <v>0</v>
      </c>
      <c s="14" r="Q437">
        <f>(N437+O437)+P437</f>
        <v>747.570925</v>
      </c>
      <c s="23" r="R437">
        <f>(E437+L437)-M437</f>
        <v>751.15</v>
      </c>
      <c s="70" r="S437">
        <f>Q437-R437</f>
        <v>-3.5790750000001</v>
      </c>
      <c s="29" r="T437">
        <f> (Q437/R437) - 1</f>
        <v>-0.00476479398256</v>
      </c>
      <c s="70" r="U437">
        <f>R437/X437</f>
        <v>6.20785123966942</v>
      </c>
      <c s="70" r="V437">
        <f>Q437/X437</f>
        <v>6.17827210743802</v>
      </c>
      <c t="s" s="30" r="W437">
        <v>52</v>
      </c>
      <c s="30" r="X437">
        <f>5+(784-668)</f>
        <v>121</v>
      </c>
      <c t="s" s="30" r="Y437">
        <v>53</v>
      </c>
      <c t="s" s="30" r="Z437">
        <v>54</v>
      </c>
      <c s="30" r="AA437">
        <v>0</v>
      </c>
      <c s="30" r="AB437">
        <v>1</v>
      </c>
      <c s="30" r="AC437">
        <v>3</v>
      </c>
      <c s="30" r="AD437">
        <v>0</v>
      </c>
      <c s="30" r="AE437"/>
      <c s="8" r="AF437">
        <f>(I437+J437)/R437</f>
        <v>0.072635292551421</v>
      </c>
      <c s="28" r="AG437">
        <f>G437/$X437</f>
        <v>0.678181818181818</v>
      </c>
      <c s="28" r="AH437">
        <f>H437/$X437</f>
        <v>0.526280991735537</v>
      </c>
      <c s="28" r="AI437">
        <f>I437/$X437</f>
        <v>0.388099173553719</v>
      </c>
      <c s="28" r="AJ437">
        <f>J437/$X437</f>
        <v>0.062809917355372</v>
      </c>
      <c s="28" r="AK437">
        <f>K437/$X437</f>
        <v>0.08396694214876</v>
      </c>
      <c s="30" r="AL437">
        <v>1</v>
      </c>
    </row>
    <row r="438">
      <c s="30" r="A438">
        <v>459</v>
      </c>
      <c t="s" s="30" r="B438">
        <v>38</v>
      </c>
      <c s="62" r="C438">
        <v>41611</v>
      </c>
      <c s="52" r="D438">
        <v>0.788194444444444</v>
      </c>
      <c s="27" r="E438">
        <v>1300</v>
      </c>
      <c s="27" r="F438"/>
      <c s="75" r="G438">
        <f>(((552.52-466.87)+0.47)+108.08)+0.98</f>
        <v>195.18</v>
      </c>
      <c s="27" r="H438">
        <f>(63.65+50.22)+30.09</f>
        <v>143.96</v>
      </c>
      <c s="27" r="I438">
        <f>55.85+66.97</f>
        <v>122.82</v>
      </c>
      <c s="27" r="J438">
        <f>5.34+6.52</f>
        <v>11.86</v>
      </c>
      <c s="27" r="K438">
        <f>13.19+16.97</f>
        <v>30.16</v>
      </c>
      <c s="59" r="L438">
        <f>SUM(G438:K438)</f>
        <v>503.98</v>
      </c>
      <c s="79" r="M438">
        <f>35.8+3.83</f>
        <v>39.63</v>
      </c>
      <c s="79" r="N438">
        <f>557.1+753.18</f>
        <v>1310.28</v>
      </c>
      <c s="32" r="O438">
        <f>SUMIF(Sellables!$A$2:$A$11482, $A438, Sellables!$G$2:$G$11482)</f>
        <v>173.07</v>
      </c>
      <c s="32" r="P438">
        <f>SUMIF(Skills!$A$2:$A$9999, A438, Skills!$F$2:$F$9999)</f>
        <v>0</v>
      </c>
      <c s="14" r="Q438">
        <f>(N438+O438)+P438</f>
        <v>1483.35</v>
      </c>
      <c s="23" r="R438">
        <f>(E438+L438)-M438</f>
        <v>1764.35</v>
      </c>
      <c s="70" r="S438">
        <f>Q438-R438</f>
        <v>-281</v>
      </c>
      <c s="29" r="T438">
        <f> (Q438/R438) - 1</f>
        <v>-0.159265451866126</v>
      </c>
      <c s="70" r="U438">
        <f>R438/X438</f>
        <v>6.2788256227758</v>
      </c>
      <c s="70" r="V438">
        <f>Q438/X438</f>
        <v>5.2788256227758</v>
      </c>
      <c t="s" s="30" r="W438">
        <v>52</v>
      </c>
      <c s="30" r="X438">
        <v>281</v>
      </c>
      <c t="s" s="30" r="Y438">
        <v>53</v>
      </c>
      <c t="s" s="30" r="Z438">
        <v>54</v>
      </c>
      <c s="30" r="AA438">
        <v>0</v>
      </c>
      <c s="30" r="AB438">
        <v>1</v>
      </c>
      <c s="30" r="AC438">
        <v>7</v>
      </c>
      <c s="30" r="AD438">
        <v>0</v>
      </c>
      <c s="30" r="AE438"/>
      <c s="8" r="AF438">
        <f>(I438+J438)/R438</f>
        <v>0.076334060702242</v>
      </c>
      <c s="28" r="AG438">
        <f>G438/$X438</f>
        <v>0.694590747330961</v>
      </c>
      <c s="28" r="AH438">
        <f>H438/$X438</f>
        <v>0.512313167259786</v>
      </c>
      <c s="28" r="AI438">
        <f>I438/$X438</f>
        <v>0.437081850533808</v>
      </c>
      <c s="28" r="AJ438">
        <f>J438/$X438</f>
        <v>0.04220640569395</v>
      </c>
      <c s="28" r="AK438">
        <f>K438/$X438</f>
        <v>0.107330960854093</v>
      </c>
      <c s="30" r="AL438">
        <v>1</v>
      </c>
    </row>
    <row r="439">
      <c s="30" r="A439">
        <v>460</v>
      </c>
      <c t="s" s="30" r="B439">
        <v>38</v>
      </c>
      <c s="62" r="C439">
        <v>41612</v>
      </c>
      <c s="52" r="D439">
        <v>0.729166666666667</v>
      </c>
      <c s="27" r="E439">
        <v>500</v>
      </c>
      <c s="27" r="F439"/>
      <c s="75" r="G439">
        <f>(510-435.83)+0.55</f>
        <v>74.72</v>
      </c>
      <c s="27" r="H439">
        <v>49.19</v>
      </c>
      <c s="27" r="I439">
        <v>48.96</v>
      </c>
      <c s="27" r="J439">
        <v>4.02</v>
      </c>
      <c s="27" r="K439">
        <v>11.55</v>
      </c>
      <c s="59" r="L439">
        <f>SUM(G439:K439)</f>
        <v>188.44</v>
      </c>
      <c s="79" r="M439">
        <v>74.94</v>
      </c>
      <c s="79" r="N439">
        <v>1163.18</v>
      </c>
      <c s="32" r="O439">
        <f>SUMIF(Sellables!$A$2:$A$11482, $A439, Sellables!$G$2:$G$11482)</f>
        <v>0</v>
      </c>
      <c s="32" r="P439">
        <f>SUMIF(Skills!$A$2:$A$9999, A439, Skills!$F$2:$F$9999)</f>
        <v>0</v>
      </c>
      <c s="14" r="Q439">
        <f>(N439+O439)+P439</f>
        <v>1163.18</v>
      </c>
      <c s="23" r="R439">
        <f>(E439+L439)-M439</f>
        <v>613.5</v>
      </c>
      <c s="70" r="S439">
        <f>Q439-R439</f>
        <v>549.68</v>
      </c>
      <c s="29" r="T439">
        <f> (Q439/R439) - 1</f>
        <v>0.8959739201304</v>
      </c>
      <c s="70" r="U439">
        <f>R439/X439</f>
        <v>12.27</v>
      </c>
      <c s="70" r="V439">
        <f>Q439/X439</f>
        <v>23.2636</v>
      </c>
      <c t="s" s="30" r="W439">
        <v>237</v>
      </c>
      <c s="30" r="X439">
        <v>50</v>
      </c>
      <c t="s" s="30" r="Y439">
        <v>238</v>
      </c>
      <c t="s" s="30" r="Z439">
        <v>42</v>
      </c>
      <c s="30" r="AA439">
        <v>0</v>
      </c>
      <c s="30" r="AB439">
        <v>0</v>
      </c>
      <c s="30" r="AC439">
        <v>4</v>
      </c>
      <c s="30" r="AD439">
        <v>1</v>
      </c>
      <c s="30" r="AE439"/>
      <c s="8" r="AF439">
        <f>(I439+J439)/R439</f>
        <v>0.086356968215159</v>
      </c>
      <c s="28" r="AG439">
        <f>G439/$X439</f>
        <v>1.4944</v>
      </c>
      <c s="28" r="AH439">
        <f>H439/$X439</f>
        <v>0.9838</v>
      </c>
      <c s="28" r="AI439">
        <f>I439/$X439</f>
        <v>0.9792</v>
      </c>
      <c s="28" r="AJ439">
        <f>J439/$X439</f>
        <v>0.0804</v>
      </c>
      <c s="28" r="AK439">
        <f>K439/$X439</f>
        <v>0.231</v>
      </c>
      <c s="30" r="AL439">
        <v>1</v>
      </c>
    </row>
    <row r="440">
      <c s="30" r="A440">
        <v>461</v>
      </c>
      <c t="s" s="30" r="B440">
        <v>38</v>
      </c>
      <c s="62" r="C440">
        <v>41612</v>
      </c>
      <c s="52" r="D440">
        <v>0.833333333333333</v>
      </c>
      <c s="27" r="E440">
        <v>500</v>
      </c>
      <c s="27" r="F440"/>
      <c s="75" r="G440">
        <v>37.29</v>
      </c>
      <c s="27" r="H440">
        <v>28.06</v>
      </c>
      <c s="27" r="I440">
        <v>19.67</v>
      </c>
      <c s="27" r="J440">
        <v>0.78</v>
      </c>
      <c s="27" r="K440">
        <v>6.25</v>
      </c>
      <c s="59" r="L440">
        <f>SUM(G440:K440)</f>
        <v>92.05</v>
      </c>
      <c s="79" r="M440">
        <v>260.51</v>
      </c>
      <c s="79" r="N440">
        <v>168.09</v>
      </c>
      <c s="32" r="O440">
        <f>SUMIF(Sellables!$A$2:$A$11482, $A440, Sellables!$G$2:$G$11482)</f>
        <v>9.9</v>
      </c>
      <c s="32" r="P440">
        <f>SUMIF(Skills!$A$2:$A$9999, A440, Skills!$F$2:$F$9999)</f>
        <v>0</v>
      </c>
      <c s="14" r="Q440">
        <f>(N440+O440)+P440</f>
        <v>177.99</v>
      </c>
      <c s="23" r="R440">
        <f>(E440+L440)-M440</f>
        <v>331.54</v>
      </c>
      <c s="70" r="S440">
        <f>Q440-R440</f>
        <v>-153.55</v>
      </c>
      <c s="29" r="T440">
        <f> (Q440/R440) - 1</f>
        <v>-0.46314170235869</v>
      </c>
      <c s="70" r="U440">
        <f>R440/X440</f>
        <v>5.92035714285714</v>
      </c>
      <c s="70" r="V440">
        <f>Q440/X440</f>
        <v>3.17839285714286</v>
      </c>
      <c t="s" s="30" r="W440">
        <v>52</v>
      </c>
      <c s="30" r="X440">
        <f>(1112-1058)+2</f>
        <v>56</v>
      </c>
      <c t="s" s="30" r="Y440">
        <v>238</v>
      </c>
      <c t="s" s="30" r="Z440">
        <v>42</v>
      </c>
      <c s="30" r="AA440">
        <v>0</v>
      </c>
      <c s="30" r="AB440">
        <v>0</v>
      </c>
      <c s="30" r="AC440">
        <v>0</v>
      </c>
      <c s="30" r="AD440">
        <v>0</v>
      </c>
      <c s="30" r="AE440"/>
      <c s="8" r="AF440">
        <f>(I440+J440)/R440</f>
        <v>0.061681848344091</v>
      </c>
      <c s="28" r="AG440">
        <f>G440/$X440</f>
        <v>0.665892857142857</v>
      </c>
      <c s="28" r="AH440">
        <f>H440/$X440</f>
        <v>0.501071428571428</v>
      </c>
      <c s="28" r="AI440">
        <f>I440/$X440</f>
        <v>0.35125</v>
      </c>
      <c s="28" r="AJ440">
        <f>J440/$X440</f>
        <v>0.013928571428571</v>
      </c>
      <c s="28" r="AK440">
        <f>K440/$X440</f>
        <v>0.111607142857143</v>
      </c>
      <c s="30" r="AL440">
        <v>1</v>
      </c>
    </row>
    <row r="441">
      <c s="30" r="A441">
        <v>463</v>
      </c>
      <c t="s" s="30" r="B441">
        <v>38</v>
      </c>
      <c s="62" r="C441">
        <v>41612</v>
      </c>
      <c s="52" r="D441">
        <v>0.927083333333333</v>
      </c>
      <c s="27" r="E441">
        <v>0</v>
      </c>
      <c s="27" r="F441"/>
      <c s="75" r="G441">
        <v>281</v>
      </c>
      <c s="27" r="H441">
        <v>0.47</v>
      </c>
      <c s="27" r="I441">
        <v>12.22</v>
      </c>
      <c s="27" r="J441">
        <v>1.58</v>
      </c>
      <c s="27" r="K441">
        <v>0.04</v>
      </c>
      <c s="59" r="L441">
        <f>SUM(G441:K441)</f>
        <v>295.31</v>
      </c>
      <c s="79" r="M441">
        <v>0</v>
      </c>
      <c s="79" r="N441">
        <v>239.91</v>
      </c>
      <c s="32" r="O441">
        <f>SUMIF(Sellables!$A$2:$A$11482, $A441, Sellables!$G$2:$G$11482)</f>
        <v>20.1936</v>
      </c>
      <c s="32" r="P441">
        <f>SUMIF(Skills!$A$2:$A$9999, A441, Skills!$F$2:$F$9999)</f>
        <v>0</v>
      </c>
      <c s="14" r="Q441">
        <f>(N441+O441)+P441</f>
        <v>260.1036</v>
      </c>
      <c s="23" r="R441">
        <f>(E441+L441)-M441</f>
        <v>295.31</v>
      </c>
      <c s="70" r="S441">
        <f>Q441-R441</f>
        <v>-35.2064</v>
      </c>
      <c s="29" r="T441">
        <f> (Q441/R441) - 1</f>
        <v>-0.119218448410145</v>
      </c>
      <c s="70" r="U441">
        <f>R441/X441</f>
        <v>1.26200854700855</v>
      </c>
      <c s="70" r="V441">
        <f>Q441/X441</f>
        <v>1.11155384615385</v>
      </c>
      <c t="s" s="30" r="W441">
        <v>131</v>
      </c>
      <c s="30" r="X441">
        <f>2893-2659</f>
        <v>234</v>
      </c>
      <c t="s" s="30" r="Y441">
        <v>132</v>
      </c>
      <c t="s" s="30" r="Z441">
        <v>42</v>
      </c>
      <c s="30" r="AA441">
        <v>0</v>
      </c>
      <c s="30" r="AB441">
        <v>0</v>
      </c>
      <c s="30" r="AC441">
        <v>1</v>
      </c>
      <c s="30" r="AD441">
        <v>0</v>
      </c>
      <c s="30" r="AE441"/>
      <c s="8" r="AF441">
        <f>(I441+J441)/R441</f>
        <v>0.046730554332735</v>
      </c>
      <c s="28" r="AG441">
        <f>G441/$X441</f>
        <v>1.2008547008547</v>
      </c>
      <c s="28" r="AH441">
        <f>H441/$X441</f>
        <v>0.002008547008547</v>
      </c>
      <c s="28" r="AI441">
        <f>I441/$X441</f>
        <v>0.052222222222222</v>
      </c>
      <c s="28" r="AJ441">
        <f>J441/$X441</f>
        <v>0.006752136752137</v>
      </c>
      <c s="28" r="AK441">
        <f>K441/$X441</f>
        <v>0.00017094017094</v>
      </c>
      <c s="30" r="AL441">
        <v>1</v>
      </c>
    </row>
    <row r="442">
      <c s="30" r="A442">
        <v>475</v>
      </c>
      <c t="s" s="30" r="B442">
        <v>38</v>
      </c>
      <c s="62" r="C442">
        <v>41613</v>
      </c>
      <c s="52" r="D442">
        <v>0.8125</v>
      </c>
      <c s="27" r="E442">
        <v>0</v>
      </c>
      <c s="27" r="F442"/>
      <c s="75" r="G442">
        <v>279.85</v>
      </c>
      <c s="27" r="H442">
        <v>1.17</v>
      </c>
      <c s="27" r="I442">
        <v>7.35</v>
      </c>
      <c s="27" r="J442">
        <v>13.29</v>
      </c>
      <c s="27" r="K442">
        <v>0.1</v>
      </c>
      <c s="59" r="L442">
        <f>SUM(G442:K442)</f>
        <v>301.76</v>
      </c>
      <c s="79" r="M442">
        <v>0</v>
      </c>
      <c s="79" r="N442">
        <v>110.59</v>
      </c>
      <c s="32" r="O442">
        <f>SUMIF(Sellables!$A$2:$A$11482, $A442, Sellables!$G$2:$G$11482)</f>
        <v>132.8568</v>
      </c>
      <c s="32" r="P442">
        <f>SUMIF(Skills!$A$2:$A$9999, A442, Skills!$F$2:$F$9999)</f>
        <v>0</v>
      </c>
      <c s="14" r="Q442">
        <f>(N442+O442)+P442</f>
        <v>243.4468</v>
      </c>
      <c s="23" r="R442">
        <f>(E442+L442)-M442</f>
        <v>301.76</v>
      </c>
      <c s="70" r="S442">
        <f>Q442-R442</f>
        <v>-58.3132000000001</v>
      </c>
      <c s="29" r="T442">
        <f> (Q442/R442) - 1</f>
        <v>-0.193243637327678</v>
      </c>
      <c t="str" s="70" r="U442">
        <f>R442/X442</f>
        <v>#DIV/0!:divZero</v>
      </c>
      <c t="str" s="70" r="V442">
        <f>Q442/X442</f>
        <v>#DIV/0!:divZero</v>
      </c>
      <c t="s" s="30" r="W442">
        <v>99</v>
      </c>
      <c s="30" r="X442">
        <v>0</v>
      </c>
      <c t="s" s="30" r="Y442">
        <v>41</v>
      </c>
      <c t="s" s="30" r="Z442">
        <v>42</v>
      </c>
      <c s="30" r="AA442">
        <v>0</v>
      </c>
      <c s="30" r="AB442">
        <v>0</v>
      </c>
      <c s="30" r="AC442">
        <v>0</v>
      </c>
      <c s="30" r="AD442">
        <v>0</v>
      </c>
      <c s="30" r="AE442"/>
      <c s="8" r="AF442">
        <f>(I442+J442)/R442</f>
        <v>0.068398727465536</v>
      </c>
      <c t="str" s="28" r="AG442">
        <f>G442/$X442</f>
        <v>#DIV/0!:divZero</v>
      </c>
      <c t="str" s="28" r="AH442">
        <f>H442/$X442</f>
        <v>#DIV/0!:divZero</v>
      </c>
      <c t="str" s="28" r="AI442">
        <f>I442/$X442</f>
        <v>#DIV/0!:divZero</v>
      </c>
      <c t="str" s="28" r="AJ442">
        <f>J442/$X442</f>
        <v>#DIV/0!:divZero</v>
      </c>
      <c t="str" s="28" r="AK442">
        <f>K442/$X442</f>
        <v>#DIV/0!:divZero</v>
      </c>
      <c s="30" r="AL442">
        <v>1</v>
      </c>
    </row>
    <row r="443">
      <c s="30" r="A443">
        <v>477</v>
      </c>
      <c t="s" s="30" r="B443">
        <v>38</v>
      </c>
      <c s="62" r="C443">
        <v>41613</v>
      </c>
      <c s="52" r="D443">
        <v>0.864583333333333</v>
      </c>
      <c s="27" r="E443">
        <v>0</v>
      </c>
      <c s="27" r="F443"/>
      <c s="75" r="G443">
        <v>283.25</v>
      </c>
      <c s="27" r="H443">
        <v>3.24</v>
      </c>
      <c s="27" r="I443">
        <v>12.73</v>
      </c>
      <c s="27" r="J443">
        <v>4.12</v>
      </c>
      <c s="27" r="K443">
        <v>0.1</v>
      </c>
      <c s="59" r="L443">
        <f>SUM(G443:K443)</f>
        <v>303.44</v>
      </c>
      <c s="79" r="M443">
        <v>0</v>
      </c>
      <c s="79" r="N443">
        <v>180.89</v>
      </c>
      <c s="32" r="O443">
        <f>SUMIF(Sellables!$A$2:$A$11482, $A443, Sellables!$G$2:$G$11482)</f>
        <v>47.5829</v>
      </c>
      <c s="32" r="P443">
        <f>SUMIF(Skills!$A$2:$A$9999, A443, Skills!$F$2:$F$9999)</f>
        <v>0</v>
      </c>
      <c s="14" r="Q443">
        <f>(N443+O443)+P443</f>
        <v>228.4729</v>
      </c>
      <c s="23" r="R443">
        <f>(E443+L443)-M443</f>
        <v>303.44</v>
      </c>
      <c s="70" r="S443">
        <f>Q443-R443</f>
        <v>-74.9671000000001</v>
      </c>
      <c s="29" r="T443">
        <f> (Q443/R443) - 1</f>
        <v>-0.247057408383865</v>
      </c>
      <c s="70" r="U443">
        <f>R443/X443</f>
        <v>1.36071748878924</v>
      </c>
      <c s="70" r="V443">
        <f>Q443/X443</f>
        <v>1.02454215246637</v>
      </c>
      <c t="s" s="30" r="W443">
        <v>131</v>
      </c>
      <c s="30" r="X443">
        <f>3116-2893</f>
        <v>223</v>
      </c>
      <c t="s" s="30" r="Y443">
        <v>132</v>
      </c>
      <c t="s" s="30" r="Z443">
        <v>42</v>
      </c>
      <c s="30" r="AA443">
        <v>0</v>
      </c>
      <c s="30" r="AB443">
        <v>0</v>
      </c>
      <c s="30" r="AC443">
        <v>0</v>
      </c>
      <c s="30" r="AD443">
        <v>1</v>
      </c>
      <c s="30" r="AE443"/>
      <c s="8" r="AF443">
        <f>(I443+J443)/R443</f>
        <v>0.055529923543369</v>
      </c>
      <c s="28" r="AG443">
        <f>G443/$X443</f>
        <v>1.27017937219731</v>
      </c>
      <c s="28" r="AH443">
        <f>H443/$X443</f>
        <v>0.014529147982063</v>
      </c>
      <c s="28" r="AI443">
        <f>I443/$X443</f>
        <v>0.057085201793722</v>
      </c>
      <c s="28" r="AJ443">
        <f>J443/$X443</f>
        <v>0.01847533632287</v>
      </c>
      <c s="28" r="AK443">
        <f>K443/$X443</f>
        <v>0.000448430493274</v>
      </c>
      <c s="30" r="AL443">
        <v>1</v>
      </c>
    </row>
    <row r="444">
      <c s="30" r="A444">
        <v>481</v>
      </c>
      <c t="s" s="30" r="B444">
        <v>38</v>
      </c>
      <c s="62" r="C444">
        <v>41614</v>
      </c>
      <c s="52" r="D444">
        <v>0.763888888888889</v>
      </c>
      <c s="27" r="E444">
        <v>100</v>
      </c>
      <c s="27" r="F444"/>
      <c s="75" r="G444">
        <v>184.92</v>
      </c>
      <c s="27" r="H444">
        <v>274.17</v>
      </c>
      <c s="27" r="I444">
        <v>4.9</v>
      </c>
      <c s="27" r="J444">
        <v>16.66</v>
      </c>
      <c s="27" r="K444">
        <v>0.1</v>
      </c>
      <c s="59" r="L444">
        <f>SUM(G444:K444)</f>
        <v>480.75</v>
      </c>
      <c s="79" r="M444">
        <v>33</v>
      </c>
      <c s="79" r="N444">
        <v>152.8</v>
      </c>
      <c s="32" r="O444">
        <f>SUMIF(Sellables!$A$2:$A$11482, $A444, Sellables!$G$2:$G$11482)</f>
        <v>325.15795</v>
      </c>
      <c s="32" r="P444">
        <f>SUMIF(Skills!$A$2:$A$9999, A444, Skills!$F$2:$F$9999)</f>
        <v>0</v>
      </c>
      <c s="14" r="Q444">
        <f>(N444+O444)+P444</f>
        <v>477.95795</v>
      </c>
      <c s="23" r="R444">
        <f>(E444+L444)-M444</f>
        <v>547.75</v>
      </c>
      <c s="70" r="S444">
        <f>Q444-R444</f>
        <v>-69.79205</v>
      </c>
      <c s="29" r="T444">
        <f> (Q444/R444) - 1</f>
        <v>-0.127415883158375</v>
      </c>
      <c t="str" s="70" r="U444">
        <f>R444/X444</f>
        <v>#DIV/0!:divZero</v>
      </c>
      <c t="str" s="70" r="V444">
        <f>Q444/X444</f>
        <v>#DIV/0!:divZero</v>
      </c>
      <c t="s" s="30" r="W444">
        <v>99</v>
      </c>
      <c s="30" r="X444">
        <v>0</v>
      </c>
      <c t="s" s="30" r="Y444">
        <v>41</v>
      </c>
      <c t="s" s="30" r="Z444">
        <v>42</v>
      </c>
      <c s="30" r="AA444">
        <v>0</v>
      </c>
      <c s="30" r="AB444">
        <v>1</v>
      </c>
      <c s="30" r="AC444">
        <v>0</v>
      </c>
      <c s="30" r="AD444">
        <v>0</v>
      </c>
      <c s="30" r="AE444"/>
      <c s="8" r="AF444">
        <f>(I444+J444)/R444</f>
        <v>0.039361022364217</v>
      </c>
      <c t="str" s="28" r="AG444">
        <f>G444/$X444</f>
        <v>#DIV/0!:divZero</v>
      </c>
      <c t="str" s="28" r="AH444">
        <f>H444/$X444</f>
        <v>#DIV/0!:divZero</v>
      </c>
      <c t="str" s="28" r="AI444">
        <f>I444/$X444</f>
        <v>#DIV/0!:divZero</v>
      </c>
      <c t="str" s="28" r="AJ444">
        <f>J444/$X444</f>
        <v>#DIV/0!:divZero</v>
      </c>
      <c t="str" s="28" r="AK444">
        <f>K444/$X444</f>
        <v>#DIV/0!:divZero</v>
      </c>
      <c s="30" r="AL444">
        <v>1</v>
      </c>
    </row>
    <row r="445">
      <c s="30" r="A445">
        <v>485</v>
      </c>
      <c t="s" s="30" r="B445">
        <v>38</v>
      </c>
      <c s="62" r="C445">
        <v>41614</v>
      </c>
      <c s="52" r="D445">
        <v>0.763888888888889</v>
      </c>
      <c s="27" r="E445">
        <v>400</v>
      </c>
      <c s="27" r="F445"/>
      <c s="75" r="G445">
        <f>(574.3-525.80)+0.43</f>
        <v>48.93</v>
      </c>
      <c s="27" r="H445">
        <v>37.97</v>
      </c>
      <c s="27" r="I445">
        <v>38.23</v>
      </c>
      <c s="27" r="J445">
        <v>3.39</v>
      </c>
      <c s="27" r="K445">
        <v>8.93</v>
      </c>
      <c s="59" r="L445">
        <f>SUM(G445:K445)</f>
        <v>137.45</v>
      </c>
      <c s="79" r="M445">
        <v>61.2</v>
      </c>
      <c s="79" r="N445">
        <v>754.3</v>
      </c>
      <c s="32" r="O445">
        <f>SUMIF(Sellables!$A$2:$A$11482, $A445, Sellables!$G$2:$G$11482)</f>
        <v>176</v>
      </c>
      <c s="32" r="P445">
        <f>SUMIF(Skills!$A$2:$A$9999, A445, Skills!$F$2:$F$9999)</f>
        <v>0</v>
      </c>
      <c s="14" r="Q445">
        <f>(N445+O445)+P445</f>
        <v>930.3</v>
      </c>
      <c s="23" r="R445">
        <f>(E445+L445)-M445</f>
        <v>476.25</v>
      </c>
      <c s="70" r="S445">
        <f>Q445-R445</f>
        <v>454.05</v>
      </c>
      <c s="29" r="T445">
        <f> (Q445/R445) - 1</f>
        <v>0.953385826771653</v>
      </c>
      <c s="70" r="U445">
        <f>R445/X445</f>
        <v>11.0755813953488</v>
      </c>
      <c s="70" r="V445">
        <f>Q445/X445</f>
        <v>21.6348837209302</v>
      </c>
      <c t="s" s="30" r="W445">
        <v>237</v>
      </c>
      <c s="30" r="X445">
        <v>43</v>
      </c>
      <c t="s" s="30" r="Y445">
        <v>238</v>
      </c>
      <c t="s" s="30" r="Z445">
        <v>42</v>
      </c>
      <c s="30" r="AA445">
        <v>0</v>
      </c>
      <c s="30" r="AB445">
        <v>0</v>
      </c>
      <c s="30" r="AC445">
        <v>2</v>
      </c>
      <c s="30" r="AD445">
        <v>1</v>
      </c>
      <c s="30" r="AE445"/>
      <c s="8" r="AF445">
        <f>(I445+J445)/R445</f>
        <v>0.087391076115486</v>
      </c>
      <c s="28" r="AG445">
        <f>G445/$X445</f>
        <v>1.13790697674419</v>
      </c>
      <c s="28" r="AH445">
        <f>H445/$X445</f>
        <v>0.883023255813954</v>
      </c>
      <c s="28" r="AI445">
        <f>I445/$X445</f>
        <v>0.88906976744186</v>
      </c>
      <c s="28" r="AJ445">
        <f>J445/$X445</f>
        <v>0.078837209302326</v>
      </c>
      <c s="28" r="AK445">
        <f>K445/$X445</f>
        <v>0.207674418604651</v>
      </c>
      <c s="30" r="AL445">
        <v>1</v>
      </c>
    </row>
    <row r="446">
      <c s="30" r="A446">
        <v>486</v>
      </c>
      <c t="s" s="30" r="B446">
        <v>38</v>
      </c>
      <c s="62" r="C446">
        <v>41614</v>
      </c>
      <c s="52" r="D446">
        <v>0.927083333333333</v>
      </c>
      <c s="27" r="E446">
        <v>350</v>
      </c>
      <c s="27" r="F446"/>
      <c s="75" r="G446">
        <f>(525.80-490.13)+0.49</f>
        <v>36.16</v>
      </c>
      <c s="27" r="H446">
        <v>26.5</v>
      </c>
      <c s="27" r="I446">
        <v>23.35</v>
      </c>
      <c s="27" r="J446">
        <v>2.13</v>
      </c>
      <c s="27" r="K446">
        <v>4.77</v>
      </c>
      <c s="59" r="L446">
        <f>SUM(G446:K446)</f>
        <v>92.91</v>
      </c>
      <c s="79" r="M446">
        <f>24.22+91</f>
        <v>115.22</v>
      </c>
      <c s="79" r="N446">
        <v>387.76</v>
      </c>
      <c s="32" r="O446">
        <f>SUMIF(Sellables!$A$2:$A$11482, $A446, Sellables!$G$2:$G$11482)</f>
        <v>135.95</v>
      </c>
      <c s="32" r="P446">
        <f>SUMIF(Skills!$A$2:$A$9999, A446, Skills!$F$2:$F$9999)</f>
        <v>0</v>
      </c>
      <c s="14" r="Q446">
        <f>(N446+O446)+P446</f>
        <v>523.71</v>
      </c>
      <c s="23" r="R446">
        <f>(E446+L446)-M446</f>
        <v>327.69</v>
      </c>
      <c s="70" r="S446">
        <f>Q446-R446</f>
        <v>196.02</v>
      </c>
      <c s="29" r="T446">
        <f> (Q446/R446) - 1</f>
        <v>0.598187311178248</v>
      </c>
      <c s="70" r="U446">
        <f>R446/X446</f>
        <v>7.12369565217391</v>
      </c>
      <c s="70" r="V446">
        <f>Q446/X446</f>
        <v>11.385</v>
      </c>
      <c t="s" s="30" r="W446">
        <v>260</v>
      </c>
      <c s="30" r="X446">
        <v>46</v>
      </c>
      <c t="s" s="30" r="Y446">
        <v>282</v>
      </c>
      <c t="s" s="30" r="Z446">
        <v>42</v>
      </c>
      <c s="30" r="AA446">
        <v>0</v>
      </c>
      <c s="30" r="AB446">
        <v>1</v>
      </c>
      <c s="30" r="AC446">
        <v>4</v>
      </c>
      <c s="30" r="AD446">
        <v>0</v>
      </c>
      <c s="30" r="AE446"/>
      <c s="8" r="AF446">
        <f>(I446+J446)/R446</f>
        <v>0.077756416124996</v>
      </c>
      <c s="28" r="AG446">
        <f>G446/$X446</f>
        <v>0.786086956521738</v>
      </c>
      <c s="28" r="AH446">
        <f>H446/$X446</f>
        <v>0.576086956521739</v>
      </c>
      <c s="28" r="AI446">
        <f>I446/$X446</f>
        <v>0.507608695652174</v>
      </c>
      <c s="28" r="AJ446">
        <f>J446/$X446</f>
        <v>0.046304347826087</v>
      </c>
      <c s="28" r="AK446">
        <f>K446/$X446</f>
        <v>0.103695652173913</v>
      </c>
      <c s="30" r="AL446">
        <v>1</v>
      </c>
    </row>
    <row r="447">
      <c s="30" r="A447">
        <v>487</v>
      </c>
      <c t="s" s="30" r="B447">
        <v>38</v>
      </c>
      <c s="62" r="C447">
        <v>41614</v>
      </c>
      <c s="52" r="D447">
        <v>0.979166666666667</v>
      </c>
      <c s="27" r="E447">
        <v>500</v>
      </c>
      <c s="27" r="F447"/>
      <c s="75" r="G447">
        <f>(490.13-453.60)+0.72</f>
        <v>37.25</v>
      </c>
      <c s="27" r="H447">
        <v>27.14</v>
      </c>
      <c s="27" r="I447">
        <v>20.6</v>
      </c>
      <c s="27" r="J447">
        <v>5.46</v>
      </c>
      <c s="27" r="K447">
        <v>4.54</v>
      </c>
      <c s="59" r="L447">
        <f>SUM(G447:K447)</f>
        <v>94.99</v>
      </c>
      <c s="79" r="M447">
        <v>257.55</v>
      </c>
      <c s="79" r="N447">
        <v>146.09</v>
      </c>
      <c s="32" r="O447">
        <f>SUMIF(Sellables!$A$2:$A$11482, $A447, Sellables!$G$2:$G$11482)</f>
        <v>0</v>
      </c>
      <c s="32" r="P447">
        <f>SUMIF(Skills!$A$2:$A$9999, A447, Skills!$F$2:$F$9999)</f>
        <v>20.040678</v>
      </c>
      <c s="14" r="Q447">
        <f>(N447+O447)+P447</f>
        <v>166.130678</v>
      </c>
      <c s="23" r="R447">
        <f>(E447+L447)-M447</f>
        <v>337.44</v>
      </c>
      <c s="70" r="S447">
        <f>Q447-R447</f>
        <v>-171.309322</v>
      </c>
      <c s="29" r="T447">
        <f> (Q447/R447) - 1</f>
        <v>-0.507673429350403</v>
      </c>
      <c t="str" s="70" r="U447">
        <f>R447/X447</f>
        <v>#DIV/0!:divZero</v>
      </c>
      <c t="str" s="70" r="V447">
        <f>Q447/X447</f>
        <v>#DIV/0!:divZero</v>
      </c>
      <c t="s" s="30" r="W447">
        <v>260</v>
      </c>
      <c s="30" r="X447">
        <v>0</v>
      </c>
      <c t="s" s="30" r="Y447">
        <v>282</v>
      </c>
      <c t="s" s="30" r="Z447">
        <v>42</v>
      </c>
      <c s="30" r="AA447">
        <v>0</v>
      </c>
      <c s="30" r="AB447">
        <v>0</v>
      </c>
      <c s="30" r="AC447">
        <v>0</v>
      </c>
      <c s="30" r="AD447">
        <v>0</v>
      </c>
      <c s="30" r="AE447"/>
      <c s="8" r="AF447">
        <f>(I447+J447)/R447</f>
        <v>0.077228544333808</v>
      </c>
      <c t="str" s="28" r="AG447">
        <f>G447/$X447</f>
        <v>#DIV/0!:divZero</v>
      </c>
      <c t="str" s="28" r="AH447">
        <f>H447/$X447</f>
        <v>#DIV/0!:divZero</v>
      </c>
      <c t="str" s="28" r="AI447">
        <f>I447/$X447</f>
        <v>#DIV/0!:divZero</v>
      </c>
      <c t="str" s="28" r="AJ447">
        <f>J447/$X447</f>
        <v>#DIV/0!:divZero</v>
      </c>
      <c t="str" s="28" r="AK447">
        <f>K447/$X447</f>
        <v>#DIV/0!:divZero</v>
      </c>
      <c s="30" r="AL447">
        <v>1</v>
      </c>
    </row>
    <row r="448">
      <c s="30" r="A448">
        <v>489</v>
      </c>
      <c t="s" s="30" r="B448">
        <v>38</v>
      </c>
      <c s="62" r="C448">
        <v>41615</v>
      </c>
      <c s="52" r="D448">
        <v>0.604166666666667</v>
      </c>
      <c s="27" r="E448">
        <v>50</v>
      </c>
      <c s="27" r="F448"/>
      <c s="75" r="G448">
        <v>293.28</v>
      </c>
      <c s="27" r="H448">
        <v>1.97</v>
      </c>
      <c s="27" r="I448">
        <v>19.75</v>
      </c>
      <c s="27" r="J448">
        <v>0.89</v>
      </c>
      <c s="27" r="K448">
        <v>0.51</v>
      </c>
      <c s="59" r="L448">
        <f>SUM(G448:K448)</f>
        <v>316.4</v>
      </c>
      <c s="79" r="M448">
        <v>48.21</v>
      </c>
      <c s="79" r="N448">
        <v>199.19</v>
      </c>
      <c s="32" r="O448">
        <f>SUMIF(Sellables!$A$2:$A$11482, $A448, Sellables!$G$2:$G$11482)</f>
        <v>49.2132</v>
      </c>
      <c s="32" r="P448">
        <f>SUMIF(Skills!$A$2:$A$9999, A448, Skills!$F$2:$F$9999)</f>
        <v>0</v>
      </c>
      <c s="14" r="Q448">
        <f>(N448+O448)+P448</f>
        <v>248.4032</v>
      </c>
      <c s="23" r="R448">
        <f>(E448+L448)-M448</f>
        <v>318.19</v>
      </c>
      <c s="70" r="S448">
        <f>Q448-R448</f>
        <v>-69.7868</v>
      </c>
      <c s="29" r="T448">
        <f> (Q448/R448) - 1</f>
        <v>-0.219324303089349</v>
      </c>
      <c t="str" s="70" r="U448">
        <f>R448/X448</f>
        <v>#DIV/0!:divZero</v>
      </c>
      <c t="str" s="70" r="V448">
        <f>Q448/X448</f>
        <v>#DIV/0!:divZero</v>
      </c>
      <c t="s" s="30" r="W448">
        <v>131</v>
      </c>
      <c s="30" r="X448">
        <v>0</v>
      </c>
      <c t="s" s="30" r="Y448">
        <v>283</v>
      </c>
      <c t="s" s="30" r="Z448">
        <v>42</v>
      </c>
      <c s="30" r="AA448">
        <v>0</v>
      </c>
      <c s="30" r="AB448">
        <v>0</v>
      </c>
      <c s="30" r="AC448">
        <v>1</v>
      </c>
      <c s="30" r="AD448">
        <v>1</v>
      </c>
      <c s="30" r="AE448"/>
      <c s="8" r="AF448">
        <f>(I448+J448)/R448</f>
        <v>0.064866903422483</v>
      </c>
      <c t="str" s="28" r="AG448">
        <f>G448/$X448</f>
        <v>#DIV/0!:divZero</v>
      </c>
      <c t="str" s="28" r="AH448">
        <f>H448/$X448</f>
        <v>#DIV/0!:divZero</v>
      </c>
      <c t="str" s="28" r="AI448">
        <f>I448/$X448</f>
        <v>#DIV/0!:divZero</v>
      </c>
      <c t="str" s="28" r="AJ448">
        <f>J448/$X448</f>
        <v>#DIV/0!:divZero</v>
      </c>
      <c t="str" s="28" r="AK448">
        <f>K448/$X448</f>
        <v>#DIV/0!:divZero</v>
      </c>
      <c s="30" r="AL448">
        <v>1</v>
      </c>
    </row>
    <row r="449">
      <c s="30" r="A449">
        <v>492</v>
      </c>
      <c t="s" s="30" r="B449">
        <v>38</v>
      </c>
      <c s="62" r="C449">
        <v>41615</v>
      </c>
      <c s="52" r="D449">
        <v>0.75</v>
      </c>
      <c s="27" r="E449">
        <v>750</v>
      </c>
      <c s="27" r="F449"/>
      <c s="75" r="G449">
        <f>(590-514.61)+2.63</f>
        <v>78.02</v>
      </c>
      <c s="27" r="H449">
        <f>57.15+3.60</f>
        <v>60.75</v>
      </c>
      <c s="27" r="I449">
        <f>53.53+2.82</f>
        <v>56.35</v>
      </c>
      <c s="27" r="J449">
        <v>2.7</v>
      </c>
      <c s="27" r="K449">
        <v>16.18</v>
      </c>
      <c s="59" r="L449">
        <f>SUM(G449:K449)</f>
        <v>214</v>
      </c>
      <c s="79" r="M449">
        <v>230.95</v>
      </c>
      <c s="79" r="N449">
        <v>466.95</v>
      </c>
      <c s="32" r="O449">
        <f>SUMIF(Sellables!$A$2:$A$11482, $A449, Sellables!$G$2:$G$11482)</f>
        <v>1179.02</v>
      </c>
      <c s="32" r="P449">
        <f>SUMIF(Skills!$A$2:$A$9999, A449, Skills!$F$2:$F$9999)</f>
        <v>0</v>
      </c>
      <c s="14" r="Q449">
        <f>(N449+O449)+P449</f>
        <v>1645.97</v>
      </c>
      <c s="23" r="R449">
        <f>(E449+L449)-M449</f>
        <v>733.05</v>
      </c>
      <c s="70" r="S449">
        <f>Q449-R449</f>
        <v>912.92</v>
      </c>
      <c s="29" r="T449">
        <f> (Q449/R449) - 1</f>
        <v>1.24537207557465</v>
      </c>
      <c s="70" r="U449">
        <f>R449/X449</f>
        <v>10.3246478873239</v>
      </c>
      <c s="70" r="V449">
        <f>Q449/X449</f>
        <v>23.182676056338</v>
      </c>
      <c t="s" s="30" r="W449">
        <v>237</v>
      </c>
      <c s="30" r="X449">
        <v>71</v>
      </c>
      <c t="s" s="30" r="Y449">
        <v>238</v>
      </c>
      <c t="s" s="30" r="Z449">
        <v>42</v>
      </c>
      <c s="30" r="AA449">
        <v>0</v>
      </c>
      <c s="30" r="AB449">
        <v>0</v>
      </c>
      <c s="30" r="AC449">
        <v>2</v>
      </c>
      <c s="30" r="AD449">
        <v>1</v>
      </c>
      <c s="30" r="AE449"/>
      <c s="8" r="AF449">
        <f>(I449+J449)/R449</f>
        <v>0.080553850351272</v>
      </c>
      <c s="28" r="AG449">
        <f>G449/$X449</f>
        <v>1.09887323943662</v>
      </c>
      <c s="28" r="AH449">
        <f>H449/$X449</f>
        <v>0.855633802816901</v>
      </c>
      <c s="28" r="AI449">
        <f>I449/$X449</f>
        <v>0.793661971830986</v>
      </c>
      <c s="28" r="AJ449">
        <f>J449/$X449</f>
        <v>0.038028169014084</v>
      </c>
      <c s="28" r="AK449">
        <f>K449/$X449</f>
        <v>0.227887323943662</v>
      </c>
      <c s="30" r="AL449">
        <v>1</v>
      </c>
    </row>
    <row r="450">
      <c s="30" r="A450">
        <v>493</v>
      </c>
      <c t="s" s="30" r="B450">
        <v>38</v>
      </c>
      <c s="62" r="C450">
        <v>41615</v>
      </c>
      <c s="52" r="D450">
        <v>0.833333333333333</v>
      </c>
      <c s="27" r="E450">
        <v>400</v>
      </c>
      <c s="27" r="F450"/>
      <c s="75" r="G450">
        <f>(514.61-475.64)+68.23</f>
        <v>107.2</v>
      </c>
      <c s="27" r="H450">
        <v>30.77</v>
      </c>
      <c s="27" r="I450">
        <v>17.82</v>
      </c>
      <c s="27" r="J450">
        <v>1.48</v>
      </c>
      <c s="27" r="K450">
        <v>8.34</v>
      </c>
      <c s="59" r="L450">
        <f>SUM(G450:K450)</f>
        <v>165.61</v>
      </c>
      <c s="79" r="M450">
        <v>147.59</v>
      </c>
      <c s="79" r="N450">
        <v>229.28</v>
      </c>
      <c s="32" r="O450">
        <f>SUMIF(Sellables!$A$2:$A$11482, $A450, Sellables!$G$2:$G$11482)</f>
        <v>1.9656</v>
      </c>
      <c s="32" r="P450">
        <f>SUMIF(Skills!$A$2:$A$9999, A450, Skills!$F$2:$F$9999)</f>
        <v>0</v>
      </c>
      <c s="14" r="Q450">
        <f>(N450+O450)+P450</f>
        <v>231.2456</v>
      </c>
      <c s="23" r="R450">
        <f>(E450+L450)-M450</f>
        <v>418.02</v>
      </c>
      <c s="70" r="S450">
        <f>Q450-R450</f>
        <v>-186.7744</v>
      </c>
      <c s="29" r="T450">
        <f> (Q450/R450) - 1</f>
        <v>-0.446807329792833</v>
      </c>
      <c t="str" s="70" r="U450">
        <f>R450/X450</f>
        <v>#DIV/0!:divZero</v>
      </c>
      <c t="str" s="70" r="V450">
        <f>Q450/X450</f>
        <v>#DIV/0!:divZero</v>
      </c>
      <c t="s" s="30" r="W450">
        <v>284</v>
      </c>
      <c s="30" r="X450">
        <v>0</v>
      </c>
      <c t="s" s="30" r="Y450">
        <v>285</v>
      </c>
      <c t="s" s="30" r="Z450">
        <v>42</v>
      </c>
      <c s="30" r="AA450">
        <v>0</v>
      </c>
      <c s="30" r="AB450">
        <v>0</v>
      </c>
      <c s="30" r="AC450">
        <v>0</v>
      </c>
      <c s="30" r="AD450">
        <v>0</v>
      </c>
      <c s="30" r="AE450"/>
      <c s="8" r="AF450">
        <f>(I450+J450)/R450</f>
        <v>0.046170039711019</v>
      </c>
      <c t="str" s="28" r="AG450">
        <f>G450/$X450</f>
        <v>#DIV/0!:divZero</v>
      </c>
      <c t="str" s="28" r="AH450">
        <f>H450/$X450</f>
        <v>#DIV/0!:divZero</v>
      </c>
      <c t="str" s="28" r="AI450">
        <f>I450/$X450</f>
        <v>#DIV/0!:divZero</v>
      </c>
      <c t="str" s="28" r="AJ450">
        <f>J450/$X450</f>
        <v>#DIV/0!:divZero</v>
      </c>
      <c t="str" s="28" r="AK450">
        <f>K450/$X450</f>
        <v>#DIV/0!:divZero</v>
      </c>
      <c s="30" r="AL450">
        <v>1</v>
      </c>
    </row>
    <row r="451">
      <c s="30" r="A451">
        <v>494</v>
      </c>
      <c t="s" s="30" r="B451">
        <v>38</v>
      </c>
      <c s="62" r="C451">
        <v>41615</v>
      </c>
      <c s="52" r="D451">
        <v>0.916666666666667</v>
      </c>
      <c s="27" r="E451">
        <v>0</v>
      </c>
      <c s="27" r="F451"/>
      <c s="75" r="G451">
        <v>357.89</v>
      </c>
      <c s="27" r="H451">
        <v>0</v>
      </c>
      <c s="27" r="I451">
        <v>17.05</v>
      </c>
      <c s="27" r="J451">
        <v>0.9</v>
      </c>
      <c s="27" r="K451">
        <v>0.02</v>
      </c>
      <c s="59" r="L451">
        <f>SUM(G451:K451)</f>
        <v>375.86</v>
      </c>
      <c s="79" r="M451">
        <v>0</v>
      </c>
      <c s="79" r="N451">
        <v>257.1</v>
      </c>
      <c s="32" r="O451">
        <f>SUMIF(Sellables!$A$2:$A$11482, $A451, Sellables!$G$2:$G$11482)</f>
        <v>23.166</v>
      </c>
      <c s="32" r="P451">
        <f>SUMIF(Skills!$A$2:$A$9999, A451, Skills!$F$2:$F$9999)</f>
        <v>0</v>
      </c>
      <c s="14" r="Q451">
        <f>(N451+O451)+P451</f>
        <v>280.266</v>
      </c>
      <c s="23" r="R451">
        <f>(E451+L451)-M451</f>
        <v>375.86</v>
      </c>
      <c s="70" r="S451">
        <f>Q451-R451</f>
        <v>-95.5939999999999</v>
      </c>
      <c s="29" r="T451">
        <f> (Q451/R451) - 1</f>
        <v>-0.254334060554462</v>
      </c>
      <c s="70" r="U451">
        <f>R451/X451</f>
        <v>0.973730569948186</v>
      </c>
      <c s="70" r="V451">
        <f>Q451/X451</f>
        <v>0.726077720207254</v>
      </c>
      <c t="s" s="30" r="W451">
        <v>131</v>
      </c>
      <c s="30" r="X451">
        <f>3710-3324</f>
        <v>386</v>
      </c>
      <c t="s" s="30" r="Y451">
        <v>132</v>
      </c>
      <c t="s" s="30" r="Z451">
        <v>42</v>
      </c>
      <c s="30" r="AA451">
        <v>0</v>
      </c>
      <c s="30" r="AB451">
        <v>0</v>
      </c>
      <c s="30" r="AC451">
        <v>1</v>
      </c>
      <c s="30" r="AD451">
        <v>0</v>
      </c>
      <c s="30" r="AE451"/>
      <c s="8" r="AF451">
        <f>(I451+J451)/R451</f>
        <v>0.047757143617304</v>
      </c>
      <c s="28" r="AG451">
        <f>G451/$X451</f>
        <v>0.927176165803109</v>
      </c>
      <c s="28" r="AH451">
        <f>H451/$X451</f>
        <v>0</v>
      </c>
      <c s="28" r="AI451">
        <f>I451/$X451</f>
        <v>0.044170984455959</v>
      </c>
      <c s="28" r="AJ451">
        <f>J451/$X451</f>
        <v>0.002331606217617</v>
      </c>
      <c s="28" r="AK451">
        <f>K451/$X451</f>
        <v>0.000051813471503</v>
      </c>
      <c s="30" r="AL451">
        <v>1</v>
      </c>
    </row>
    <row r="452">
      <c s="30" r="A452">
        <v>495</v>
      </c>
      <c t="s" s="30" r="B452">
        <v>38</v>
      </c>
      <c s="62" r="C452">
        <v>41616</v>
      </c>
      <c s="52" r="D452">
        <v>0.003472222222222</v>
      </c>
      <c s="27" r="E452">
        <v>500</v>
      </c>
      <c s="27" r="F452"/>
      <c s="75" r="G452">
        <v>62.93</v>
      </c>
      <c s="27" r="H452">
        <v>54.99</v>
      </c>
      <c s="27" r="I452">
        <v>55.83</v>
      </c>
      <c s="27" r="J452">
        <v>3.54</v>
      </c>
      <c s="27" r="K452">
        <v>15.74</v>
      </c>
      <c s="59" r="L452">
        <f>SUM(G452:K452)</f>
        <v>193.03</v>
      </c>
      <c s="79" r="M452">
        <v>13.9</v>
      </c>
      <c s="79" r="N452">
        <v>348.07</v>
      </c>
      <c s="32" r="O452">
        <f>SUMIF(Sellables!$A$2:$A$11482, $A452, Sellables!$G$2:$G$11482)</f>
        <v>65.448</v>
      </c>
      <c s="32" r="P452">
        <f>SUMIF(Skills!$A$2:$A$9999, A452, Skills!$F$2:$F$9999)</f>
        <v>0</v>
      </c>
      <c s="14" r="Q452">
        <f>(N452+O452)+P452</f>
        <v>413.518</v>
      </c>
      <c s="23" r="R452">
        <f>(E452+L452)-M452</f>
        <v>679.13</v>
      </c>
      <c s="70" r="S452">
        <f>Q452-R452</f>
        <v>-265.612</v>
      </c>
      <c s="29" r="T452">
        <f> (Q452/R452) - 1</f>
        <v>-0.391106268313872</v>
      </c>
      <c s="70" r="U452">
        <f>R452/X452</f>
        <v>11.3188333333333</v>
      </c>
      <c s="70" r="V452">
        <f>Q452/X452</f>
        <v>6.89196666666667</v>
      </c>
      <c t="s" s="30" r="W452">
        <v>237</v>
      </c>
      <c s="30" r="X452">
        <v>60</v>
      </c>
      <c t="s" s="30" r="Y452">
        <v>238</v>
      </c>
      <c t="s" s="30" r="Z452">
        <v>42</v>
      </c>
      <c s="30" r="AA452">
        <v>0</v>
      </c>
      <c s="30" r="AB452">
        <v>0</v>
      </c>
      <c s="30" r="AC452">
        <v>1</v>
      </c>
      <c s="30" r="AD452">
        <v>0</v>
      </c>
      <c s="30" r="AE452"/>
      <c s="8" r="AF452">
        <f>(I452+J452)/R452</f>
        <v>0.08742067056381</v>
      </c>
      <c s="28" r="AG452">
        <f>G452/$X452</f>
        <v>1.04883333333333</v>
      </c>
      <c s="28" r="AH452">
        <f>H452/$X452</f>
        <v>0.9165</v>
      </c>
      <c s="28" r="AI452">
        <f>I452/$X452</f>
        <v>0.9305</v>
      </c>
      <c s="28" r="AJ452">
        <f>J452/$X452</f>
        <v>0.059</v>
      </c>
      <c s="28" r="AK452">
        <f>K452/$X452</f>
        <v>0.262333333333333</v>
      </c>
      <c s="30" r="AL452">
        <v>1</v>
      </c>
    </row>
    <row r="453">
      <c s="30" r="A453">
        <v>496</v>
      </c>
      <c t="s" s="30" r="B453">
        <v>38</v>
      </c>
      <c s="62" r="C453">
        <v>41616</v>
      </c>
      <c s="52" r="D453">
        <v>0.541666666666667</v>
      </c>
      <c s="27" r="E453">
        <v>500</v>
      </c>
      <c s="27" r="F453"/>
      <c s="75" r="G453">
        <v>48.51</v>
      </c>
      <c s="27" r="H453">
        <v>43.76</v>
      </c>
      <c s="27" r="I453">
        <v>32.26</v>
      </c>
      <c s="27" r="J453">
        <v>0.84</v>
      </c>
      <c s="27" r="K453">
        <v>9.72</v>
      </c>
      <c s="59" r="L453">
        <f>SUM(G453:K453)</f>
        <v>135.09</v>
      </c>
      <c s="79" r="M453">
        <v>82.89</v>
      </c>
      <c s="79" r="N453">
        <v>770.29</v>
      </c>
      <c s="32" r="O453">
        <f>SUMIF(Sellables!$A$2:$A$11482, $A453, Sellables!$G$2:$G$11482)</f>
        <v>0</v>
      </c>
      <c s="32" r="P453">
        <f>SUMIF(Skills!$A$2:$A$9999, A453, Skills!$F$2:$F$9999)</f>
        <v>151.956</v>
      </c>
      <c s="14" r="Q453">
        <f>(N453+O453)+P453</f>
        <v>922.246</v>
      </c>
      <c s="23" r="R453">
        <f>(E453+L453)-M453</f>
        <v>552.2</v>
      </c>
      <c s="70" r="S453">
        <f>Q453-R453</f>
        <v>370.046</v>
      </c>
      <c s="29" r="T453">
        <f> (Q453/R453) - 1</f>
        <v>0.670130387540746</v>
      </c>
      <c s="70" r="U453">
        <f>R453/X453</f>
        <v>9.68771929824562</v>
      </c>
      <c s="70" r="V453">
        <f>Q453/X453</f>
        <v>16.1797543859649</v>
      </c>
      <c t="s" s="30" r="W453">
        <v>237</v>
      </c>
      <c s="30" r="X453">
        <v>57</v>
      </c>
      <c t="s" s="30" r="Y453">
        <v>238</v>
      </c>
      <c t="s" s="30" r="Z453">
        <v>42</v>
      </c>
      <c s="30" r="AA453">
        <v>0</v>
      </c>
      <c s="30" r="AB453">
        <v>0</v>
      </c>
      <c s="30" r="AC453">
        <v>3</v>
      </c>
      <c s="30" r="AD453">
        <v>0</v>
      </c>
      <c s="30" r="AE453"/>
      <c s="8" r="AF453">
        <f>(I453+J453)/R453</f>
        <v>0.059942049981891</v>
      </c>
      <c s="28" r="AG453">
        <f>G453/$X453</f>
        <v>0.851052631578947</v>
      </c>
      <c s="28" r="AH453">
        <f>H453/$X453</f>
        <v>0.767719298245614</v>
      </c>
      <c s="28" r="AI453">
        <f>I453/$X453</f>
        <v>0.565964912280702</v>
      </c>
      <c s="28" r="AJ453">
        <f>J453/$X453</f>
        <v>0.014736842105263</v>
      </c>
      <c s="28" r="AK453">
        <f>K453/$X453</f>
        <v>0.170526315789474</v>
      </c>
      <c s="30" r="AL453">
        <v>1</v>
      </c>
    </row>
    <row r="454">
      <c s="30" r="A454">
        <v>497</v>
      </c>
      <c t="s" s="30" r="B454">
        <v>38</v>
      </c>
      <c s="62" r="C454">
        <v>41616</v>
      </c>
      <c s="52" r="D454">
        <v>0.590277777777778</v>
      </c>
      <c s="27" r="E454">
        <v>0</v>
      </c>
      <c s="27" r="F454"/>
      <c s="75" r="G454">
        <v>68.81</v>
      </c>
      <c s="27" r="H454">
        <v>0</v>
      </c>
      <c s="27" r="I454">
        <v>2.22</v>
      </c>
      <c s="27" r="J454">
        <v>1.59</v>
      </c>
      <c s="27" r="K454">
        <v>0.64</v>
      </c>
      <c s="59" r="L454">
        <f>SUM(G454:K454)</f>
        <v>73.26</v>
      </c>
      <c s="79" r="M454">
        <v>0</v>
      </c>
      <c s="79" r="N454">
        <v>48.25</v>
      </c>
      <c s="32" r="O454">
        <f>SUMIF(Sellables!$A$2:$A$11482, $A454, Sellables!$G$2:$G$11482)</f>
        <v>0</v>
      </c>
      <c s="32" r="P454">
        <f>SUMIF(Skills!$A$2:$A$9999, A454, Skills!$F$2:$F$9999)</f>
        <v>0</v>
      </c>
      <c s="14" r="Q454">
        <f>(N454+O454)+P454</f>
        <v>48.25</v>
      </c>
      <c s="23" r="R454">
        <f>(E454+L454)-M454</f>
        <v>73.26</v>
      </c>
      <c s="70" r="S454">
        <f>Q454-R454</f>
        <v>-25.01</v>
      </c>
      <c s="29" r="T454">
        <f> (Q454/R454) - 1</f>
        <v>-0.341386841386841</v>
      </c>
      <c t="str" s="70" r="U454">
        <f>R454/X454</f>
        <v>#DIV/0!:divZero</v>
      </c>
      <c t="str" s="70" r="V454">
        <f>Q454/X454</f>
        <v>#DIV/0!:divZero</v>
      </c>
      <c t="s" s="30" r="W454">
        <v>286</v>
      </c>
      <c s="30" r="X454">
        <v>0</v>
      </c>
      <c t="s" s="30" r="Y454">
        <v>235</v>
      </c>
      <c t="s" s="30" r="Z454">
        <v>42</v>
      </c>
      <c s="30" r="AA454">
        <v>0</v>
      </c>
      <c s="30" r="AB454">
        <v>0</v>
      </c>
      <c s="30" r="AC454">
        <v>0</v>
      </c>
      <c s="30" r="AD454">
        <v>0</v>
      </c>
      <c s="30" r="AE454"/>
      <c s="8" r="AF454">
        <f>(I454+J454)/R454</f>
        <v>0.052006552006552</v>
      </c>
      <c t="str" s="28" r="AG454">
        <f>G454/$X454</f>
        <v>#DIV/0!:divZero</v>
      </c>
      <c t="str" s="28" r="AH454">
        <f>H454/$X454</f>
        <v>#DIV/0!:divZero</v>
      </c>
      <c t="str" s="28" r="AI454">
        <f>I454/$X454</f>
        <v>#DIV/0!:divZero</v>
      </c>
      <c t="str" s="28" r="AJ454">
        <f>J454/$X454</f>
        <v>#DIV/0!:divZero</v>
      </c>
      <c t="str" s="28" r="AK454">
        <f>K454/$X454</f>
        <v>#DIV/0!:divZero</v>
      </c>
      <c s="30" r="AL454">
        <v>1</v>
      </c>
    </row>
    <row r="455">
      <c s="30" r="A455">
        <v>501</v>
      </c>
      <c t="s" s="30" r="B455">
        <v>38</v>
      </c>
      <c s="62" r="C455">
        <v>41616</v>
      </c>
      <c s="52" r="D455">
        <v>0.854166666666667</v>
      </c>
      <c s="27" r="E455">
        <v>700</v>
      </c>
      <c s="27" r="F455"/>
      <c s="75" r="G455">
        <v>75.69</v>
      </c>
      <c s="27" r="H455">
        <f>52.63+1.91</f>
        <v>54.54</v>
      </c>
      <c s="27" r="I455">
        <v>50.04</v>
      </c>
      <c s="27" r="J455">
        <v>1.95</v>
      </c>
      <c s="27" r="K455">
        <v>12.29</v>
      </c>
      <c s="59" r="L455">
        <f>SUM(G455:K455)</f>
        <v>194.51</v>
      </c>
      <c s="79" r="M455">
        <f>36.46+182</f>
        <v>218.46</v>
      </c>
      <c s="79" r="N455">
        <f>367.23+9.34</f>
        <v>376.57</v>
      </c>
      <c s="32" r="O455">
        <f>SUMIF(Sellables!$A$2:$A$11482, $A455, Sellables!$G$2:$G$11482)</f>
        <v>98.025</v>
      </c>
      <c s="32" r="P455">
        <f>SUMIF(Skills!$A$2:$A$9999, A455, Skills!$F$2:$F$9999)</f>
        <v>0</v>
      </c>
      <c s="14" r="Q455">
        <f>(N455+O455)+P455</f>
        <v>474.595</v>
      </c>
      <c s="23" r="R455">
        <f>(E455+L455)-M455</f>
        <v>676.05</v>
      </c>
      <c s="70" r="S455">
        <f>Q455-R455</f>
        <v>-201.455</v>
      </c>
      <c s="29" r="T455">
        <f> (Q455/R455) - 1</f>
        <v>-0.297988314473782</v>
      </c>
      <c s="70" r="U455">
        <f>R455/X455</f>
        <v>6.37783018867924</v>
      </c>
      <c s="70" r="V455">
        <f>Q455/X455</f>
        <v>4.47731132075472</v>
      </c>
      <c t="s" s="30" r="W455">
        <v>52</v>
      </c>
      <c s="30" r="X455">
        <v>106</v>
      </c>
      <c t="s" s="30" r="Y455">
        <v>53</v>
      </c>
      <c t="s" s="30" r="Z455">
        <v>54</v>
      </c>
      <c s="30" r="AA455">
        <v>0</v>
      </c>
      <c s="30" r="AB455">
        <v>0</v>
      </c>
      <c s="30" r="AC455">
        <v>2</v>
      </c>
      <c s="30" r="AD455">
        <v>0</v>
      </c>
      <c s="30" r="AE455"/>
      <c s="8" r="AF455">
        <f>(I455+J455)/R455</f>
        <v>0.076902595961837</v>
      </c>
      <c s="28" r="AG455">
        <f>G455/$X455</f>
        <v>0.714056603773585</v>
      </c>
      <c s="28" r="AH455">
        <f>H455/$X455</f>
        <v>0.514528301886792</v>
      </c>
      <c s="28" r="AI455">
        <f>I455/$X455</f>
        <v>0.472075471698113</v>
      </c>
      <c s="28" r="AJ455">
        <f>J455/$X455</f>
        <v>0.018396226415094</v>
      </c>
      <c s="28" r="AK455">
        <f>K455/$X455</f>
        <v>0.115943396226415</v>
      </c>
      <c s="30" r="AL455">
        <v>1</v>
      </c>
    </row>
    <row r="456">
      <c s="30" r="A456">
        <v>502</v>
      </c>
      <c t="s" s="30" r="B456">
        <v>38</v>
      </c>
      <c s="62" r="C456">
        <v>41616</v>
      </c>
      <c s="52" r="D456">
        <v>0.892361111111111</v>
      </c>
      <c s="27" r="E456">
        <v>1500</v>
      </c>
      <c s="27" r="F456"/>
      <c s="75" r="G456">
        <f>(65.39+577.23)-549.02</f>
        <v>93.6</v>
      </c>
      <c s="27" r="H456">
        <f>((48.52+49.89)+16.42)+22.27</f>
        <v>137.1</v>
      </c>
      <c s="27" r="I456">
        <f>32.13+40.78</f>
        <v>72.91</v>
      </c>
      <c s="27" r="J456">
        <v>3.25</v>
      </c>
      <c s="27" r="K456">
        <v>3.67</v>
      </c>
      <c s="59" r="L456">
        <f>SUM(G456:K456)</f>
        <v>310.53</v>
      </c>
      <c s="79" r="M456">
        <f>(126.78+154.49)+331.09</f>
        <v>612.36</v>
      </c>
      <c s="79" r="N456">
        <f>(354.07+1633.28)+102.52</f>
        <v>2089.87</v>
      </c>
      <c s="32" r="O456">
        <f>SUMIF(Sellables!$A$2:$A$11482, $A456, Sellables!$G$2:$G$11482)</f>
        <v>430.12</v>
      </c>
      <c s="32" r="P456">
        <f>SUMIF(Skills!$A$2:$A$9999, A456, Skills!$F$2:$F$9999)</f>
        <v>0</v>
      </c>
      <c s="14" r="Q456">
        <f>(N456+O456)+P456</f>
        <v>2519.99</v>
      </c>
      <c s="23" r="R456">
        <f>(E456+L456)-M456</f>
        <v>1198.17</v>
      </c>
      <c s="70" r="S456">
        <f>Q456-R456</f>
        <v>1321.82</v>
      </c>
      <c s="29" r="T456">
        <f> (Q456/R456) - 1</f>
        <v>1.10319904521061</v>
      </c>
      <c s="70" r="U456">
        <f>R456/X456</f>
        <v>3.80371428571429</v>
      </c>
      <c s="70" r="V456">
        <f>Q456/X456</f>
        <v>7.99996825396825</v>
      </c>
      <c t="s" s="30" r="W456">
        <v>52</v>
      </c>
      <c s="30" r="X456">
        <f>266+49</f>
        <v>315</v>
      </c>
      <c t="s" s="30" r="Y456">
        <v>287</v>
      </c>
      <c t="s" s="30" r="Z456">
        <v>54</v>
      </c>
      <c s="30" r="AA456">
        <v>-7</v>
      </c>
      <c s="30" r="AB456">
        <v>1</v>
      </c>
      <c s="30" r="AC456">
        <v>6</v>
      </c>
      <c s="30" r="AD456">
        <v>1</v>
      </c>
      <c s="30" r="AE456"/>
      <c s="8" r="AF456">
        <f>(I456+J456)/R456</f>
        <v>0.063563601158433</v>
      </c>
      <c s="28" r="AG456">
        <f>G456/$X456</f>
        <v>0.297142857142857</v>
      </c>
      <c s="28" r="AH456">
        <f>H456/$X456</f>
        <v>0.435238095238095</v>
      </c>
      <c s="28" r="AI456">
        <f>I456/$X456</f>
        <v>0.231460317460317</v>
      </c>
      <c s="28" r="AJ456">
        <f>J456/$X456</f>
        <v>0.01031746031746</v>
      </c>
      <c s="28" r="AK456">
        <f>K456/$X456</f>
        <v>0.011650793650794</v>
      </c>
      <c s="30" r="AL456">
        <v>1</v>
      </c>
    </row>
    <row r="457">
      <c s="30" r="A457">
        <v>510</v>
      </c>
      <c t="s" s="30" r="B457">
        <v>38</v>
      </c>
      <c s="62" r="C457">
        <v>41617</v>
      </c>
      <c s="52" r="D457">
        <v>0.677083333333333</v>
      </c>
      <c s="27" r="E457">
        <v>500</v>
      </c>
      <c s="27" r="F457"/>
      <c s="75" r="G457">
        <v>35.56</v>
      </c>
      <c s="27" r="H457">
        <v>32.27</v>
      </c>
      <c s="27" r="I457">
        <v>12.11</v>
      </c>
      <c s="27" r="J457">
        <v>3.55</v>
      </c>
      <c s="27" r="K457">
        <v>6.7</v>
      </c>
      <c s="59" r="L457">
        <f>SUM(G457:K457)</f>
        <v>90.19</v>
      </c>
      <c s="79" r="M457">
        <v>239.12</v>
      </c>
      <c s="79" r="N457">
        <v>174.62</v>
      </c>
      <c s="32" r="O457">
        <f>SUMIF(Sellables!$A$2:$A$11482, $A457, Sellables!$G$2:$G$11482)</f>
        <v>0</v>
      </c>
      <c s="32" r="P457">
        <f>SUMIF(Skills!$A$2:$A$9999, A457, Skills!$F$2:$F$9999)</f>
        <v>11.88</v>
      </c>
      <c s="14" r="Q457">
        <f>(N457+O457)+P457</f>
        <v>186.5</v>
      </c>
      <c s="23" r="R457">
        <f>(E457+L457)-M457</f>
        <v>351.07</v>
      </c>
      <c s="70" r="S457">
        <f>Q457-R457</f>
        <v>-164.57</v>
      </c>
      <c s="29" r="T457">
        <f> (Q457/R457) - 1</f>
        <v>-0.468766912581537</v>
      </c>
      <c t="str" s="70" r="U457">
        <f>R457/X457</f>
        <v>#DIV/0!:divZero</v>
      </c>
      <c t="str" s="70" r="V457">
        <f>Q457/X457</f>
        <v>#DIV/0!:divZero</v>
      </c>
      <c t="s" s="30" r="W457">
        <v>288</v>
      </c>
      <c s="30" r="X457">
        <v>0</v>
      </c>
      <c t="s" s="30" r="Y457">
        <v>268</v>
      </c>
      <c t="s" s="30" r="Z457">
        <v>42</v>
      </c>
      <c s="30" r="AA457">
        <v>0</v>
      </c>
      <c s="30" r="AB457">
        <v>0</v>
      </c>
      <c s="30" r="AC457">
        <v>0</v>
      </c>
      <c s="30" r="AD457">
        <v>0</v>
      </c>
      <c s="30" r="AE457"/>
      <c s="8" r="AF457">
        <f>(I457+J457)/R457</f>
        <v>0.04460648873444</v>
      </c>
      <c t="str" s="28" r="AG457">
        <f>G457/$X457</f>
        <v>#DIV/0!:divZero</v>
      </c>
      <c t="str" s="28" r="AH457">
        <f>H457/$X457</f>
        <v>#DIV/0!:divZero</v>
      </c>
      <c t="str" s="28" r="AI457">
        <f>I457/$X457</f>
        <v>#DIV/0!:divZero</v>
      </c>
      <c t="str" s="28" r="AJ457">
        <f>J457/$X457</f>
        <v>#DIV/0!:divZero</v>
      </c>
      <c t="str" s="28" r="AK457">
        <f>K457/$X457</f>
        <v>#DIV/0!:divZero</v>
      </c>
      <c s="30" r="AL457">
        <v>1</v>
      </c>
    </row>
    <row r="458">
      <c s="30" r="A458">
        <v>511</v>
      </c>
      <c t="s" s="30" r="B458">
        <v>38</v>
      </c>
      <c s="62" r="C458">
        <v>41617</v>
      </c>
      <c s="52" r="D458">
        <v>0.895833333333333</v>
      </c>
      <c s="27" r="E458">
        <v>500</v>
      </c>
      <c s="27" r="F458"/>
      <c s="75" r="G458">
        <v>11.56</v>
      </c>
      <c s="27" r="H458">
        <v>16.91</v>
      </c>
      <c s="27" r="I458">
        <v>6.69</v>
      </c>
      <c s="27" r="J458">
        <v>13.94</v>
      </c>
      <c s="27" r="K458">
        <v>5.96</v>
      </c>
      <c s="59" r="L458">
        <f>SUM(G458:K458)</f>
        <v>55.06</v>
      </c>
      <c s="79" r="M458">
        <v>348.02</v>
      </c>
      <c s="79" r="N458">
        <v>77.51</v>
      </c>
      <c s="32" r="O458">
        <f>SUMIF(Sellables!$A$2:$A$11482, $A458, Sellables!$G$2:$G$11482)</f>
        <v>88.0864</v>
      </c>
      <c s="32" r="P458">
        <f>SUMIF(Skills!$A$2:$A$9999, A458, Skills!$F$2:$F$9999)</f>
        <v>0</v>
      </c>
      <c s="14" r="Q458">
        <f>(N458+O458)+P458</f>
        <v>165.5964</v>
      </c>
      <c s="23" r="R458">
        <f>(E458+L458)-M458</f>
        <v>207.04</v>
      </c>
      <c s="70" r="S458">
        <f>Q458-R458</f>
        <v>-41.4435999999999</v>
      </c>
      <c s="29" r="T458">
        <f> (Q458/R458) - 1</f>
        <v>-0.200171947449768</v>
      </c>
      <c t="str" s="70" r="U458">
        <f>R458/X458</f>
        <v>#DIV/0!:divZero</v>
      </c>
      <c t="str" s="70" r="V458">
        <f>Q458/X458</f>
        <v>#DIV/0!:divZero</v>
      </c>
      <c t="s" s="30" r="W458">
        <v>289</v>
      </c>
      <c s="30" r="X458">
        <v>0</v>
      </c>
      <c t="s" s="30" r="Y458">
        <v>203</v>
      </c>
      <c t="s" s="30" r="Z458">
        <v>42</v>
      </c>
      <c s="30" r="AA458">
        <v>0</v>
      </c>
      <c s="30" r="AB458">
        <v>0</v>
      </c>
      <c s="30" r="AC458">
        <v>0</v>
      </c>
      <c s="30" r="AD458">
        <v>0</v>
      </c>
      <c s="30" r="AE458"/>
      <c s="8" r="AF458">
        <f>(I458+J458)/R458</f>
        <v>0.09964258114374</v>
      </c>
      <c t="str" s="28" r="AG458">
        <f>G458/$X458</f>
        <v>#DIV/0!:divZero</v>
      </c>
      <c t="str" s="28" r="AH458">
        <f>H458/$X458</f>
        <v>#DIV/0!:divZero</v>
      </c>
      <c t="str" s="28" r="AI458">
        <f>I458/$X458</f>
        <v>#DIV/0!:divZero</v>
      </c>
      <c t="str" s="28" r="AJ458">
        <f>J458/$X458</f>
        <v>#DIV/0!:divZero</v>
      </c>
      <c t="str" s="28" r="AK458">
        <f>K458/$X458</f>
        <v>#DIV/0!:divZero</v>
      </c>
      <c s="30" r="AL458">
        <v>1</v>
      </c>
    </row>
    <row r="459">
      <c s="30" r="A459">
        <v>512</v>
      </c>
      <c t="s" s="30" r="B459">
        <v>38</v>
      </c>
      <c s="62" r="C459">
        <v>41617</v>
      </c>
      <c s="52" r="D459">
        <v>0.927083333333333</v>
      </c>
      <c s="27" r="E459">
        <v>100</v>
      </c>
      <c s="27" r="F459"/>
      <c s="75" r="G459">
        <f>178.89+3</f>
        <v>181.89</v>
      </c>
      <c s="27" r="H459">
        <v>1.91</v>
      </c>
      <c s="27" r="I459">
        <v>6.62</v>
      </c>
      <c s="27" r="J459">
        <v>5.72</v>
      </c>
      <c s="27" r="K459">
        <v>4.61</v>
      </c>
      <c s="59" r="L459">
        <f>SUM(G459:K459)</f>
        <v>200.75</v>
      </c>
      <c s="79" r="M459">
        <v>73.88</v>
      </c>
      <c s="79" r="N459">
        <v>136.94</v>
      </c>
      <c s="32" r="O459">
        <f>SUMIF(Sellables!$A$2:$A$11482, $A459, Sellables!$G$2:$G$11482)</f>
        <v>62.81225</v>
      </c>
      <c s="32" r="P459">
        <f>SUMIF(Skills!$A$2:$A$9999, A459, Skills!$F$2:$F$9999)</f>
        <v>0</v>
      </c>
      <c s="14" r="Q459">
        <f>(N459+O459)+P459</f>
        <v>199.75225</v>
      </c>
      <c s="23" r="R459">
        <f>(E459+L459)-M459</f>
        <v>226.87</v>
      </c>
      <c s="70" r="S459">
        <f>Q459-R459</f>
        <v>-27.11775</v>
      </c>
      <c s="29" r="T459">
        <f> (Q459/R459) - 1</f>
        <v>-0.119529906995196</v>
      </c>
      <c t="str" s="70" r="U459">
        <f>R459/X459</f>
        <v>#DIV/0!:divZero</v>
      </c>
      <c t="str" s="70" r="V459">
        <f>Q459/X459</f>
        <v>#DIV/0!:divZero</v>
      </c>
      <c t="s" s="30" r="W459">
        <v>99</v>
      </c>
      <c s="30" r="X459">
        <v>0</v>
      </c>
      <c t="s" s="30" r="Y459">
        <v>41</v>
      </c>
      <c t="s" s="30" r="Z459">
        <v>42</v>
      </c>
      <c s="30" r="AA459">
        <v>0</v>
      </c>
      <c s="30" r="AB459">
        <v>0</v>
      </c>
      <c s="30" r="AC459">
        <v>0</v>
      </c>
      <c s="30" r="AD459">
        <v>0</v>
      </c>
      <c s="30" r="AE459"/>
      <c s="8" r="AF459">
        <f>(I459+J459)/R459</f>
        <v>0.054392383303213</v>
      </c>
      <c t="str" s="28" r="AG459">
        <f>G459/$X459</f>
        <v>#DIV/0!:divZero</v>
      </c>
      <c t="str" s="28" r="AH459">
        <f>H459/$X459</f>
        <v>#DIV/0!:divZero</v>
      </c>
      <c t="str" s="28" r="AI459">
        <f>I459/$X459</f>
        <v>#DIV/0!:divZero</v>
      </c>
      <c t="str" s="28" r="AJ459">
        <f>J459/$X459</f>
        <v>#DIV/0!:divZero</v>
      </c>
      <c t="str" s="28" r="AK459">
        <f>K459/$X459</f>
        <v>#DIV/0!:divZero</v>
      </c>
      <c s="30" r="AL459">
        <v>1</v>
      </c>
    </row>
    <row r="460">
      <c s="30" r="A460">
        <v>513</v>
      </c>
      <c t="s" s="30" r="B460">
        <v>38</v>
      </c>
      <c s="62" r="C460">
        <v>41618</v>
      </c>
      <c s="52" r="D460">
        <v>0.791666666666667</v>
      </c>
      <c s="27" r="E460">
        <v>900</v>
      </c>
      <c s="27" r="F460"/>
      <c s="75" r="G460">
        <f>((((581-518.41)+0.77)+572.63)-521.75)+0.59</f>
        <v>114.83</v>
      </c>
      <c s="27" r="H460">
        <f>52.79+40.17</f>
        <v>92.96</v>
      </c>
      <c s="27" r="I460">
        <f>19.5+17.05</f>
        <v>36.55</v>
      </c>
      <c s="27" r="J460">
        <f>2.78+3.25</f>
        <v>6.03</v>
      </c>
      <c s="27" r="K460">
        <f>10.18+8.95</f>
        <v>19.13</v>
      </c>
      <c s="59" r="L460">
        <f>SUM(G460:K460)</f>
        <v>269.5</v>
      </c>
      <c s="79" r="M460">
        <f>68.18+52.11</f>
        <v>120.29</v>
      </c>
      <c s="79" r="N460">
        <f>(379.09+415.10)+30.82</f>
        <v>825.01</v>
      </c>
      <c s="32" r="O460">
        <f>SUMIF(Sellables!$A$2:$A$11482, $A460, Sellables!$G$2:$G$11482)</f>
        <v>322.8047</v>
      </c>
      <c s="32" r="P460">
        <f>SUMIF(Skills!$A$2:$A$9999, A460, Skills!$F$2:$F$9999)</f>
        <v>0</v>
      </c>
      <c s="14" r="Q460">
        <f>(N460+O460)+P460</f>
        <v>1147.8147</v>
      </c>
      <c s="23" r="R460">
        <f>(E460+L460)-M460</f>
        <v>1049.21</v>
      </c>
      <c s="70" r="S460">
        <f>Q460-R460</f>
        <v>98.6047000000001</v>
      </c>
      <c s="29" r="T460">
        <f> (Q460/R460) - 1</f>
        <v>0.093979946817129</v>
      </c>
      <c s="70" r="U460">
        <f>R460/X460</f>
        <v>6.10005813953488</v>
      </c>
      <c s="70" r="V460">
        <f>Q460/X460</f>
        <v>6.67334127906977</v>
      </c>
      <c t="s" s="30" r="W460">
        <v>52</v>
      </c>
      <c s="30" r="X460">
        <f>96+76</f>
        <v>172</v>
      </c>
      <c t="s" s="30" r="Y460">
        <v>53</v>
      </c>
      <c t="s" s="30" r="Z460">
        <v>54</v>
      </c>
      <c s="30" r="AA460">
        <v>0</v>
      </c>
      <c s="30" r="AB460">
        <v>0</v>
      </c>
      <c s="30" r="AC460">
        <v>3</v>
      </c>
      <c s="30" r="AD460">
        <v>0</v>
      </c>
      <c s="30" r="AE460"/>
      <c s="8" r="AF460">
        <f>(I460+J460)/R460</f>
        <v>0.040582914764442</v>
      </c>
      <c s="28" r="AG460">
        <f>G460/$X460</f>
        <v>0.667616279069768</v>
      </c>
      <c s="28" r="AH460">
        <f>H460/$X460</f>
        <v>0.54046511627907</v>
      </c>
      <c s="28" r="AI460">
        <f>I460/$X460</f>
        <v>0.2125</v>
      </c>
      <c s="28" r="AJ460">
        <f>J460/$X460</f>
        <v>0.035058139534884</v>
      </c>
      <c s="28" r="AK460">
        <f>K460/$X460</f>
        <v>0.111220930232558</v>
      </c>
      <c s="30" r="AL460">
        <v>1</v>
      </c>
    </row>
    <row r="461">
      <c s="30" r="A461">
        <v>514</v>
      </c>
      <c t="s" s="30" r="B461">
        <v>38</v>
      </c>
      <c s="62" r="C461">
        <v>41618</v>
      </c>
      <c s="52" r="D461">
        <v>0.875</v>
      </c>
      <c s="27" r="E461">
        <v>300</v>
      </c>
      <c s="27" r="F461"/>
      <c s="75" r="G461">
        <f>(518.41-477.21)+0.36</f>
        <v>41.56</v>
      </c>
      <c s="27" r="H461">
        <v>32.52</v>
      </c>
      <c s="27" r="I461">
        <v>29.16</v>
      </c>
      <c s="27" r="J461">
        <v>5.46</v>
      </c>
      <c s="27" r="K461">
        <v>8.74</v>
      </c>
      <c s="59" r="L461">
        <f>SUM(G461:K461)</f>
        <v>117.44</v>
      </c>
      <c s="79" r="M461">
        <v>16.01</v>
      </c>
      <c s="79" r="N461">
        <v>335.64</v>
      </c>
      <c s="32" r="O461">
        <f>SUMIF(Sellables!$A$2:$A$11482, $A461, Sellables!$G$2:$G$11482)</f>
        <v>179.55</v>
      </c>
      <c s="32" r="P461">
        <f>SUMIF(Skills!$A$2:$A$9999, A461, Skills!$F$2:$F$9999)</f>
        <v>0</v>
      </c>
      <c s="14" r="Q461">
        <f>(N461+O461)+P461</f>
        <v>515.19</v>
      </c>
      <c s="23" r="R461">
        <f>(E461+L461)-M461</f>
        <v>401.43</v>
      </c>
      <c s="70" r="S461">
        <f>Q461-R461</f>
        <v>113.76</v>
      </c>
      <c s="29" r="T461">
        <f> (Q461/R461) - 1</f>
        <v>0.283386891861595</v>
      </c>
      <c s="70" r="U461">
        <f>R461/X461</f>
        <v>0.620448222565688</v>
      </c>
      <c s="70" r="V461">
        <f>Q461/X461</f>
        <v>0.796275115919629</v>
      </c>
      <c t="s" s="30" r="W461">
        <v>237</v>
      </c>
      <c s="30" r="X461">
        <v>647</v>
      </c>
      <c t="s" s="30" r="Y461">
        <v>290</v>
      </c>
      <c t="s" s="30" r="Z461">
        <v>42</v>
      </c>
      <c s="30" r="AA461">
        <v>0</v>
      </c>
      <c s="30" r="AB461">
        <v>0</v>
      </c>
      <c s="30" r="AC461">
        <v>2</v>
      </c>
      <c s="30" r="AD461">
        <v>0</v>
      </c>
      <c s="30" r="AE461"/>
      <c s="8" r="AF461">
        <f>(I461+J461)/R461</f>
        <v>0.086241685972648</v>
      </c>
      <c s="28" r="AG461">
        <f>G461/$X461</f>
        <v>0.064234930448223</v>
      </c>
      <c s="28" r="AH461">
        <f>H461/$X461</f>
        <v>0.050262751159196</v>
      </c>
      <c s="28" r="AI461">
        <f>I461/$X461</f>
        <v>0.045069551777434</v>
      </c>
      <c s="28" r="AJ461">
        <f>J461/$X461</f>
        <v>0.008438948995363</v>
      </c>
      <c s="28" r="AK461">
        <f>K461/$X461</f>
        <v>0.013508500772798</v>
      </c>
      <c s="30" r="AL461">
        <v>1</v>
      </c>
    </row>
    <row r="462">
      <c s="30" r="A462">
        <v>515</v>
      </c>
      <c t="s" s="30" r="B462">
        <v>38</v>
      </c>
      <c s="62" r="C462">
        <v>41619</v>
      </c>
      <c s="52" r="D462">
        <v>0.416666666666667</v>
      </c>
      <c s="27" r="E462">
        <v>2500</v>
      </c>
      <c s="27" r="F462"/>
      <c s="75" r="G462">
        <f>(((248.21+0.99)+0.86)+545.01)-476.17</f>
        <v>318.9</v>
      </c>
      <c s="27" r="H462">
        <f>(((45.94+52.88)+54.99)+54)+55.81</f>
        <v>263.62</v>
      </c>
      <c s="27" r="I462">
        <f>(((24.24+34.31)+25.20)+21.42)+27.78</f>
        <v>132.95</v>
      </c>
      <c s="27" r="J462">
        <f>(((4.46+5.89)+4.26)+3.64)+7.11</f>
        <v>25.36</v>
      </c>
      <c s="27" r="K462">
        <f>43.88+13.25</f>
        <v>57.13</v>
      </c>
      <c s="59" r="L462">
        <f>SUM(G462:K462)</f>
        <v>797.96</v>
      </c>
      <c s="79" r="M462">
        <f>(((99.79+37.60)+34.12)+38.12)+27.8</f>
        <v>237.43</v>
      </c>
      <c s="79" r="N462">
        <f>((427.26+363.32)+1105.24)+452.20</f>
        <v>2348.02</v>
      </c>
      <c s="32" r="O462">
        <f>SUMIF(Sellables!$A$2:$A$11482, $A462, Sellables!$G$2:$G$11482)</f>
        <v>164.26817</v>
      </c>
      <c s="32" r="P462">
        <f>SUMIF(Skills!$A$2:$A$9999, A462, Skills!$F$2:$F$9999)</f>
        <v>0</v>
      </c>
      <c s="14" r="Q462">
        <f>(N462+O462)+P462</f>
        <v>2512.28817</v>
      </c>
      <c s="23" r="R462">
        <f>(E462+L462)-M462</f>
        <v>3060.53</v>
      </c>
      <c s="70" r="S462">
        <f>Q462-R462</f>
        <v>-548.24183</v>
      </c>
      <c s="29" r="T462">
        <f> (Q462/R462) - 1</f>
        <v>-0.179132970433226</v>
      </c>
      <c s="70" r="U462">
        <f>R462/X462</f>
        <v>6.20797160243408</v>
      </c>
      <c s="70" r="V462">
        <f>Q462/X462</f>
        <v>5.09591920892495</v>
      </c>
      <c t="s" s="30" r="W462">
        <v>52</v>
      </c>
      <c s="30" r="X462">
        <v>493</v>
      </c>
      <c t="s" s="30" r="Y462">
        <v>53</v>
      </c>
      <c t="s" s="30" r="Z462">
        <v>54</v>
      </c>
      <c s="30" r="AA462">
        <v>0</v>
      </c>
      <c s="30" r="AB462">
        <v>1</v>
      </c>
      <c s="30" r="AC462">
        <v>9</v>
      </c>
      <c s="30" r="AD462">
        <v>0</v>
      </c>
      <c s="30" r="AE462"/>
      <c s="8" r="AF462">
        <f>(I462+J462)/R462</f>
        <v>0.051726334981196</v>
      </c>
      <c s="28" r="AG462">
        <f>G462/$X462</f>
        <v>0.64685598377282</v>
      </c>
      <c s="28" r="AH462">
        <f>H462/$X462</f>
        <v>0.5347261663286</v>
      </c>
      <c s="28" r="AI462">
        <f>I462/$X462</f>
        <v>0.269675456389452</v>
      </c>
      <c s="28" r="AJ462">
        <f>J462/$X462</f>
        <v>0.051440162271805</v>
      </c>
      <c s="28" r="AK462">
        <f>K462/$X462</f>
        <v>0.115882352941176</v>
      </c>
      <c s="30" r="AL462">
        <v>1</v>
      </c>
    </row>
    <row r="463">
      <c s="30" r="A463">
        <v>521</v>
      </c>
      <c t="s" s="30" r="B463">
        <v>38</v>
      </c>
      <c s="62" r="C463">
        <v>41620</v>
      </c>
      <c s="52" r="D463">
        <v>0.833333333333333</v>
      </c>
      <c s="27" r="E463">
        <v>1750</v>
      </c>
      <c s="27" r="F463"/>
      <c s="75" r="G463">
        <f>(((((69.71+1.07)+550.31)-483.21)+0.81)+573.31)-527.62</f>
        <v>184.38</v>
      </c>
      <c s="27" r="H463">
        <f>((54.48+52.98)+48.78)+29.11</f>
        <v>185.35</v>
      </c>
      <c s="27" r="I463">
        <f>(27.05+26.84)+68.28</f>
        <v>122.17</v>
      </c>
      <c s="27" r="J463">
        <f>(4.83+4.84)+12.04</f>
        <v>21.71</v>
      </c>
      <c s="27" r="K463">
        <f>(11.23+11.86)+19.52</f>
        <v>42.61</v>
      </c>
      <c s="59" r="L463">
        <f>SUM(G463:K463)</f>
        <v>556.22</v>
      </c>
      <c s="79" r="M463">
        <f>(53.78+44.67)+63.29</f>
        <v>161.74</v>
      </c>
      <c s="79" r="N463">
        <f>(503+332.59)+665.16</f>
        <v>1500.75</v>
      </c>
      <c s="32" r="O463">
        <f>SUMIF(Sellables!$A$2:$A$11482, $A463, Sellables!$G$2:$G$11482)</f>
        <v>95.19497</v>
      </c>
      <c s="32" r="P463">
        <f>SUMIF(Skills!$A$2:$A$9999, A463, Skills!$F$2:$F$9999)</f>
        <v>0</v>
      </c>
      <c s="14" r="Q463">
        <f>(N463+O463)+P463</f>
        <v>1595.94497</v>
      </c>
      <c s="23" r="R463">
        <f>(E463+L463)-M463</f>
        <v>2144.48</v>
      </c>
      <c s="70" r="S463">
        <f>Q463-R463</f>
        <v>-548.53503</v>
      </c>
      <c s="29" r="T463">
        <f> (Q463/R463) - 1</f>
        <v>-0.255789296239648</v>
      </c>
      <c s="70" r="U463">
        <f>R463/X463</f>
        <v>6.19791907514451</v>
      </c>
      <c s="70" r="V463">
        <f>Q463/X463</f>
        <v>4.61255771676301</v>
      </c>
      <c t="s" s="30" r="W463">
        <v>52</v>
      </c>
      <c s="30" r="X463">
        <f>((199+2482)-2337)+2</f>
        <v>346</v>
      </c>
      <c t="s" s="30" r="Y463">
        <v>53</v>
      </c>
      <c t="s" s="30" r="Z463">
        <v>54</v>
      </c>
      <c s="30" r="AA463">
        <v>0</v>
      </c>
      <c s="30" r="AB463">
        <v>0</v>
      </c>
      <c s="30" r="AC463">
        <v>6</v>
      </c>
      <c s="30" r="AD463">
        <v>0</v>
      </c>
      <c s="30" r="AE463"/>
      <c s="8" r="AF463">
        <f>(I463+J463)/R463</f>
        <v>0.067093188092218</v>
      </c>
      <c s="28" r="AG463">
        <f>G463/$X463</f>
        <v>0.532890173410404</v>
      </c>
      <c s="28" r="AH463">
        <f>H463/$X463</f>
        <v>0.535693641618497</v>
      </c>
      <c s="28" r="AI463">
        <f>I463/$X463</f>
        <v>0.353092485549133</v>
      </c>
      <c s="28" r="AJ463">
        <f>J463/$X463</f>
        <v>0.062745664739884</v>
      </c>
      <c s="28" r="AK463">
        <f>K463/$X463</f>
        <v>0.123150289017341</v>
      </c>
      <c s="30" r="AL463">
        <v>1</v>
      </c>
    </row>
    <row r="464">
      <c s="30" r="A464">
        <v>523</v>
      </c>
      <c t="s" s="30" r="B464">
        <v>38</v>
      </c>
      <c s="62" r="C464">
        <v>41621</v>
      </c>
      <c s="52" r="D464">
        <v>0.833333333333333</v>
      </c>
      <c s="27" r="E464">
        <v>1000</v>
      </c>
      <c s="27" r="F464"/>
      <c s="75" r="G464">
        <f>(47.28+590.12)-517.81</f>
        <v>119.59</v>
      </c>
      <c s="27" r="H464">
        <f>63.91+57.09</f>
        <v>121</v>
      </c>
      <c s="27" r="I464">
        <f>25.53+36.95</f>
        <v>62.48</v>
      </c>
      <c s="27" r="J464">
        <v>11.58</v>
      </c>
      <c s="27" r="K464">
        <v>22.64</v>
      </c>
      <c s="59" r="L464">
        <f>SUM(G464:K464)</f>
        <v>337.29</v>
      </c>
      <c s="79" r="M464">
        <f>82.82+31.28</f>
        <v>114.1</v>
      </c>
      <c s="79" r="N464">
        <f>416.24+402.44</f>
        <v>818.68</v>
      </c>
      <c s="32" r="O464">
        <f>SUMIF(Sellables!$A$2:$A$11482, $A464, Sellables!$G$2:$G$11482)</f>
        <v>42.83077</v>
      </c>
      <c s="32" r="P464">
        <f>SUMIF(Skills!$A$2:$A$9999, A464, Skills!$F$2:$F$9999)</f>
        <v>0</v>
      </c>
      <c s="14" r="Q464">
        <f>(N464+O464)+P464</f>
        <v>861.51077</v>
      </c>
      <c s="23" r="R464">
        <f>(E464+L464)-M464</f>
        <v>1223.19</v>
      </c>
      <c s="70" r="S464">
        <f>Q464-R464</f>
        <v>-361.67923</v>
      </c>
      <c s="29" r="T464">
        <f> (Q464/R464) - 1</f>
        <v>-0.295685241050041</v>
      </c>
      <c s="70" r="U464">
        <f>R464/X464</f>
        <v>6.24076530612245</v>
      </c>
      <c s="70" r="V464">
        <f>Q464/X464</f>
        <v>4.3954631122449</v>
      </c>
      <c t="s" s="30" r="W464">
        <v>52</v>
      </c>
      <c s="30" r="X464">
        <f>((((2569-2482)+3)+2673)-2569)+2</f>
        <v>196</v>
      </c>
      <c t="s" s="30" r="Y464">
        <v>53</v>
      </c>
      <c t="s" s="30" r="Z464">
        <v>54</v>
      </c>
      <c s="30" r="AA464">
        <v>0</v>
      </c>
      <c s="30" r="AB464">
        <v>2</v>
      </c>
      <c s="30" r="AC464">
        <v>2</v>
      </c>
      <c s="30" r="AD464">
        <v>0</v>
      </c>
      <c s="30" r="AE464"/>
      <c s="8" r="AF464">
        <f>(I464+J464)/R464</f>
        <v>0.060546603553005</v>
      </c>
      <c s="28" r="AG464">
        <f>G464/$X464</f>
        <v>0.61015306122449</v>
      </c>
      <c s="28" r="AH464">
        <f>H464/$X464</f>
        <v>0.61734693877551</v>
      </c>
      <c s="28" r="AI464">
        <f>I464/$X464</f>
        <v>0.318775510204082</v>
      </c>
      <c s="28" r="AJ464">
        <f>J464/$X464</f>
        <v>0.059081632653061</v>
      </c>
      <c s="28" r="AK464">
        <f>K464/$X464</f>
        <v>0.115510204081633</v>
      </c>
      <c s="30" r="AL464">
        <v>1</v>
      </c>
    </row>
    <row r="465">
      <c s="30" r="A465">
        <v>534</v>
      </c>
      <c t="s" s="30" r="B465">
        <v>38</v>
      </c>
      <c s="62" r="C465">
        <v>41622</v>
      </c>
      <c s="52" r="D465">
        <v>0.725694444444444</v>
      </c>
      <c s="27" r="E465">
        <v>3200</v>
      </c>
      <c s="27" r="F465"/>
      <c s="75" r="G465">
        <f>((((((((((((((0.21+708.09)-627.31)+31.66)+627.31)-553.51)+0.12)+29.5)+0.57)+553.51)-481.14)+32.35)+0.25)+862.70)-786.82)+27.28</f>
        <v>424.77</v>
      </c>
      <c s="27" r="H465">
        <f>((((((63.78+39.19)+62.15)+36.52)+60.94)+40.06)+63.91)+33.77</f>
        <v>400.32</v>
      </c>
      <c s="27" r="I465">
        <f>(((((39.35+34.91)+23.51)+25.53)+13.33)+31.65)+15.92</f>
        <v>184.2</v>
      </c>
      <c s="27" r="J465">
        <f>(((((4.82+6.26)+0.1)+6.3)+0.2)+6.74)+0.16</f>
        <v>24.58</v>
      </c>
      <c s="27" r="K465">
        <f>(1.61+2.92)+3.67</f>
        <v>8.2</v>
      </c>
      <c s="59" r="L465">
        <f>SUM(G465:K465)</f>
        <v>1042.07</v>
      </c>
      <c s="79" r="M465">
        <f>(((((169.81+113.32)+2.77)+115.98)+36.92)+62.72)+79.14</f>
        <v>580.66</v>
      </c>
      <c s="79" r="N465">
        <f>((904.58+460.47)+440.81)+675.56</f>
        <v>2481.42</v>
      </c>
      <c s="32" r="O465">
        <f>SUMIF(Sellables!$A$2:$A$11482, $A465, Sellables!$G$2:$G$11482)</f>
        <v>365.78177</v>
      </c>
      <c s="32" r="P465">
        <f>SUMIF(Skills!$A$2:$A$9999, A465, Skills!$F$2:$F$9999)</f>
        <v>0</v>
      </c>
      <c s="14" r="Q465">
        <f>(N465+O465)+P465</f>
        <v>2847.20177</v>
      </c>
      <c s="23" r="R465">
        <f>(E465+L465)-M465</f>
        <v>3661.41</v>
      </c>
      <c s="70" r="S465">
        <f>Q465-R465</f>
        <v>-814.20823</v>
      </c>
      <c s="29" r="T465">
        <f> (Q465/R465) - 1</f>
        <v>-0.222375595740439</v>
      </c>
      <c s="70" r="U465">
        <f>R465/X465</f>
        <v>5.99248772504092</v>
      </c>
      <c s="70" r="V465">
        <f>Q465/X465</f>
        <v>4.65990469721768</v>
      </c>
      <c t="s" s="30" r="W465">
        <v>52</v>
      </c>
      <c s="30" r="X465">
        <f>(((((((((((2829-2673)+4)+2978)-2829)+4)+3118)-2977)+6)+3263)-3118)+5)+1</f>
        <v>611</v>
      </c>
      <c t="s" s="30" r="Y465">
        <v>53</v>
      </c>
      <c t="s" s="30" r="Z465">
        <v>54</v>
      </c>
      <c s="30" r="AA465">
        <v>0</v>
      </c>
      <c s="30" r="AB465">
        <v>1</v>
      </c>
      <c s="30" r="AC465">
        <v>8</v>
      </c>
      <c s="30" r="AD465">
        <v>0</v>
      </c>
      <c s="30" r="AE465"/>
      <c s="8" r="AF465">
        <f>(I465+J465)/R465</f>
        <v>0.057021748452099</v>
      </c>
      <c s="28" r="AG465">
        <f>G465/$X465</f>
        <v>0.695204582651391</v>
      </c>
      <c s="28" r="AH465">
        <f>H465/$X465</f>
        <v>0.65518821603928</v>
      </c>
      <c s="28" r="AI465">
        <f>I465/$X465</f>
        <v>0.301472995090016</v>
      </c>
      <c s="28" r="AJ465">
        <f>J465/$X465</f>
        <v>0.040229132569558</v>
      </c>
      <c s="28" r="AK465">
        <f>K465/$X465</f>
        <v>0.01342062193126</v>
      </c>
      <c s="30" r="AL465">
        <v>1</v>
      </c>
    </row>
    <row r="466">
      <c s="30" r="A466">
        <v>535</v>
      </c>
      <c t="s" s="30" r="B466">
        <v>38</v>
      </c>
      <c s="62" r="C466">
        <v>41623</v>
      </c>
      <c s="52" r="D466">
        <v>0.479166666666667</v>
      </c>
      <c s="27" r="E466">
        <v>500</v>
      </c>
      <c s="27" r="F466"/>
      <c s="75" r="G466">
        <f>(786.82-709.44)+0.86</f>
        <v>78.24</v>
      </c>
      <c s="27" r="H466">
        <v>61.48</v>
      </c>
      <c s="27" r="I466">
        <v>30.35</v>
      </c>
      <c s="27" r="J466">
        <v>7.77</v>
      </c>
      <c s="27" r="K466">
        <v>8.76</v>
      </c>
      <c s="59" r="L466">
        <f>SUM(G466:K466)</f>
        <v>186.6</v>
      </c>
      <c s="79" r="M466">
        <v>15.93</v>
      </c>
      <c s="79" r="N466">
        <v>437.2</v>
      </c>
      <c s="32" r="O466">
        <f>SUMIF(Sellables!$A$2:$A$11482, $A466, Sellables!$G$2:$G$11482)</f>
        <v>17.5</v>
      </c>
      <c s="32" r="P466">
        <f>SUMIF(Skills!$A$2:$A$9999, A466, Skills!$F$2:$F$9999)</f>
        <v>0</v>
      </c>
      <c s="14" r="Q466">
        <f>(N466+O466)+P466</f>
        <v>454.7</v>
      </c>
      <c s="23" r="R466">
        <f>(E466+L466)-M466</f>
        <v>670.67</v>
      </c>
      <c s="70" r="S466">
        <f>Q466-R466</f>
        <v>-215.97</v>
      </c>
      <c s="29" r="T466">
        <f> (Q466/R466) - 1</f>
        <v>-0.32202126231977</v>
      </c>
      <c s="70" r="U466">
        <f>R466/X466</f>
        <v>6.097</v>
      </c>
      <c s="70" r="V466">
        <f>Q466/X466</f>
        <v>4.13363636363636</v>
      </c>
      <c t="s" s="30" r="W466">
        <v>52</v>
      </c>
      <c s="30" r="X466">
        <v>110</v>
      </c>
      <c t="s" s="30" r="Y466">
        <v>53</v>
      </c>
      <c t="s" s="30" r="Z466">
        <v>54</v>
      </c>
      <c s="30" r="AA466">
        <v>0</v>
      </c>
      <c s="30" r="AB466">
        <v>0</v>
      </c>
      <c s="30" r="AC466">
        <v>2</v>
      </c>
      <c s="30" r="AD466">
        <v>0</v>
      </c>
      <c s="30" r="AE466"/>
      <c s="8" r="AF466">
        <f>(I466+J466)/R466</f>
        <v>0.056838683704355</v>
      </c>
      <c s="28" r="AG466">
        <f>G466/$X466</f>
        <v>0.711272727272727</v>
      </c>
      <c s="28" r="AH466">
        <f>H466/$X466</f>
        <v>0.558909090909091</v>
      </c>
      <c s="28" r="AI466">
        <f>I466/$X466</f>
        <v>0.275909090909091</v>
      </c>
      <c s="28" r="AJ466">
        <f>J466/$X466</f>
        <v>0.070636363636364</v>
      </c>
      <c s="28" r="AK466">
        <f>K466/$X466</f>
        <v>0.079636363636364</v>
      </c>
      <c s="30" r="AL466">
        <v>1</v>
      </c>
    </row>
    <row r="467">
      <c s="30" r="A467">
        <v>536</v>
      </c>
      <c t="s" s="30" r="B467">
        <v>38</v>
      </c>
      <c s="62" r="C467">
        <v>41623</v>
      </c>
      <c s="52" r="D467">
        <v>0.541666666666667</v>
      </c>
      <c s="27" r="E467">
        <v>800</v>
      </c>
      <c s="27" r="F467"/>
      <c s="75" r="G467">
        <f>((709.44-636.27)+0.87)+29.18</f>
        <v>103.22</v>
      </c>
      <c s="27" r="H467">
        <f>61.61+36.12</f>
        <v>97.73</v>
      </c>
      <c s="27" r="I467">
        <f>18.71+7.81</f>
        <v>26.52</v>
      </c>
      <c s="27" r="J467">
        <v>3.85</v>
      </c>
      <c s="27" r="K467">
        <v>0.64</v>
      </c>
      <c s="59" r="L467">
        <f>SUM(G467:K467)</f>
        <v>231.96</v>
      </c>
      <c s="79" r="M467">
        <f>110.29+63.18</f>
        <v>173.47</v>
      </c>
      <c s="79" r="N467">
        <v>661.17</v>
      </c>
      <c s="32" r="O467">
        <f>SUMIF(Sellables!$A$2:$A$11482, $A467, Sellables!$G$2:$G$11482)</f>
        <v>220.36077</v>
      </c>
      <c s="32" r="P467">
        <f>SUMIF(Skills!$A$2:$A$9999, A467, Skills!$F$2:$F$9999)</f>
        <v>0</v>
      </c>
      <c s="14" r="Q467">
        <f>(N467+O467)+P467</f>
        <v>881.53077</v>
      </c>
      <c s="23" r="R467">
        <f>(E467+L467)-M467</f>
        <v>858.49</v>
      </c>
      <c s="70" r="S467">
        <f>Q467-R467</f>
        <v>23.04077</v>
      </c>
      <c s="29" r="T467">
        <f> (Q467/R467) - 1</f>
        <v>0.026838716816736</v>
      </c>
      <c s="70" r="U467">
        <f>R467/X467</f>
        <v>5.6853642384106</v>
      </c>
      <c s="70" r="V467">
        <f>Q467/X467</f>
        <v>5.8379521192053</v>
      </c>
      <c t="s" s="30" r="W467">
        <v>52</v>
      </c>
      <c s="30" r="X467">
        <f>((3516-3370)+2)+3</f>
        <v>151</v>
      </c>
      <c t="s" s="30" r="Y467">
        <v>53</v>
      </c>
      <c t="s" s="30" r="Z467">
        <v>54</v>
      </c>
      <c s="30" r="AA467">
        <v>0</v>
      </c>
      <c s="30" r="AB467">
        <v>0</v>
      </c>
      <c s="30" r="AC467">
        <v>2</v>
      </c>
      <c s="30" r="AD467">
        <v>0</v>
      </c>
      <c s="30" r="AE467"/>
      <c s="8" r="AF467">
        <f>(I467+J467)/R467</f>
        <v>0.035376067280924</v>
      </c>
      <c s="28" r="AG467">
        <f>G467/$X467</f>
        <v>0.683576158940398</v>
      </c>
      <c s="28" r="AH467">
        <f>H467/$X467</f>
        <v>0.647218543046358</v>
      </c>
      <c s="28" r="AI467">
        <f>I467/$X467</f>
        <v>0.175629139072848</v>
      </c>
      <c s="28" r="AJ467">
        <f>J467/$X467</f>
        <v>0.025496688741722</v>
      </c>
      <c s="28" r="AK467">
        <f>K467/$X467</f>
        <v>0.004238410596026</v>
      </c>
      <c s="30" r="AL467">
        <v>1</v>
      </c>
    </row>
    <row r="468">
      <c s="30" r="A468">
        <v>537</v>
      </c>
      <c t="s" s="30" r="B468">
        <v>38</v>
      </c>
      <c s="62" r="C468">
        <v>41623</v>
      </c>
      <c s="52" r="D468">
        <v>0.614583333333333</v>
      </c>
      <c s="27" r="E468">
        <v>800</v>
      </c>
      <c s="27" r="F468"/>
      <c s="75" r="G468">
        <f>74.89+29.9</f>
        <v>104.79</v>
      </c>
      <c s="27" r="H468">
        <f>62.41+37.01</f>
        <v>99.42</v>
      </c>
      <c s="27" r="I468">
        <f>20.59+15.36</f>
        <v>35.95</v>
      </c>
      <c s="27" r="J468">
        <v>8.69</v>
      </c>
      <c s="27" r="K468">
        <v>0.85</v>
      </c>
      <c s="59" r="L468">
        <f>SUM(G468:K468)</f>
        <v>249.7</v>
      </c>
      <c s="79" r="M468">
        <v>157.63</v>
      </c>
      <c s="79" r="N468">
        <v>460.91</v>
      </c>
      <c s="32" r="O468">
        <f>SUMIF(Sellables!$A$2:$A$11482, $A468, Sellables!$G$2:$G$11482)</f>
        <v>16.65</v>
      </c>
      <c s="32" r="P468">
        <f>SUMIF(Skills!$A$2:$A$9999, A468, Skills!$F$2:$F$9999)</f>
        <v>0</v>
      </c>
      <c s="14" r="Q468">
        <f>(N468+O468)+P468</f>
        <v>477.56</v>
      </c>
      <c s="23" r="R468">
        <f>(E468+L468)-M468</f>
        <v>892.07</v>
      </c>
      <c s="70" r="S468">
        <f>Q468-R468</f>
        <v>-414.51</v>
      </c>
      <c s="29" r="T468">
        <f> (Q468/R468) - 1</f>
        <v>-0.464660845000953</v>
      </c>
      <c s="70" r="U468">
        <f>R468/X468</f>
        <v>5.94713333333333</v>
      </c>
      <c s="70" r="V468">
        <f>Q468/X468</f>
        <v>3.18373333333333</v>
      </c>
      <c t="s" s="30" r="W468">
        <v>52</v>
      </c>
      <c s="30" r="X468">
        <f>((3662-3516)+3)+1</f>
        <v>150</v>
      </c>
      <c t="s" s="30" r="Y468">
        <v>53</v>
      </c>
      <c t="s" s="30" r="Z468">
        <v>54</v>
      </c>
      <c s="30" r="AA468">
        <v>0</v>
      </c>
      <c s="30" r="AB468">
        <v>1</v>
      </c>
      <c s="30" r="AC468">
        <v>0</v>
      </c>
      <c s="30" r="AD468">
        <v>0</v>
      </c>
      <c s="30" r="AE468"/>
      <c s="8" r="AF468">
        <f>(I468+J468)/R468</f>
        <v>0.050040916071609</v>
      </c>
      <c s="28" r="AG468">
        <f>G468/$X468</f>
        <v>0.6986</v>
      </c>
      <c s="28" r="AH468">
        <f>H468/$X468</f>
        <v>0.6628</v>
      </c>
      <c s="28" r="AI468">
        <f>I468/$X468</f>
        <v>0.239666666666667</v>
      </c>
      <c s="28" r="AJ468">
        <f>J468/$X468</f>
        <v>0.057933333333333</v>
      </c>
      <c s="28" r="AK468">
        <f>K468/$X468</f>
        <v>0.005666666666667</v>
      </c>
      <c s="30" r="AL468">
        <v>1</v>
      </c>
    </row>
    <row r="469">
      <c s="30" r="A469">
        <v>538</v>
      </c>
      <c t="s" s="30" r="B469">
        <v>38</v>
      </c>
      <c s="62" r="C469">
        <v>41623</v>
      </c>
      <c s="52" r="D469">
        <v>0.666666666666667</v>
      </c>
      <c s="27" r="E469">
        <v>800</v>
      </c>
      <c s="27" r="F469"/>
      <c s="75" r="G469">
        <f>(562.17-484.40)+0.86</f>
        <v>78.63</v>
      </c>
      <c s="27" r="H469">
        <v>61.99</v>
      </c>
      <c s="27" r="I469">
        <v>28.86</v>
      </c>
      <c s="27" r="J469">
        <v>6.25</v>
      </c>
      <c s="27" r="K469">
        <v>8.76</v>
      </c>
      <c s="59" r="L469">
        <f>SUM(G469:K469)</f>
        <v>184.49</v>
      </c>
      <c s="79" r="M469">
        <v>292.42</v>
      </c>
      <c s="79" r="N469">
        <v>437.46</v>
      </c>
      <c s="32" r="O469">
        <f>SUMIF(Sellables!$A$2:$A$11482, $A469, Sellables!$G$2:$G$11482)</f>
        <v>24.33477</v>
      </c>
      <c s="32" r="P469">
        <f>SUMIF(Skills!$A$2:$A$9999, A469, Skills!$F$2:$F$9999)</f>
        <v>0</v>
      </c>
      <c s="14" r="Q469">
        <f>(N469+O469)+P469</f>
        <v>461.79477</v>
      </c>
      <c s="23" r="R469">
        <f>(E469+L469)-M469</f>
        <v>692.07</v>
      </c>
      <c s="70" r="S469">
        <f>Q469-R469</f>
        <v>-230.27523</v>
      </c>
      <c s="29" r="T469">
        <f> (Q469/R469) - 1</f>
        <v>-0.332734015345268</v>
      </c>
      <c s="70" r="U469">
        <f>R469/X469</f>
        <v>6.12451327433628</v>
      </c>
      <c s="70" r="V469">
        <f>Q469/X469</f>
        <v>4.08667938053097</v>
      </c>
      <c t="s" s="30" r="W469">
        <v>52</v>
      </c>
      <c s="30" r="X469">
        <f>(3772-3662)+3</f>
        <v>113</v>
      </c>
      <c t="s" s="30" r="Y469">
        <v>53</v>
      </c>
      <c t="s" s="30" r="Z469">
        <v>54</v>
      </c>
      <c s="30" r="AA469">
        <v>0</v>
      </c>
      <c s="30" r="AB469">
        <v>0</v>
      </c>
      <c s="30" r="AC469">
        <v>2</v>
      </c>
      <c s="30" r="AD469">
        <v>0</v>
      </c>
      <c s="30" r="AE469"/>
      <c s="8" r="AF469">
        <f>(I469+J469)/R469</f>
        <v>0.050731862383863</v>
      </c>
      <c s="28" r="AG469">
        <f>G469/$X469</f>
        <v>0.695840707964602</v>
      </c>
      <c s="28" r="AH469">
        <f>H469/$X469</f>
        <v>0.54858407079646</v>
      </c>
      <c s="28" r="AI469">
        <f>I469/$X469</f>
        <v>0.255398230088496</v>
      </c>
      <c s="28" r="AJ469">
        <f>J469/$X469</f>
        <v>0.055309734513274</v>
      </c>
      <c s="28" r="AK469">
        <f>K469/$X469</f>
        <v>0.077522123893805</v>
      </c>
      <c s="30" r="AL469">
        <v>1</v>
      </c>
    </row>
    <row r="470">
      <c s="30" r="A470">
        <v>539</v>
      </c>
      <c t="s" s="30" r="B470">
        <v>38</v>
      </c>
      <c s="62" r="C470">
        <v>41623</v>
      </c>
      <c s="52" r="D470">
        <v>0.746527777777778</v>
      </c>
      <c s="27" r="E470">
        <v>700</v>
      </c>
      <c s="27" r="F470"/>
      <c s="75" r="G470">
        <f>(961.24-882.32)+0.84</f>
        <v>79.76</v>
      </c>
      <c s="27" r="H470">
        <v>62.31</v>
      </c>
      <c s="27" r="I470">
        <v>29.88</v>
      </c>
      <c s="27" r="J470">
        <v>7.61</v>
      </c>
      <c s="27" r="K470">
        <v>13.1</v>
      </c>
      <c s="59" r="L470">
        <f>SUM(G470:K470)</f>
        <v>192.66</v>
      </c>
      <c s="79" r="M470">
        <v>178.32</v>
      </c>
      <c s="79" r="N470">
        <v>573.88</v>
      </c>
      <c s="32" r="O470">
        <f>SUMIF(Sellables!$A$2:$A$11482, $A470, Sellables!$G$2:$G$11482)</f>
        <v>3.24</v>
      </c>
      <c s="32" r="P470">
        <f>SUMIF(Skills!$A$2:$A$9999, A470, Skills!$F$2:$F$9999)</f>
        <v>0</v>
      </c>
      <c s="14" r="Q470">
        <f>(N470+O470)+P470</f>
        <v>577.12</v>
      </c>
      <c s="23" r="R470">
        <f>(E470+L470)-M470</f>
        <v>714.34</v>
      </c>
      <c s="70" r="S470">
        <f>Q470-R470</f>
        <v>-137.22</v>
      </c>
      <c s="29" r="T470">
        <f> (Q470/R470) - 1</f>
        <v>-0.192093400901531</v>
      </c>
      <c s="70" r="U470">
        <f>R470/X470</f>
        <v>6.21165217391304</v>
      </c>
      <c s="70" r="V470">
        <f>Q470/X470</f>
        <v>5.0184347826087</v>
      </c>
      <c t="s" s="30" r="W470">
        <v>52</v>
      </c>
      <c s="30" r="X470">
        <f>(3885-3772)+2</f>
        <v>115</v>
      </c>
      <c t="s" s="30" r="Y470">
        <v>53</v>
      </c>
      <c t="s" s="30" r="Z470">
        <v>54</v>
      </c>
      <c s="30" r="AA470">
        <v>0</v>
      </c>
      <c s="30" r="AB470">
        <v>0</v>
      </c>
      <c s="30" r="AC470">
        <v>2</v>
      </c>
      <c s="30" r="AD470">
        <v>0</v>
      </c>
      <c s="30" r="AE470"/>
      <c s="8" r="AF470">
        <f>(I470+J470)/R470</f>
        <v>0.052482011367136</v>
      </c>
      <c s="28" r="AG470">
        <f>G470/$X470</f>
        <v>0.693565217391304</v>
      </c>
      <c s="28" r="AH470">
        <f>H470/$X470</f>
        <v>0.541826086956522</v>
      </c>
      <c s="28" r="AI470">
        <f>I470/$X470</f>
        <v>0.259826086956522</v>
      </c>
      <c s="28" r="AJ470">
        <f>J470/$X470</f>
        <v>0.066173913043478</v>
      </c>
      <c s="28" r="AK470">
        <f>K470/$X470</f>
        <v>0.113913043478261</v>
      </c>
      <c s="30" r="AL470">
        <v>1</v>
      </c>
    </row>
    <row r="471">
      <c s="30" r="A471">
        <v>540</v>
      </c>
      <c t="s" s="30" r="B471">
        <v>38</v>
      </c>
      <c s="62" r="C471">
        <v>41623</v>
      </c>
      <c s="52" r="D471">
        <v>0.791666666666667</v>
      </c>
      <c s="27" r="E471">
        <v>800</v>
      </c>
      <c s="27" r="F471"/>
      <c s="75" r="G471">
        <f>((882.32-803.39)+0.92)+30.96</f>
        <v>110.81</v>
      </c>
      <c s="27" r="H471">
        <f>62.31+38.32</f>
        <v>100.63</v>
      </c>
      <c s="27" r="I471">
        <f>21.99+10.64</f>
        <v>32.63</v>
      </c>
      <c s="27" r="J471">
        <v>5.01</v>
      </c>
      <c s="27" r="K471">
        <v>1.37</v>
      </c>
      <c s="59" r="L471">
        <f>SUM(G471:K471)</f>
        <v>250.45</v>
      </c>
      <c s="79" r="M471">
        <f>75.33+48.30</f>
        <v>123.63</v>
      </c>
      <c s="79" r="N471">
        <v>822.55</v>
      </c>
      <c s="32" r="O471">
        <f>SUMIF(Sellables!$A$2:$A$11482, $A471, Sellables!$G$2:$G$11482)</f>
        <v>263.00077</v>
      </c>
      <c s="32" r="P471">
        <f>SUMIF(Skills!$A$2:$A$9999, A471, Skills!$F$2:$F$9999)</f>
        <v>0</v>
      </c>
      <c s="14" r="Q471">
        <f>(N471+O471)+P471</f>
        <v>1085.55077</v>
      </c>
      <c s="23" r="R471">
        <f>(E471+L471)-M471</f>
        <v>926.82</v>
      </c>
      <c s="70" r="S471">
        <f>Q471-R471</f>
        <v>158.73077</v>
      </c>
      <c s="29" r="T471">
        <f> (Q471/R471) - 1</f>
        <v>0.171263859217539</v>
      </c>
      <c s="70" r="U471">
        <f>R471/X471</f>
        <v>5.72111111111111</v>
      </c>
      <c s="70" r="V471">
        <f>Q471/X471</f>
        <v>6.70093067901234</v>
      </c>
      <c t="s" s="30" r="W471">
        <v>52</v>
      </c>
      <c s="30" r="X471">
        <f>(4042-3885)+5</f>
        <v>162</v>
      </c>
      <c t="s" s="30" r="Y471">
        <v>53</v>
      </c>
      <c t="s" s="30" r="Z471">
        <v>54</v>
      </c>
      <c s="30" r="AA471">
        <v>0</v>
      </c>
      <c s="30" r="AB471">
        <v>0</v>
      </c>
      <c s="30" r="AC471">
        <v>3</v>
      </c>
      <c s="30" r="AD471">
        <v>0</v>
      </c>
      <c s="30" r="AE471"/>
      <c s="8" r="AF471">
        <f>(I471+J471)/R471</f>
        <v>0.040611985067219</v>
      </c>
      <c s="28" r="AG471">
        <f>G471/$X471</f>
        <v>0.684012345679013</v>
      </c>
      <c s="28" r="AH471">
        <f>H471/$X471</f>
        <v>0.621172839506173</v>
      </c>
      <c s="28" r="AI471">
        <f>I471/$X471</f>
        <v>0.20141975308642</v>
      </c>
      <c s="28" r="AJ471">
        <f>J471/$X471</f>
        <v>0.030925925925926</v>
      </c>
      <c s="28" r="AK471">
        <f>K471/$X471</f>
        <v>0.008456790123457</v>
      </c>
      <c s="30" r="AL471">
        <v>1</v>
      </c>
    </row>
    <row r="472">
      <c s="30" r="A472">
        <v>541</v>
      </c>
      <c t="s" s="30" r="B472">
        <v>38</v>
      </c>
      <c s="62" r="C472">
        <v>41623</v>
      </c>
      <c s="52" r="D472">
        <v>0.875</v>
      </c>
      <c s="27" r="E472">
        <v>800</v>
      </c>
      <c s="27" r="F472"/>
      <c s="75" r="G472">
        <f>((803.39-723.70)+0.96)+31.24</f>
        <v>111.89</v>
      </c>
      <c s="27" r="H472">
        <f>62.92+38.67</f>
        <v>101.59</v>
      </c>
      <c s="27" r="I472">
        <f>20.3+8.51</f>
        <v>28.81</v>
      </c>
      <c s="27" r="J472">
        <v>4.48</v>
      </c>
      <c s="27" r="K472">
        <v>0.95</v>
      </c>
      <c s="59" r="L472">
        <f>SUM(G472:K472)</f>
        <v>247.72</v>
      </c>
      <c s="79" r="M472">
        <v>91.34</v>
      </c>
      <c s="79" r="N472">
        <v>912.92</v>
      </c>
      <c s="32" r="O472">
        <f>SUMIF(Sellables!$A$2:$A$11482, $A472, Sellables!$G$2:$G$11482)</f>
        <v>324.20477</v>
      </c>
      <c s="32" r="P472">
        <f>SUMIF(Skills!$A$2:$A$9999, A472, Skills!$F$2:$F$9999)</f>
        <v>0</v>
      </c>
      <c s="14" r="Q472">
        <f>(N472+O472)+P472</f>
        <v>1237.12477</v>
      </c>
      <c s="23" r="R472">
        <f>(E472+L472)-M472</f>
        <v>956.38</v>
      </c>
      <c s="70" r="S472">
        <f>Q472-R472</f>
        <v>280.74477</v>
      </c>
      <c s="29" r="T472">
        <f> (Q472/R472) - 1</f>
        <v>0.293549394592108</v>
      </c>
      <c s="70" r="U472">
        <f>R472/X472</f>
        <v>6.01496855345912</v>
      </c>
      <c s="70" r="V472">
        <f>Q472/X472</f>
        <v>7.78065893081761</v>
      </c>
      <c t="s" s="30" r="W472">
        <v>52</v>
      </c>
      <c s="30" r="X472">
        <f>((4194-4042)+1)+6</f>
        <v>159</v>
      </c>
      <c t="s" s="30" r="Y472">
        <v>53</v>
      </c>
      <c t="s" s="30" r="Z472">
        <v>54</v>
      </c>
      <c s="30" r="AA472">
        <v>0</v>
      </c>
      <c s="30" r="AB472">
        <v>1</v>
      </c>
      <c s="30" r="AC472">
        <v>6</v>
      </c>
      <c s="30" r="AD472">
        <v>0</v>
      </c>
      <c s="30" r="AE472"/>
      <c s="8" r="AF472">
        <f>(I472+J472)/R472</f>
        <v>0.034808339781258</v>
      </c>
      <c s="28" r="AG472">
        <f>G472/$X472</f>
        <v>0.703710691823899</v>
      </c>
      <c s="28" r="AH472">
        <f>H472/$X472</f>
        <v>0.638930817610063</v>
      </c>
      <c s="28" r="AI472">
        <f>I472/$X472</f>
        <v>0.181194968553459</v>
      </c>
      <c s="28" r="AJ472">
        <f>J472/$X472</f>
        <v>0.028176100628931</v>
      </c>
      <c s="28" r="AK472">
        <f>K472/$X472</f>
        <v>0.005974842767296</v>
      </c>
      <c s="30" r="AL472">
        <v>1</v>
      </c>
    </row>
    <row r="473">
      <c s="30" r="A473">
        <v>542</v>
      </c>
      <c t="s" s="30" r="B473">
        <v>38</v>
      </c>
      <c s="62" r="C473">
        <v>41623</v>
      </c>
      <c s="52" r="D473">
        <v>0.916666666666667</v>
      </c>
      <c s="27" r="E473">
        <v>800</v>
      </c>
      <c s="27" r="F473"/>
      <c s="75" r="G473">
        <f>((0.84+723.7)-643.04)+33.1</f>
        <v>114.6</v>
      </c>
      <c s="27" r="H473">
        <f>63.68+40.97</f>
        <v>104.65</v>
      </c>
      <c s="27" r="I473">
        <f>25.44+14.86</f>
        <v>40.3</v>
      </c>
      <c s="27" r="J473">
        <v>5.88</v>
      </c>
      <c s="27" r="K473">
        <v>1.68</v>
      </c>
      <c s="59" r="L473">
        <f>SUM(G473:K473)</f>
        <v>267.11</v>
      </c>
      <c s="79" r="M473">
        <f>46.38+30.9</f>
        <v>77.28</v>
      </c>
      <c s="79" r="N473">
        <v>626.92</v>
      </c>
      <c s="32" r="O473">
        <f>SUMIF(Sellables!$A$2:$A$11482, $A473, Sellables!$G$2:$G$11482)</f>
        <v>81.35077</v>
      </c>
      <c s="32" r="P473">
        <f>SUMIF(Skills!$A$2:$A$9999, A473, Skills!$F$2:$F$9999)</f>
        <v>0</v>
      </c>
      <c s="14" r="Q473">
        <f>(N473+O473)+P473</f>
        <v>708.27077</v>
      </c>
      <c s="23" r="R473">
        <f>(E473+L473)-M473</f>
        <v>989.83</v>
      </c>
      <c s="70" r="S473">
        <f>Q473-R473</f>
        <v>-281.55923</v>
      </c>
      <c s="29" r="T473">
        <f> (Q473/R473) - 1</f>
        <v>-0.284452107937727</v>
      </c>
      <c s="70" r="U473">
        <f>R473/X473</f>
        <v>6.0355487804878</v>
      </c>
      <c s="70" r="V473">
        <f>Q473/X473</f>
        <v>4.31872420731707</v>
      </c>
      <c t="s" s="30" r="W473">
        <v>52</v>
      </c>
      <c s="30" r="X473">
        <f>((4350-4194)+2)+6</f>
        <v>164</v>
      </c>
      <c t="s" s="30" r="Y473">
        <v>53</v>
      </c>
      <c t="s" s="30" r="Z473">
        <v>54</v>
      </c>
      <c s="30" r="AA473">
        <v>0</v>
      </c>
      <c s="30" r="AB473">
        <v>0</v>
      </c>
      <c s="30" r="AC473">
        <v>5</v>
      </c>
      <c s="30" r="AD473">
        <v>0</v>
      </c>
      <c s="30" r="AE473"/>
      <c s="8" r="AF473">
        <f>(I473+J473)/R473</f>
        <v>0.046654476021135</v>
      </c>
      <c s="28" r="AG473">
        <f>G473/$X473</f>
        <v>0.698780487804879</v>
      </c>
      <c s="28" r="AH473">
        <f>H473/$X473</f>
        <v>0.638109756097561</v>
      </c>
      <c s="28" r="AI473">
        <f>I473/$X473</f>
        <v>0.245731707317073</v>
      </c>
      <c s="28" r="AJ473">
        <f>J473/$X473</f>
        <v>0.035853658536585</v>
      </c>
      <c s="28" r="AK473">
        <f>K473/$X473</f>
        <v>0.010243902439024</v>
      </c>
      <c s="30" r="AL473">
        <v>1</v>
      </c>
    </row>
    <row r="474">
      <c s="30" r="A474">
        <v>551</v>
      </c>
      <c t="s" s="30" r="B474">
        <v>38</v>
      </c>
      <c s="62" r="C474">
        <v>41624</v>
      </c>
      <c s="52" r="D474">
        <v>0.916666666666667</v>
      </c>
      <c s="27" r="E474">
        <v>1000</v>
      </c>
      <c s="27" r="F474"/>
      <c s="75" r="G474">
        <f>((0.59+643.04)-499.80)+0.43</f>
        <v>144.26</v>
      </c>
      <c s="27" r="H474">
        <f>55.59+57.50</f>
        <v>113.09</v>
      </c>
      <c s="27" r="I474">
        <f>33.66+30.31</f>
        <v>63.97</v>
      </c>
      <c s="27" r="J474">
        <f>8.37+6.91</f>
        <v>15.28</v>
      </c>
      <c s="27" r="K474">
        <f>11.77+12.71</f>
        <v>24.48</v>
      </c>
      <c s="59" r="L474">
        <f>SUM(G474:K474)</f>
        <v>361.08</v>
      </c>
      <c s="79" r="M474">
        <f>34.25+32.21</f>
        <v>66.46</v>
      </c>
      <c s="79" r="N474">
        <f>409.76+563.64</f>
        <v>973.4</v>
      </c>
      <c s="32" r="O474">
        <f>SUMIF(Sellables!$A$2:$A$11482, $A474, Sellables!$G$2:$G$11482)</f>
        <v>47.76477</v>
      </c>
      <c s="32" r="P474">
        <f>SUMIF(Skills!$A$2:$A$9999, A474, Skills!$F$2:$F$9999)</f>
        <v>0</v>
      </c>
      <c s="14" r="Q474">
        <f>(N474+O474)+P474</f>
        <v>1021.16477</v>
      </c>
      <c s="23" r="R474">
        <f>(E474+L474)-M474</f>
        <v>1294.62</v>
      </c>
      <c s="70" r="S474">
        <f>Q474-R474</f>
        <v>-273.45523</v>
      </c>
      <c s="29" r="T474">
        <f> (Q474/R474) - 1</f>
        <v>-0.211224320650075</v>
      </c>
      <c s="70" r="U474">
        <f>R474/X474</f>
        <v>5.96599078341014</v>
      </c>
      <c s="70" r="V474">
        <f>Q474/X474</f>
        <v>4.70582843317972</v>
      </c>
      <c t="s" s="30" r="W474">
        <v>52</v>
      </c>
      <c s="30" r="X474">
        <v>217</v>
      </c>
      <c t="s" s="30" r="Y474">
        <v>53</v>
      </c>
      <c t="s" s="30" r="Z474">
        <v>54</v>
      </c>
      <c s="30" r="AA474">
        <v>0</v>
      </c>
      <c s="30" r="AB474">
        <v>0</v>
      </c>
      <c s="30" r="AC474">
        <v>3</v>
      </c>
      <c s="30" r="AD474">
        <v>0</v>
      </c>
      <c s="30" r="AE474"/>
      <c s="8" r="AF474">
        <f>(I474+J474)/R474</f>
        <v>0.061214873862601</v>
      </c>
      <c s="28" r="AG474">
        <f>G474/$X474</f>
        <v>0.664792626728111</v>
      </c>
      <c s="28" r="AH474">
        <f>H474/$X474</f>
        <v>0.521152073732719</v>
      </c>
      <c s="28" r="AI474">
        <f>I474/$X474</f>
        <v>0.294792626728111</v>
      </c>
      <c s="28" r="AJ474">
        <f>J474/$X474</f>
        <v>0.070414746543779</v>
      </c>
      <c s="28" r="AK474">
        <f>K474/$X474</f>
        <v>0.112811059907834</v>
      </c>
      <c s="30" r="AL474">
        <v>1</v>
      </c>
    </row>
    <row r="475">
      <c s="30" r="A475">
        <v>552</v>
      </c>
      <c t="s" s="30" r="B475">
        <v>38</v>
      </c>
      <c s="62" r="C475">
        <v>41625</v>
      </c>
      <c s="52" r="D475">
        <v>0.204861111111111</v>
      </c>
      <c s="27" r="E475">
        <v>500</v>
      </c>
      <c s="27" r="F475"/>
      <c s="75" r="G475">
        <v>63</v>
      </c>
      <c s="27" r="H475">
        <v>54.16</v>
      </c>
      <c s="27" r="I475">
        <v>33.98</v>
      </c>
      <c s="27" r="J475">
        <v>8.2</v>
      </c>
      <c s="27" r="K475">
        <v>10.94</v>
      </c>
      <c s="59" r="L475">
        <f>SUM(G475:K475)</f>
        <v>170.28</v>
      </c>
      <c s="79" r="M475">
        <v>42.84</v>
      </c>
      <c s="79" r="N475">
        <v>404.83</v>
      </c>
      <c s="32" r="O475">
        <f>SUMIF(Sellables!$A$2:$A$11482, $A475, Sellables!$G$2:$G$11482)</f>
        <v>25.77477</v>
      </c>
      <c s="32" r="P475">
        <f>SUMIF(Skills!$A$2:$A$9999, A475, Skills!$F$2:$F$9999)</f>
        <v>0</v>
      </c>
      <c s="14" r="Q475">
        <f>(N475+O475)+P475</f>
        <v>430.60477</v>
      </c>
      <c s="23" r="R475">
        <f>(E475+L475)-M475</f>
        <v>627.44</v>
      </c>
      <c s="70" r="S475">
        <f>Q475-R475</f>
        <v>-196.83523</v>
      </c>
      <c s="29" r="T475">
        <f> (Q475/R475) - 1</f>
        <v>-0.313711637766161</v>
      </c>
      <c s="70" r="U475">
        <f>R475/X475</f>
        <v>6.40244897959184</v>
      </c>
      <c s="70" r="V475">
        <f>Q475/X475</f>
        <v>4.3939262244898</v>
      </c>
      <c t="s" s="30" r="W475">
        <v>52</v>
      </c>
      <c s="30" r="X475">
        <f>(4657-4561)+2</f>
        <v>98</v>
      </c>
      <c t="s" s="30" r="Y475">
        <v>53</v>
      </c>
      <c t="s" s="30" r="Z475">
        <v>54</v>
      </c>
      <c s="30" r="AA475">
        <v>0</v>
      </c>
      <c s="30" r="AB475">
        <v>0</v>
      </c>
      <c s="30" r="AC475">
        <v>1</v>
      </c>
      <c s="30" r="AD475">
        <v>0</v>
      </c>
      <c s="30" r="AE475"/>
      <c s="8" r="AF475">
        <f>(I475+J475)/R475</f>
        <v>0.06722555144715</v>
      </c>
      <c s="28" r="AG475">
        <f>G475/$X475</f>
        <v>0.642857142857143</v>
      </c>
      <c s="28" r="AH475">
        <f>H475/$X475</f>
        <v>0.55265306122449</v>
      </c>
      <c s="28" r="AI475">
        <f>I475/$X475</f>
        <v>0.346734693877551</v>
      </c>
      <c s="28" r="AJ475">
        <f>J475/$X475</f>
        <v>0.083673469387755</v>
      </c>
      <c s="28" r="AK475">
        <f>K475/$X475</f>
        <v>0.111632653061224</v>
      </c>
      <c s="30" r="AL475">
        <v>1</v>
      </c>
    </row>
    <row r="476">
      <c s="30" r="A476">
        <v>554</v>
      </c>
      <c t="s" s="30" r="B476">
        <v>38</v>
      </c>
      <c s="62" r="C476">
        <v>41625</v>
      </c>
      <c s="52" r="D476">
        <v>0.791666666666667</v>
      </c>
      <c s="27" r="E476">
        <v>2100</v>
      </c>
      <c s="27" r="F476"/>
      <c s="75" r="G476">
        <f>(((1.12+765.21)-535.24)+0.91)+36.98</f>
        <v>268.98</v>
      </c>
      <c s="27" r="H476">
        <f>((61.01+54)+59.54)+45.08</f>
        <v>219.63</v>
      </c>
      <c s="27" r="I476">
        <f>(((26.49+28.87)+23.17)+10.89)+17.22</f>
        <v>106.64</v>
      </c>
      <c s="27" r="J476">
        <f>((11.63+5.54)+3.63)+1.82</f>
        <v>22.62</v>
      </c>
      <c s="27" r="K476">
        <f>((12.38+11.44)+1.57)+2.7</f>
        <v>28.09</v>
      </c>
      <c s="59" r="L476">
        <f>SUM(G476:K476)</f>
        <v>645.96</v>
      </c>
      <c s="79" r="M476">
        <f>(((35.22+39.87)+142.23)+176.17)+2.01</f>
        <v>395.5</v>
      </c>
      <c s="79" r="N476">
        <f>((473.19+474.16)+511.13)+317.60</f>
        <v>1776.08</v>
      </c>
      <c s="32" r="O476">
        <f>SUMIF(Sellables!$A$2:$A$11482, $A476, Sellables!$G$2:$G$11482)</f>
        <v>88.52877</v>
      </c>
      <c s="32" r="P476">
        <f>SUMIF(Skills!$A$2:$A$9999, A476, Skills!$F$2:$F$9999)</f>
        <v>616.875</v>
      </c>
      <c s="14" r="Q476">
        <f>(N476+O476)+P476</f>
        <v>2481.48377</v>
      </c>
      <c s="23" r="R476">
        <f>(E476+L476)-M476</f>
        <v>2350.46</v>
      </c>
      <c s="70" r="S476">
        <f>Q476-R476</f>
        <v>131.02377</v>
      </c>
      <c s="29" r="T476">
        <f> (Q476/R476) - 1</f>
        <v>0.055743884175863</v>
      </c>
      <c s="70" r="U476">
        <f>R476/X476</f>
        <v>6.15303664921466</v>
      </c>
      <c s="70" r="V476">
        <f>Q476/X476</f>
        <v>6.49603081151832</v>
      </c>
      <c t="s" s="30" r="W476">
        <v>52</v>
      </c>
      <c s="30" r="X476">
        <f>353+29</f>
        <v>382</v>
      </c>
      <c t="s" s="30" r="Y476">
        <v>53</v>
      </c>
      <c t="s" s="30" r="Z476">
        <v>54</v>
      </c>
      <c s="30" r="AA476">
        <v>0</v>
      </c>
      <c s="30" r="AB476">
        <v>0</v>
      </c>
      <c s="30" r="AC476">
        <v>6</v>
      </c>
      <c s="30" r="AD476">
        <v>0</v>
      </c>
      <c s="30" r="AE476"/>
      <c s="8" r="AF476">
        <f>(I476+J476)/R476</f>
        <v>0.054993490635876</v>
      </c>
      <c s="28" r="AG476">
        <f>G476/$X476</f>
        <v>0.70413612565445</v>
      </c>
      <c s="28" r="AH476">
        <f>H476/$X476</f>
        <v>0.574947643979058</v>
      </c>
      <c s="28" r="AI476">
        <f>I476/$X476</f>
        <v>0.279162303664921</v>
      </c>
      <c s="28" r="AJ476">
        <f>J476/$X476</f>
        <v>0.059214659685864</v>
      </c>
      <c s="28" r="AK476">
        <f>K476/$X476</f>
        <v>0.073534031413613</v>
      </c>
      <c s="30" r="AL476">
        <v>1</v>
      </c>
    </row>
    <row r="477">
      <c s="30" r="A477">
        <v>572</v>
      </c>
      <c t="s" s="30" r="B477">
        <v>38</v>
      </c>
      <c s="62" r="C477">
        <v>41626</v>
      </c>
      <c s="52" r="D477">
        <v>0.729166666666667</v>
      </c>
      <c s="27" r="E477">
        <v>350</v>
      </c>
      <c s="27" r="F477"/>
      <c s="75" r="G477">
        <v>36.4</v>
      </c>
      <c s="27" r="H477">
        <v>46.35</v>
      </c>
      <c s="27" r="I477">
        <v>6.2</v>
      </c>
      <c s="27" r="J477">
        <v>0.65</v>
      </c>
      <c s="27" r="K477">
        <v>2.49</v>
      </c>
      <c s="59" r="L477">
        <f>SUM(G477:K477)</f>
        <v>92.09</v>
      </c>
      <c s="79" r="M477">
        <v>132.87</v>
      </c>
      <c s="79" r="N477">
        <v>255.75</v>
      </c>
      <c s="32" r="O477">
        <f>SUMIF(Sellables!$A$2:$A$11482, $A477, Sellables!$G$2:$G$11482)</f>
        <v>0</v>
      </c>
      <c s="32" r="P477">
        <f>SUMIF(Skills!$A$2:$A$9999, A477, Skills!$F$2:$F$9999)</f>
        <v>0</v>
      </c>
      <c s="14" r="Q477">
        <f>(N477+O477)+P477</f>
        <v>255.75</v>
      </c>
      <c s="23" r="R477">
        <f>(E477+L477)-M477</f>
        <v>309.22</v>
      </c>
      <c s="70" r="S477">
        <f>Q477-R477</f>
        <v>-53.47</v>
      </c>
      <c s="29" r="T477">
        <f> (Q477/R477) - 1</f>
        <v>-0.172918957376625</v>
      </c>
      <c s="70" r="U477">
        <f>R477/X477</f>
        <v>4.8315625</v>
      </c>
      <c s="70" r="V477">
        <f>Q477/X477</f>
        <v>3.99609375</v>
      </c>
      <c t="s" s="30" r="W477">
        <v>118</v>
      </c>
      <c s="30" r="X477">
        <f>225-161</f>
        <v>64</v>
      </c>
      <c t="s" s="30" r="Y477">
        <v>283</v>
      </c>
      <c t="s" s="30" r="Z477">
        <v>42</v>
      </c>
      <c s="30" r="AA477">
        <v>0</v>
      </c>
      <c s="30" r="AB477">
        <v>0</v>
      </c>
      <c s="30" r="AC477">
        <v>0</v>
      </c>
      <c s="30" r="AD477">
        <v>0</v>
      </c>
      <c s="30" r="AE477"/>
      <c s="8" r="AF477">
        <f>(I477+J477)/R477</f>
        <v>0.022152512774077</v>
      </c>
      <c s="28" r="AG477">
        <f>G477/$X477</f>
        <v>0.56875</v>
      </c>
      <c s="28" r="AH477">
        <f>H477/$X477</f>
        <v>0.72421875</v>
      </c>
      <c s="28" r="AI477">
        <f>I477/$X477</f>
        <v>0.096875</v>
      </c>
      <c s="28" r="AJ477">
        <f>J477/$X477</f>
        <v>0.01015625</v>
      </c>
      <c s="28" r="AK477">
        <f>K477/$X477</f>
        <v>0.03890625</v>
      </c>
      <c s="30" r="AL477">
        <v>1</v>
      </c>
    </row>
    <row r="478">
      <c s="30" r="A478">
        <v>573</v>
      </c>
      <c t="s" s="30" r="B478">
        <v>38</v>
      </c>
      <c s="62" r="C478">
        <v>41626</v>
      </c>
      <c s="52" r="D478">
        <v>0.75</v>
      </c>
      <c s="27" r="E478">
        <v>500</v>
      </c>
      <c s="27" r="F478"/>
      <c s="75" r="G478">
        <v>12.17</v>
      </c>
      <c s="27" r="H478">
        <v>10.16</v>
      </c>
      <c s="27" r="I478">
        <v>8.13</v>
      </c>
      <c s="27" r="J478">
        <v>1.36</v>
      </c>
      <c s="27" r="K478">
        <v>2.4</v>
      </c>
      <c s="59" r="L478">
        <f>SUM(G478:K478)</f>
        <v>34.22</v>
      </c>
      <c s="79" r="M478">
        <v>411.59</v>
      </c>
      <c s="79" r="N478">
        <v>81.56</v>
      </c>
      <c s="32" r="O478">
        <f>SUMIF(Sellables!$A$2:$A$11482, $A478, Sellables!$G$2:$G$11482)</f>
        <v>0</v>
      </c>
      <c s="32" r="P478">
        <f>SUMIF(Skills!$A$2:$A$9999, A478, Skills!$F$2:$F$9999)</f>
        <v>0</v>
      </c>
      <c s="14" r="Q478">
        <f>(N478+O478)+P478</f>
        <v>81.56</v>
      </c>
      <c s="23" r="R478">
        <f>(E478+L478)-M478</f>
        <v>122.63</v>
      </c>
      <c s="70" r="S478">
        <f>Q478-R478</f>
        <v>-41.07</v>
      </c>
      <c s="29" r="T478">
        <f> (Q478/R478) - 1</f>
        <v>-0.334909891543668</v>
      </c>
      <c s="70" r="U478">
        <f>R478/X478</f>
        <v>11.1481818181818</v>
      </c>
      <c s="70" r="V478">
        <f>Q478/X478</f>
        <v>7.41454545454546</v>
      </c>
      <c t="s" s="30" r="W478">
        <v>237</v>
      </c>
      <c s="30" r="X478">
        <v>11</v>
      </c>
      <c t="s" s="30" r="Y478">
        <v>238</v>
      </c>
      <c t="s" s="30" r="Z478">
        <v>42</v>
      </c>
      <c s="30" r="AA478">
        <v>0</v>
      </c>
      <c s="30" r="AB478">
        <v>0</v>
      </c>
      <c s="30" r="AC478">
        <v>0</v>
      </c>
      <c s="30" r="AD478">
        <v>0</v>
      </c>
      <c s="30" r="AE478"/>
      <c s="8" r="AF478">
        <f>(I478+J478)/R478</f>
        <v>0.077387262496942</v>
      </c>
      <c s="28" r="AG478">
        <f>G478/$X478</f>
        <v>1.10636363636364</v>
      </c>
      <c s="28" r="AH478">
        <f>H478/$X478</f>
        <v>0.923636363636364</v>
      </c>
      <c s="28" r="AI478">
        <f>I478/$X478</f>
        <v>0.739090909090909</v>
      </c>
      <c s="28" r="AJ478">
        <f>J478/$X478</f>
        <v>0.123636363636364</v>
      </c>
      <c s="28" r="AK478">
        <f>K478/$X478</f>
        <v>0.218181818181818</v>
      </c>
      <c s="30" r="AL478">
        <v>1</v>
      </c>
    </row>
    <row r="479">
      <c s="30" r="A479">
        <v>577</v>
      </c>
      <c t="s" s="30" r="B479">
        <v>38</v>
      </c>
      <c s="62" r="C479">
        <v>41626</v>
      </c>
      <c s="52" r="D479">
        <v>0.833333333333333</v>
      </c>
      <c s="27" r="E479">
        <v>500</v>
      </c>
      <c s="27" r="F479"/>
      <c s="75" r="G479">
        <f>((784.81-12.07)-696.86)+3.84</f>
        <v>79.7199999999999</v>
      </c>
      <c s="27" r="H479">
        <v>63.91</v>
      </c>
      <c s="27" r="I479">
        <v>20.09</v>
      </c>
      <c s="27" r="J479">
        <v>2.88</v>
      </c>
      <c s="27" r="K479">
        <v>12.15</v>
      </c>
      <c s="59" r="L479">
        <f>SUM(G479:K479)</f>
        <v>178.75</v>
      </c>
      <c s="79" r="M479">
        <v>53.41</v>
      </c>
      <c s="79" r="N479">
        <v>599.73</v>
      </c>
      <c s="32" r="O479">
        <f>SUMIF(Sellables!$A$2:$A$11482, $A479, Sellables!$G$2:$G$11482)</f>
        <v>26.904</v>
      </c>
      <c s="32" r="P479">
        <f>SUMIF(Skills!$A$2:$A$9999, A479, Skills!$F$2:$F$9999)</f>
        <v>0</v>
      </c>
      <c s="14" r="Q479">
        <f>(N479+O479)+P479</f>
        <v>626.634</v>
      </c>
      <c s="23" r="R479">
        <f>(E479+L479)-M479</f>
        <v>625.34</v>
      </c>
      <c s="70" r="S479">
        <f>Q479-R479</f>
        <v>1.2940000000001</v>
      </c>
      <c s="29" r="T479">
        <f> (Q479/R479) - 1</f>
        <v>0.002069274314773</v>
      </c>
      <c t="str" s="70" r="U479">
        <f>R479/X479</f>
        <v>#DIV/0!:divZero</v>
      </c>
      <c t="str" s="70" r="V479">
        <f>Q479/X479</f>
        <v>#DIV/0!:divZero</v>
      </c>
      <c t="s" s="30" r="W479">
        <v>291</v>
      </c>
      <c s="30" r="X479">
        <v>0</v>
      </c>
      <c t="s" s="30" r="Y479">
        <v>292</v>
      </c>
      <c t="s" s="30" r="Z479">
        <v>54</v>
      </c>
      <c s="30" r="AA479">
        <v>0</v>
      </c>
      <c s="30" r="AB479">
        <v>0</v>
      </c>
      <c s="30" r="AC479">
        <v>1</v>
      </c>
      <c s="30" r="AD479">
        <v>0</v>
      </c>
      <c s="30" r="AE479"/>
      <c s="8" r="AF479">
        <f>(I479+J479)/R479</f>
        <v>0.036732017782326</v>
      </c>
      <c t="str" s="28" r="AG479">
        <f>G479/$X479</f>
        <v>#DIV/0!:divZero</v>
      </c>
      <c t="str" s="28" r="AH479">
        <f>H479/$X479</f>
        <v>#DIV/0!:divZero</v>
      </c>
      <c t="str" s="28" r="AI479">
        <f>I479/$X479</f>
        <v>#DIV/0!:divZero</v>
      </c>
      <c t="str" s="28" r="AJ479">
        <f>J479/$X479</f>
        <v>#DIV/0!:divZero</v>
      </c>
      <c t="str" s="28" r="AK479">
        <f>K479/$X479</f>
        <v>#DIV/0!:divZero</v>
      </c>
      <c s="30" r="AL479">
        <v>1</v>
      </c>
    </row>
    <row r="480">
      <c s="30" r="A480">
        <v>578</v>
      </c>
      <c t="s" s="30" r="B480">
        <v>38</v>
      </c>
      <c s="62" r="C480">
        <v>41626</v>
      </c>
      <c s="52" r="D480">
        <v>0.875</v>
      </c>
      <c s="27" r="E480">
        <v>700</v>
      </c>
      <c s="27" r="F480"/>
      <c s="75" r="G480">
        <f>(696.86-622.97)+0.34</f>
        <v>74.23</v>
      </c>
      <c s="27" r="H480">
        <v>62.22</v>
      </c>
      <c s="27" r="I480">
        <v>28.17</v>
      </c>
      <c s="27" r="J480">
        <v>7.7</v>
      </c>
      <c s="27" r="K480">
        <v>14.43</v>
      </c>
      <c s="59" r="L480">
        <f>SUM(G480:K480)</f>
        <v>186.75</v>
      </c>
      <c s="79" r="M480">
        <v>173.46</v>
      </c>
      <c s="79" r="N480">
        <v>1000</v>
      </c>
      <c s="32" r="O480">
        <f>SUMIF(Sellables!$A$2:$A$11482, $A480, Sellables!$G$2:$G$11482)</f>
        <v>203.426</v>
      </c>
      <c s="32" r="P480">
        <f>SUMIF(Skills!$A$2:$A$9999, A480, Skills!$F$2:$F$9999)</f>
        <v>0</v>
      </c>
      <c s="14" r="Q480">
        <f>(N480+O480)+P480</f>
        <v>1203.426</v>
      </c>
      <c s="23" r="R480">
        <f>(E480+L480)-M480</f>
        <v>713.29</v>
      </c>
      <c s="70" r="S480">
        <f>Q480-R480</f>
        <v>490.136</v>
      </c>
      <c s="29" r="T480">
        <f> (Q480/R480) - 1</f>
        <v>0.687148284708884</v>
      </c>
      <c t="str" s="70" r="U480">
        <f>R480/X480</f>
        <v>#DIV/0!:divZero</v>
      </c>
      <c t="str" s="70" r="V480">
        <f>Q480/X480</f>
        <v>#DIV/0!:divZero</v>
      </c>
      <c t="s" s="30" r="W480">
        <v>293</v>
      </c>
      <c s="30" r="X480">
        <v>0</v>
      </c>
      <c t="s" s="30" r="Y480">
        <v>292</v>
      </c>
      <c t="s" s="30" r="Z480">
        <v>54</v>
      </c>
      <c s="30" r="AA480">
        <v>-7</v>
      </c>
      <c s="30" r="AB480">
        <v>0</v>
      </c>
      <c s="30" r="AC480">
        <v>4</v>
      </c>
      <c s="30" r="AD480">
        <v>0</v>
      </c>
      <c s="30" r="AE480"/>
      <c s="8" r="AF480">
        <f>(I480+J480)/R480</f>
        <v>0.050288101613649</v>
      </c>
      <c t="str" s="28" r="AG480">
        <f>G480/$X480</f>
        <v>#DIV/0!:divZero</v>
      </c>
      <c t="str" s="28" r="AH480">
        <f>H480/$X480</f>
        <v>#DIV/0!:divZero</v>
      </c>
      <c t="str" s="28" r="AI480">
        <f>I480/$X480</f>
        <v>#DIV/0!:divZero</v>
      </c>
      <c t="str" s="28" r="AJ480">
        <f>J480/$X480</f>
        <v>#DIV/0!:divZero</v>
      </c>
      <c t="str" s="28" r="AK480">
        <f>K480/$X480</f>
        <v>#DIV/0!:divZero</v>
      </c>
      <c s="30" r="AL480">
        <v>1</v>
      </c>
    </row>
    <row r="481">
      <c s="30" r="A481">
        <v>581</v>
      </c>
      <c t="s" s="30" r="B481">
        <v>38</v>
      </c>
      <c s="62" r="C481">
        <v>41627</v>
      </c>
      <c s="52" r="D481">
        <v>0.8125</v>
      </c>
      <c s="27" r="E481">
        <v>400</v>
      </c>
      <c s="27" r="F481"/>
      <c s="75" r="G481">
        <v>363.46</v>
      </c>
      <c s="27" r="H481">
        <v>0</v>
      </c>
      <c s="27" r="I481">
        <v>22.04</v>
      </c>
      <c s="27" r="J481">
        <v>4.47</v>
      </c>
      <c s="27" r="K481">
        <v>0.04</v>
      </c>
      <c s="59" r="L481">
        <f>SUM(G481:K481)</f>
        <v>390.01</v>
      </c>
      <c s="79" r="M481">
        <v>444.68</v>
      </c>
      <c s="79" r="N481">
        <v>356.28</v>
      </c>
      <c s="32" r="O481">
        <f>SUMIF(Sellables!$A$2:$A$11482, $A481, Sellables!$G$2:$G$11482)</f>
        <v>0</v>
      </c>
      <c s="32" r="P481">
        <f>SUMIF(Skills!$A$2:$A$9999, A481, Skills!$F$2:$F$9999)</f>
        <v>19.662</v>
      </c>
      <c s="14" r="Q481">
        <f>(N481+O481)+P481</f>
        <v>375.942</v>
      </c>
      <c s="23" r="R481">
        <f>(E481+L481)-M481</f>
        <v>345.33</v>
      </c>
      <c s="70" r="S481">
        <f>Q481-R481</f>
        <v>30.612</v>
      </c>
      <c s="29" r="T481">
        <f> (Q481/R481) - 1</f>
        <v>0.088645643297715</v>
      </c>
      <c s="70" r="U481">
        <f>R481/X481</f>
        <v>1.2885447761194</v>
      </c>
      <c s="70" r="V481">
        <f>Q481/X481</f>
        <v>1.40276865671642</v>
      </c>
      <c t="s" s="30" r="W481">
        <v>173</v>
      </c>
      <c s="30" r="X481">
        <f>502-234</f>
        <v>268</v>
      </c>
      <c t="s" s="30" r="Y481">
        <v>174</v>
      </c>
      <c t="s" s="30" r="Z481">
        <v>42</v>
      </c>
      <c s="30" r="AA481">
        <v>0</v>
      </c>
      <c s="30" r="AB481">
        <v>0</v>
      </c>
      <c s="30" r="AC481">
        <v>0</v>
      </c>
      <c s="30" r="AD481">
        <v>0</v>
      </c>
      <c s="30" r="AE481"/>
      <c s="8" r="AF481">
        <f>(I481+J481)/R481</f>
        <v>0.076767150262068</v>
      </c>
      <c s="28" r="AG481">
        <f>G481/$X481</f>
        <v>1.35619402985075</v>
      </c>
      <c s="28" r="AH481">
        <f>H481/$X481</f>
        <v>0</v>
      </c>
      <c s="28" r="AI481">
        <f>I481/$X481</f>
        <v>0.082238805970149</v>
      </c>
      <c s="28" r="AJ481">
        <f>J481/$X481</f>
        <v>0.016679104477612</v>
      </c>
      <c s="28" r="AK481">
        <f>K481/$X481</f>
        <v>0.000149253731343</v>
      </c>
      <c s="30" r="AL481">
        <v>1</v>
      </c>
    </row>
    <row r="482">
      <c s="30" r="A482">
        <v>596</v>
      </c>
      <c t="s" s="30" r="B482">
        <v>38</v>
      </c>
      <c s="62" r="C482">
        <v>41628</v>
      </c>
      <c s="52" r="D482">
        <v>0.711805555555556</v>
      </c>
      <c s="27" r="E482">
        <v>1150</v>
      </c>
      <c s="27" r="F482"/>
      <c s="75" r="G482">
        <f>953.46-864.33</f>
        <v>89.13</v>
      </c>
      <c s="27" r="H482">
        <v>61.84</v>
      </c>
      <c s="27" r="I482">
        <v>13.75</v>
      </c>
      <c s="27" r="J482">
        <v>6.51</v>
      </c>
      <c s="27" r="K482">
        <v>17.86</v>
      </c>
      <c s="59" r="L482">
        <f>SUM(G482:K482)</f>
        <v>189.09</v>
      </c>
      <c s="79" r="M482">
        <v>581.64</v>
      </c>
      <c s="79" r="N482">
        <v>391.46</v>
      </c>
      <c s="32" r="O482">
        <f>SUMIF(Sellables!$A$2:$A$11482, $A482, Sellables!$G$2:$G$11482)</f>
        <v>72.4992</v>
      </c>
      <c s="32" r="P482">
        <f>SUMIF(Skills!$A$2:$A$9999, A482, Skills!$F$2:$F$9999)</f>
        <v>0</v>
      </c>
      <c s="14" r="Q482">
        <f>(N482+O482)+P482</f>
        <v>463.9592</v>
      </c>
      <c s="23" r="R482">
        <f>(E482+L482)-M482</f>
        <v>757.45</v>
      </c>
      <c s="70" r="S482">
        <f>Q482-R482</f>
        <v>-293.4908</v>
      </c>
      <c s="29" r="T482">
        <f> (Q482/R482) - 1</f>
        <v>-0.387472176381279</v>
      </c>
      <c s="70" r="U482">
        <f>R482/X482</f>
        <v>3.67694174757282</v>
      </c>
      <c s="70" r="V482">
        <f>Q482/X482</f>
        <v>2.25222912621359</v>
      </c>
      <c t="s" s="30" r="W482">
        <v>294</v>
      </c>
      <c s="30" r="X482">
        <v>206</v>
      </c>
      <c t="s" s="30" r="Y482">
        <v>295</v>
      </c>
      <c t="s" s="30" r="Z482">
        <v>42</v>
      </c>
      <c s="30" r="AA482">
        <v>0</v>
      </c>
      <c s="30" r="AB482">
        <v>0</v>
      </c>
      <c s="30" r="AC482">
        <v>1</v>
      </c>
      <c s="30" r="AD482">
        <v>0</v>
      </c>
      <c s="30" r="AE482"/>
      <c s="8" r="AF482">
        <f>(I482+J482)/R482</f>
        <v>0.026747640108258</v>
      </c>
      <c s="28" r="AG482">
        <f>G482/$X482</f>
        <v>0.432669902912621</v>
      </c>
      <c s="28" r="AH482">
        <f>H482/$X482</f>
        <v>0.300194174757282</v>
      </c>
      <c s="28" r="AI482">
        <f>I482/$X482</f>
        <v>0.066747572815534</v>
      </c>
      <c s="28" r="AJ482">
        <f>J482/$X482</f>
        <v>0.031601941747573</v>
      </c>
      <c s="28" r="AK482">
        <f>K482/$X482</f>
        <v>0.086699029126214</v>
      </c>
      <c s="30" r="AL482">
        <v>1</v>
      </c>
    </row>
    <row r="483">
      <c s="30" r="A483">
        <v>597</v>
      </c>
      <c t="s" s="30" r="B483">
        <v>38</v>
      </c>
      <c s="62" r="C483">
        <v>41628</v>
      </c>
      <c s="52" r="D483">
        <v>0.8125</v>
      </c>
      <c s="27" r="E483">
        <v>1000</v>
      </c>
      <c s="27" r="F483"/>
      <c s="75" r="G483">
        <v>97.52</v>
      </c>
      <c s="27" r="H483">
        <v>71.7</v>
      </c>
      <c s="27" r="I483">
        <v>16.11</v>
      </c>
      <c s="27" r="J483">
        <v>5.85</v>
      </c>
      <c s="27" r="K483">
        <v>22.16</v>
      </c>
      <c s="59" r="L483">
        <f>SUM(G483:K483)</f>
        <v>213.34</v>
      </c>
      <c s="79" r="M483">
        <v>341.9</v>
      </c>
      <c s="79" r="N483">
        <v>526.12</v>
      </c>
      <c s="32" r="O483">
        <f>SUMIF(Sellables!$A$2:$A$11482, $A483, Sellables!$G$2:$G$11482)</f>
        <v>56.066</v>
      </c>
      <c s="32" r="P483">
        <f>SUMIF(Skills!$A$2:$A$9999, A483, Skills!$F$2:$F$9999)</f>
        <v>0</v>
      </c>
      <c s="14" r="Q483">
        <f>(N483+O483)+P483</f>
        <v>582.186</v>
      </c>
      <c s="23" r="R483">
        <f>(E483+L483)-M483</f>
        <v>871.44</v>
      </c>
      <c s="70" r="S483">
        <f>Q483-R483</f>
        <v>-289.254</v>
      </c>
      <c s="29" r="T483">
        <f> (Q483/R483) - 1</f>
        <v>-0.331926466538144</v>
      </c>
      <c s="70" r="U483">
        <f>R483/X483</f>
        <v>4.11056603773585</v>
      </c>
      <c s="70" r="V483">
        <f>Q483/X483</f>
        <v>2.74616037735849</v>
      </c>
      <c t="s" s="30" r="W483">
        <v>294</v>
      </c>
      <c s="30" r="X483">
        <v>212</v>
      </c>
      <c t="s" s="30" r="Y483">
        <v>295</v>
      </c>
      <c t="s" s="30" r="Z483">
        <v>42</v>
      </c>
      <c s="30" r="AA483">
        <v>0</v>
      </c>
      <c s="30" r="AB483">
        <v>0</v>
      </c>
      <c s="30" r="AC483">
        <v>0</v>
      </c>
      <c s="30" r="AD483">
        <v>0</v>
      </c>
      <c s="30" r="AE483"/>
      <c s="8" r="AF483">
        <f>(I483+J483)/R483</f>
        <v>0.025199669512531</v>
      </c>
      <c s="28" r="AG483">
        <f>G483/$X483</f>
        <v>0.46</v>
      </c>
      <c s="28" r="AH483">
        <f>H483/$X483</f>
        <v>0.338207547169811</v>
      </c>
      <c s="28" r="AI483">
        <f>I483/$X483</f>
        <v>0.075990566037736</v>
      </c>
      <c s="28" r="AJ483">
        <f>J483/$X483</f>
        <v>0.027594339622642</v>
      </c>
      <c s="28" r="AK483">
        <f>K483/$X483</f>
        <v>0.104528301886792</v>
      </c>
      <c s="30" r="AL483">
        <v>1</v>
      </c>
    </row>
    <row r="484">
      <c s="30" r="A484">
        <v>605</v>
      </c>
      <c t="s" s="30" r="B484">
        <v>38</v>
      </c>
      <c s="62" r="C484">
        <v>41629</v>
      </c>
      <c s="52" r="D484">
        <v>0.541666666666667</v>
      </c>
      <c s="27" r="E484">
        <v>1000</v>
      </c>
      <c s="27" r="F484"/>
      <c s="75" r="G484">
        <v>96</v>
      </c>
      <c s="27" r="H484">
        <v>56.18</v>
      </c>
      <c s="27" r="I484">
        <v>17.21</v>
      </c>
      <c s="27" r="J484">
        <v>5.5</v>
      </c>
      <c s="27" r="K484">
        <v>21.32</v>
      </c>
      <c s="59" r="L484">
        <f>SUM(G484:K484)</f>
        <v>196.21</v>
      </c>
      <c s="79" r="M484">
        <v>388.67</v>
      </c>
      <c s="79" r="N484">
        <v>603.2</v>
      </c>
      <c s="32" r="O484">
        <f>SUMIF(Sellables!$A$2:$A$11482, $A484, Sellables!$G$2:$G$11482)</f>
        <v>0</v>
      </c>
      <c s="32" r="P484">
        <f>SUMIF(Skills!$A$2:$A$9999, A484, Skills!$F$2:$F$9999)</f>
        <v>0</v>
      </c>
      <c s="14" r="Q484">
        <f>(N484+O484)+P484</f>
        <v>603.2</v>
      </c>
      <c s="23" r="R484">
        <f>(E484+L484)-M484</f>
        <v>807.54</v>
      </c>
      <c s="70" r="S484">
        <f>Q484-R484</f>
        <v>-204.34</v>
      </c>
      <c s="29" r="T484">
        <f> (Q484/R484) - 1</f>
        <v>-0.253040097084974</v>
      </c>
      <c s="70" r="U484">
        <f>R484/X484</f>
        <v>4.01761194029851</v>
      </c>
      <c s="70" r="V484">
        <f>Q484/X484</f>
        <v>3.00099502487562</v>
      </c>
      <c t="s" s="30" r="W484">
        <v>294</v>
      </c>
      <c s="30" r="X484">
        <v>201</v>
      </c>
      <c t="s" s="30" r="Y484">
        <v>295</v>
      </c>
      <c t="s" s="30" r="Z484">
        <v>42</v>
      </c>
      <c s="30" r="AA484">
        <v>0</v>
      </c>
      <c s="30" r="AB484">
        <v>0</v>
      </c>
      <c s="30" r="AC484">
        <v>1</v>
      </c>
      <c s="30" r="AD484">
        <v>0</v>
      </c>
      <c s="30" r="AE484"/>
      <c s="8" r="AF484">
        <f>(I484+J484)/R484</f>
        <v>0.02812244594695</v>
      </c>
      <c s="28" r="AG484">
        <f>G484/$X484</f>
        <v>0.477611940298507</v>
      </c>
      <c s="28" r="AH484">
        <f>H484/$X484</f>
        <v>0.279502487562189</v>
      </c>
      <c s="28" r="AI484">
        <f>I484/$X484</f>
        <v>0.085621890547264</v>
      </c>
      <c s="28" r="AJ484">
        <f>J484/$X484</f>
        <v>0.027363184079602</v>
      </c>
      <c s="28" r="AK484">
        <f>K484/$X484</f>
        <v>0.106069651741294</v>
      </c>
      <c s="30" r="AL484">
        <v>1</v>
      </c>
    </row>
    <row r="485">
      <c s="30" r="A485">
        <v>606</v>
      </c>
      <c t="s" s="30" r="B485">
        <v>38</v>
      </c>
      <c s="62" r="C485">
        <v>41629</v>
      </c>
      <c s="52" r="D485">
        <v>0.583333333333333</v>
      </c>
      <c s="27" r="E485">
        <v>5400</v>
      </c>
      <c s="27" r="F485"/>
      <c s="75" r="G485">
        <f>430.77+370</f>
        <v>800.77</v>
      </c>
      <c s="27" r="H485">
        <f>((((273.66+58.21)+43.18)+58.41)+50.43)+37.60</f>
        <v>521.49</v>
      </c>
      <c s="27" r="I485">
        <f>((((115.55+30.08)+21.06)+26.11)+21.87)+15.19</f>
        <v>229.86</v>
      </c>
      <c s="27" r="J485">
        <f>((13.52+29.93)+12.81)+3.47</f>
        <v>59.73</v>
      </c>
      <c s="27" r="K485">
        <f>((((75.55+23.80)+37.53)+23.18)+20.16)+11.21</f>
        <v>191.43</v>
      </c>
      <c s="59" r="L485">
        <f>SUM(G485:K485)</f>
        <v>1803.28</v>
      </c>
      <c s="79" r="M485">
        <v>172.23</v>
      </c>
      <c s="79" r="N485">
        <f>(((495.62+296.55)+260.93)+261.55)+4586.17</f>
        <v>5900.82</v>
      </c>
      <c s="32" r="O485">
        <f>SUMIF(Sellables!$A$2:$A$11482, $A485, Sellables!$G$2:$G$11482)</f>
        <v>780.6816</v>
      </c>
      <c s="32" r="P485">
        <f>SUMIF(Skills!$A$2:$A$9999, A485, Skills!$F$2:$F$9999)</f>
        <v>0</v>
      </c>
      <c s="14" r="Q485">
        <f>(N485+O485)+P485</f>
        <v>6681.5016</v>
      </c>
      <c s="23" r="R485">
        <f>(E485+L485)-M485</f>
        <v>7031.05</v>
      </c>
      <c s="70" r="S485">
        <f>Q485-R485</f>
        <v>-349.548400000001</v>
      </c>
      <c s="29" r="T485">
        <f> (Q485/R485) - 1</f>
        <v>-0.049714964336764</v>
      </c>
      <c t="str" s="70" r="U485">
        <f>R485/X485</f>
        <v>#DIV/0!:divZero</v>
      </c>
      <c t="str" s="70" r="V485">
        <f>Q485/X485</f>
        <v>#DIV/0!:divZero</v>
      </c>
      <c t="s" s="30" r="W485">
        <v>293</v>
      </c>
      <c s="30" r="X485">
        <v>0</v>
      </c>
      <c t="s" s="30" r="Y485">
        <v>292</v>
      </c>
      <c t="s" s="30" r="Z485">
        <v>54</v>
      </c>
      <c s="30" r="AA485">
        <v>-7</v>
      </c>
      <c s="30" r="AB485">
        <v>1</v>
      </c>
      <c s="30" r="AC485">
        <v>33</v>
      </c>
      <c s="30" r="AD485">
        <v>0</v>
      </c>
      <c s="30" r="AE485"/>
      <c s="8" r="AF485">
        <f>(I485+J485)/R485</f>
        <v>0.041187304883339</v>
      </c>
      <c t="str" s="28" r="AG485">
        <f>G485/$X485</f>
        <v>#DIV/0!:divZero</v>
      </c>
      <c t="str" s="28" r="AH485">
        <f>H485/$X485</f>
        <v>#DIV/0!:divZero</v>
      </c>
      <c t="str" s="28" r="AI485">
        <f>I485/$X485</f>
        <v>#DIV/0!:divZero</v>
      </c>
      <c t="str" s="28" r="AJ485">
        <f>J485/$X485</f>
        <v>#DIV/0!:divZero</v>
      </c>
      <c t="str" s="28" r="AK485">
        <f>K485/$X485</f>
        <v>#DIV/0!:divZero</v>
      </c>
      <c s="30" r="AL485">
        <v>1</v>
      </c>
    </row>
    <row r="486">
      <c s="30" r="A486">
        <v>613</v>
      </c>
      <c t="s" s="30" r="B486">
        <v>38</v>
      </c>
      <c s="62" r="C486">
        <v>41630</v>
      </c>
      <c s="52" r="D486">
        <v>0.833333333333333</v>
      </c>
      <c s="27" r="E486">
        <v>1000</v>
      </c>
      <c s="27" r="F486"/>
      <c s="75" r="G486">
        <v>97</v>
      </c>
      <c s="27" r="H486">
        <v>67.39</v>
      </c>
      <c s="27" r="I486">
        <v>19.37</v>
      </c>
      <c s="27" r="J486">
        <v>6.64</v>
      </c>
      <c s="27" r="K486">
        <v>27.59</v>
      </c>
      <c s="59" r="L486">
        <f>SUM(G486:K486)</f>
        <v>217.99</v>
      </c>
      <c s="79" r="M486">
        <v>363.66</v>
      </c>
      <c s="79" r="N486">
        <v>931.41</v>
      </c>
      <c s="32" r="O486">
        <f>SUMIF(Sellables!$A$2:$A$11482, $A486, Sellables!$G$2:$G$11482)</f>
        <v>63.208</v>
      </c>
      <c s="32" r="P486">
        <f>SUMIF(Skills!$A$2:$A$9999, A486, Skills!$F$2:$F$9999)</f>
        <v>0</v>
      </c>
      <c s="14" r="Q486">
        <f>(N486+O486)+P486</f>
        <v>994.618</v>
      </c>
      <c s="23" r="R486">
        <f>(E486+L486)-M486</f>
        <v>854.33</v>
      </c>
      <c s="70" r="S486">
        <f>Q486-R486</f>
        <v>140.288</v>
      </c>
      <c s="29" r="T486">
        <f> (Q486/R486) - 1</f>
        <v>0.164208209942294</v>
      </c>
      <c s="70" r="U486">
        <f>R486/X486</f>
        <v>3.95523148148148</v>
      </c>
      <c s="70" r="V486">
        <f>Q486/X486</f>
        <v>4.60471296296296</v>
      </c>
      <c t="s" s="30" r="W486">
        <v>294</v>
      </c>
      <c s="30" r="X486">
        <v>216</v>
      </c>
      <c t="s" s="30" r="Y486">
        <v>295</v>
      </c>
      <c t="s" s="30" r="Z486">
        <v>42</v>
      </c>
      <c s="30" r="AA486">
        <v>0</v>
      </c>
      <c s="30" r="AB486">
        <v>0</v>
      </c>
      <c s="30" r="AC486">
        <v>4</v>
      </c>
      <c s="30" r="AD486">
        <v>0</v>
      </c>
      <c s="30" r="AE486"/>
      <c s="8" r="AF486">
        <f>(I486+J486)/R486</f>
        <v>0.030444910046469</v>
      </c>
      <c s="28" r="AG486">
        <f>G486/$X486</f>
        <v>0.449074074074074</v>
      </c>
      <c s="28" r="AH486">
        <f>H486/$X486</f>
        <v>0.311990740740741</v>
      </c>
      <c s="28" r="AI486">
        <f>I486/$X486</f>
        <v>0.089675925925926</v>
      </c>
      <c s="28" r="AJ486">
        <f>J486/$X486</f>
        <v>0.030740740740741</v>
      </c>
      <c s="28" r="AK486">
        <f>K486/$X486</f>
        <v>0.127731481481481</v>
      </c>
      <c s="30" r="AL486">
        <v>1</v>
      </c>
    </row>
    <row r="487">
      <c s="30" r="A487">
        <v>616</v>
      </c>
      <c t="s" s="30" r="B487">
        <v>38</v>
      </c>
      <c s="62" r="C487">
        <v>41630</v>
      </c>
      <c s="52" r="D487">
        <v>0.979166666666667</v>
      </c>
      <c s="27" r="E487">
        <v>1000</v>
      </c>
      <c s="27" r="F487"/>
      <c s="75" r="G487">
        <f>740-675.75</f>
        <v>64.25</v>
      </c>
      <c s="27" r="H487">
        <f>44.86+7.93</f>
        <v>52.79</v>
      </c>
      <c s="27" r="I487">
        <f>26.19+4.95</f>
        <v>31.14</v>
      </c>
      <c s="27" r="J487">
        <f>5.67+0.78</f>
        <v>6.45</v>
      </c>
      <c s="27" r="K487">
        <v>20.15</v>
      </c>
      <c s="59" r="L487">
        <f>SUM(G487:K487)</f>
        <v>174.78</v>
      </c>
      <c s="79" r="M487">
        <v>418.89</v>
      </c>
      <c s="79" r="N487">
        <v>337.78</v>
      </c>
      <c s="32" r="O487">
        <f>SUMIF(Sellables!$A$2:$A$11482, $A487, Sellables!$G$2:$G$11482)</f>
        <v>46.662</v>
      </c>
      <c s="32" r="P487">
        <f>SUMIF(Skills!$A$2:$A$9999, A487, Skills!$F$2:$F$9999)</f>
        <v>0</v>
      </c>
      <c s="14" r="Q487">
        <f>(N487+O487)+P487</f>
        <v>384.442</v>
      </c>
      <c s="23" r="R487">
        <f>(E487+L487)-M487</f>
        <v>755.89</v>
      </c>
      <c s="70" r="S487">
        <f>Q487-R487</f>
        <v>-371.448</v>
      </c>
      <c s="29" r="T487">
        <f> (Q487/R487) - 1</f>
        <v>-0.491404834036698</v>
      </c>
      <c t="str" s="70" r="U487">
        <f>R487/X487</f>
        <v>#DIV/0!:divZero</v>
      </c>
      <c t="str" s="70" r="V487">
        <f>Q487/X487</f>
        <v>#DIV/0!:divZero</v>
      </c>
      <c t="s" s="30" r="W487">
        <v>293</v>
      </c>
      <c s="30" r="X487">
        <v>0</v>
      </c>
      <c t="s" s="30" r="Y487">
        <v>292</v>
      </c>
      <c t="s" s="30" r="Z487">
        <v>54</v>
      </c>
      <c s="30" r="AA487">
        <v>-7</v>
      </c>
      <c s="30" r="AB487">
        <v>1</v>
      </c>
      <c s="30" r="AC487">
        <v>0</v>
      </c>
      <c s="30" r="AD487">
        <v>0</v>
      </c>
      <c s="30" r="AE487"/>
      <c s="8" r="AF487">
        <f>(I487+J487)/R487</f>
        <v>0.049729457989919</v>
      </c>
      <c t="str" s="28" r="AG487">
        <f>G487/$X487</f>
        <v>#DIV/0!:divZero</v>
      </c>
      <c t="str" s="28" r="AH487">
        <f>H487/$X487</f>
        <v>#DIV/0!:divZero</v>
      </c>
      <c t="str" s="28" r="AI487">
        <f>I487/$X487</f>
        <v>#DIV/0!:divZero</v>
      </c>
      <c t="str" s="28" r="AJ487">
        <f>J487/$X487</f>
        <v>#DIV/0!:divZero</v>
      </c>
      <c t="str" s="28" r="AK487">
        <f>K487/$X487</f>
        <v>#DIV/0!:divZero</v>
      </c>
      <c s="30" r="AL487">
        <v>1</v>
      </c>
    </row>
    <row r="488">
      <c s="30" r="A488">
        <v>617</v>
      </c>
      <c t="s" s="30" r="B488">
        <v>38</v>
      </c>
      <c s="62" r="C488">
        <v>41631</v>
      </c>
      <c s="52" r="D488">
        <v>0.041666666666667</v>
      </c>
      <c s="27" r="E488">
        <v>1000</v>
      </c>
      <c s="27" r="F488"/>
      <c s="75" r="G488">
        <v>92.35</v>
      </c>
      <c s="27" r="H488">
        <f>48.72+13.79</f>
        <v>62.51</v>
      </c>
      <c s="27" r="I488">
        <v>14.3</v>
      </c>
      <c s="27" r="J488">
        <v>6.28</v>
      </c>
      <c s="27" r="K488">
        <v>26.33</v>
      </c>
      <c s="59" r="L488">
        <f>SUM(G488:K488)</f>
        <v>201.77</v>
      </c>
      <c s="79" r="M488">
        <v>359.94</v>
      </c>
      <c s="79" r="N488">
        <v>516.82</v>
      </c>
      <c s="32" r="O488">
        <f>SUMIF(Sellables!$A$2:$A$11482, $A488, Sellables!$G$2:$G$11482)</f>
        <v>0</v>
      </c>
      <c s="32" r="P488">
        <f>SUMIF(Skills!$A$2:$A$9999, A488, Skills!$F$2:$F$9999)</f>
        <v>0</v>
      </c>
      <c s="14" r="Q488">
        <f>(N488+O488)+P488</f>
        <v>516.82</v>
      </c>
      <c s="23" r="R488">
        <f>(E488+L488)-M488</f>
        <v>841.83</v>
      </c>
      <c s="70" r="S488">
        <f>Q488-R488</f>
        <v>-325.01</v>
      </c>
      <c s="29" r="T488">
        <f> (Q488/R488) - 1</f>
        <v>-0.386075573453072</v>
      </c>
      <c s="70" r="U488">
        <f>R488/X488</f>
        <v>4.04725961538462</v>
      </c>
      <c s="70" r="V488">
        <f>Q488/X488</f>
        <v>2.48471153846154</v>
      </c>
      <c t="s" s="30" r="W488">
        <v>294</v>
      </c>
      <c s="30" r="X488">
        <v>208</v>
      </c>
      <c t="s" s="30" r="Y488">
        <v>295</v>
      </c>
      <c t="s" s="30" r="Z488">
        <v>42</v>
      </c>
      <c s="30" r="AA488">
        <v>0</v>
      </c>
      <c s="30" r="AB488">
        <v>0</v>
      </c>
      <c s="30" r="AC488">
        <v>0</v>
      </c>
      <c s="30" r="AD488">
        <v>0</v>
      </c>
      <c s="30" r="AE488"/>
      <c s="8" r="AF488">
        <f>(I488+J488)/R488</f>
        <v>0.024446741028474</v>
      </c>
      <c s="28" r="AG488">
        <f>G488/$X488</f>
        <v>0.443990384615385</v>
      </c>
      <c s="28" r="AH488">
        <f>H488/$X488</f>
        <v>0.300528846153846</v>
      </c>
      <c s="28" r="AI488">
        <f>I488/$X488</f>
        <v>0.06875</v>
      </c>
      <c s="28" r="AJ488">
        <f>J488/$X488</f>
        <v>0.030192307692308</v>
      </c>
      <c s="28" r="AK488">
        <f>K488/$X488</f>
        <v>0.126586538461538</v>
      </c>
      <c s="30" r="AL488">
        <v>1</v>
      </c>
    </row>
    <row r="489">
      <c s="30" r="A489">
        <v>619</v>
      </c>
      <c t="s" s="30" r="B489">
        <v>38</v>
      </c>
      <c s="62" r="C489">
        <v>41631</v>
      </c>
      <c s="52" r="D489">
        <v>0.5</v>
      </c>
      <c s="27" r="E489">
        <v>500</v>
      </c>
      <c s="27" r="F489"/>
      <c s="75" r="G489">
        <v>35</v>
      </c>
      <c s="27" r="H489">
        <v>31.25</v>
      </c>
      <c s="27" r="I489">
        <v>13.75</v>
      </c>
      <c s="27" r="J489">
        <v>4.4</v>
      </c>
      <c s="27" r="K489">
        <v>12.34</v>
      </c>
      <c s="59" r="L489">
        <f>SUM(G489:K489)</f>
        <v>96.74</v>
      </c>
      <c s="79" r="M489">
        <v>180.73</v>
      </c>
      <c s="79" r="N489">
        <v>252.21</v>
      </c>
      <c s="32" r="O489">
        <f>SUMIF(Sellables!$A$2:$A$11482, $A489, Sellables!$G$2:$G$11482)</f>
        <v>0</v>
      </c>
      <c s="32" r="P489">
        <f>SUMIF(Skills!$A$2:$A$9999, A489, Skills!$F$2:$F$9999)</f>
        <v>0</v>
      </c>
      <c s="14" r="Q489">
        <f>(N489+O489)+P489</f>
        <v>252.21</v>
      </c>
      <c s="23" r="R489">
        <f>(E489+L489)-M489</f>
        <v>416.01</v>
      </c>
      <c s="70" r="S489">
        <f>Q489-R489</f>
        <v>-163.8</v>
      </c>
      <c s="29" r="T489">
        <f> (Q489/R489) - 1</f>
        <v>-0.393740535083291</v>
      </c>
      <c t="str" s="70" r="U489">
        <f>R489/X489</f>
        <v>#DIV/0!:divZero</v>
      </c>
      <c t="str" s="70" r="V489">
        <f>Q489/X489</f>
        <v>#DIV/0!:divZero</v>
      </c>
      <c t="s" s="30" r="W489">
        <v>293</v>
      </c>
      <c s="30" r="X489">
        <v>0</v>
      </c>
      <c t="s" s="30" r="Y489">
        <v>292</v>
      </c>
      <c t="s" s="30" r="Z489">
        <v>54</v>
      </c>
      <c s="30" r="AA489">
        <v>-7</v>
      </c>
      <c s="30" r="AB489">
        <v>1</v>
      </c>
      <c s="30" r="AC489">
        <v>1</v>
      </c>
      <c s="30" r="AD489">
        <v>0</v>
      </c>
      <c s="30" r="AE489"/>
      <c s="8" r="AF489">
        <f>(I489+J489)/R489</f>
        <v>0.043628758924064</v>
      </c>
      <c t="str" s="28" r="AG489">
        <f>G489/$X489</f>
        <v>#DIV/0!:divZero</v>
      </c>
      <c t="str" s="28" r="AH489">
        <f>H489/$X489</f>
        <v>#DIV/0!:divZero</v>
      </c>
      <c t="str" s="28" r="AI489">
        <f>I489/$X489</f>
        <v>#DIV/0!:divZero</v>
      </c>
      <c t="str" s="28" r="AJ489">
        <f>J489/$X489</f>
        <v>#DIV/0!:divZero</v>
      </c>
      <c t="str" s="28" r="AK489">
        <f>K489/$X489</f>
        <v>#DIV/0!:divZero</v>
      </c>
      <c s="30" r="AL489">
        <v>1</v>
      </c>
    </row>
    <row r="490">
      <c s="30" r="A490">
        <v>624</v>
      </c>
      <c t="s" s="30" r="B490">
        <v>38</v>
      </c>
      <c s="62" r="C490">
        <v>41631</v>
      </c>
      <c s="52" r="D490">
        <v>0.677083333333333</v>
      </c>
      <c s="27" r="E490">
        <v>1000</v>
      </c>
      <c s="27" r="F490"/>
      <c s="75" r="G490">
        <f>727.46-631.50</f>
        <v>95.96</v>
      </c>
      <c s="27" r="H490">
        <f>48.46+16.19</f>
        <v>64.65</v>
      </c>
      <c s="27" r="I490">
        <v>15.03</v>
      </c>
      <c s="27" r="J490">
        <v>7.08</v>
      </c>
      <c s="27" r="K490">
        <v>27.59</v>
      </c>
      <c s="59" r="L490">
        <f>SUM(G490:K490)</f>
        <v>210.31</v>
      </c>
      <c s="79" r="M490">
        <v>347.12</v>
      </c>
      <c s="79" r="N490">
        <v>556.59</v>
      </c>
      <c s="32" r="O490">
        <f>SUMIF(Sellables!$A$2:$A$11482, $A490, Sellables!$G$2:$G$11482)</f>
        <v>0</v>
      </c>
      <c s="32" r="P490">
        <f>SUMIF(Skills!$A$2:$A$9999, A490, Skills!$F$2:$F$9999)</f>
        <v>0</v>
      </c>
      <c s="14" r="Q490">
        <f>(N490+O490)+P490</f>
        <v>556.59</v>
      </c>
      <c s="23" r="R490">
        <f>(E490+L490)-M490</f>
        <v>863.19</v>
      </c>
      <c s="70" r="S490">
        <f>Q490-R490</f>
        <v>-306.6</v>
      </c>
      <c s="29" r="T490">
        <f> (Q490/R490) - 1</f>
        <v>-0.355194105585097</v>
      </c>
      <c s="70" r="U490">
        <f>R490/X490</f>
        <v>3.97783410138249</v>
      </c>
      <c s="70" r="V490">
        <f>Q490/X490</f>
        <v>2.56493087557604</v>
      </c>
      <c t="s" s="30" r="W490">
        <v>294</v>
      </c>
      <c s="30" r="X490">
        <v>217</v>
      </c>
      <c t="s" s="30" r="Y490">
        <v>295</v>
      </c>
      <c t="s" s="30" r="Z490">
        <v>42</v>
      </c>
      <c s="30" r="AA490">
        <v>0</v>
      </c>
      <c s="30" r="AB490">
        <v>0</v>
      </c>
      <c s="30" r="AC490">
        <v>1</v>
      </c>
      <c s="30" r="AD490">
        <v>0</v>
      </c>
      <c s="30" r="AE490"/>
      <c s="8" r="AF490">
        <f>(I490+J490)/R490</f>
        <v>0.025614291175755</v>
      </c>
      <c s="28" r="AG490">
        <f>G490/$X490</f>
        <v>0.44221198156682</v>
      </c>
      <c s="28" r="AH490">
        <f>H490/$X490</f>
        <v>0.297926267281106</v>
      </c>
      <c s="28" r="AI490">
        <f>I490/$X490</f>
        <v>0.06926267281106</v>
      </c>
      <c s="28" r="AJ490">
        <f>J490/$X490</f>
        <v>0.032626728110599</v>
      </c>
      <c s="28" r="AK490">
        <f>K490/$X490</f>
        <v>0.127142857142857</v>
      </c>
      <c s="30" r="AL490">
        <v>1</v>
      </c>
    </row>
    <row r="491">
      <c s="30" r="A491">
        <v>625</v>
      </c>
      <c t="s" s="30" r="B491">
        <v>38</v>
      </c>
      <c s="62" r="C491">
        <v>41631</v>
      </c>
      <c s="52" r="D491">
        <v>0.916666666666667</v>
      </c>
      <c s="27" r="E491">
        <v>1000</v>
      </c>
      <c s="27" r="F491"/>
      <c s="75" r="G491">
        <f>631.50-553.37</f>
        <v>78.13</v>
      </c>
      <c s="27" r="H491">
        <v>53.04</v>
      </c>
      <c s="27" r="I491">
        <v>39.68</v>
      </c>
      <c s="27" r="J491">
        <v>7.3</v>
      </c>
      <c s="27" r="K491">
        <v>20.41</v>
      </c>
      <c s="59" r="L491">
        <f>SUM(G491:K491)</f>
        <v>198.56</v>
      </c>
      <c s="79" r="M491">
        <v>441.85</v>
      </c>
      <c s="79" r="N491">
        <v>478.2</v>
      </c>
      <c s="32" r="O491">
        <f>SUMIF(Sellables!$A$2:$A$11482, $A491, Sellables!$G$2:$G$11482)</f>
        <v>43.775</v>
      </c>
      <c s="32" r="P491">
        <f>SUMIF(Skills!$A$2:$A$9999, A491, Skills!$F$2:$F$9999)</f>
        <v>0</v>
      </c>
      <c s="14" r="Q491">
        <f>(N491+O491)+P491</f>
        <v>521.975</v>
      </c>
      <c s="23" r="R491">
        <f>(E491+L491)-M491</f>
        <v>756.71</v>
      </c>
      <c s="70" r="S491">
        <f>Q491-R491</f>
        <v>-234.735</v>
      </c>
      <c s="29" r="T491">
        <f> (Q491/R491) - 1</f>
        <v>-0.310204701933369</v>
      </c>
      <c t="str" s="70" r="U491">
        <f>R491/X491</f>
        <v>#DIV/0!:divZero</v>
      </c>
      <c t="str" s="70" r="V491">
        <f>Q491/X491</f>
        <v>#DIV/0!:divZero</v>
      </c>
      <c t="s" s="30" r="W491">
        <v>293</v>
      </c>
      <c s="30" r="X491">
        <v>0</v>
      </c>
      <c t="s" s="30" r="Y491">
        <v>292</v>
      </c>
      <c t="s" s="30" r="Z491">
        <v>54</v>
      </c>
      <c s="30" r="AA491">
        <v>-7</v>
      </c>
      <c s="30" r="AB491">
        <v>0</v>
      </c>
      <c s="30" r="AC491">
        <v>3</v>
      </c>
      <c s="30" r="AD491">
        <v>0</v>
      </c>
      <c s="30" r="AE491"/>
      <c s="8" r="AF491">
        <f>(I491+J491)/R491</f>
        <v>0.062084550223996</v>
      </c>
      <c t="str" s="28" r="AG491">
        <f>G491/$X491</f>
        <v>#DIV/0!:divZero</v>
      </c>
      <c t="str" s="28" r="AH491">
        <f>H491/$X491</f>
        <v>#DIV/0!:divZero</v>
      </c>
      <c t="str" s="28" r="AI491">
        <f>I491/$X491</f>
        <v>#DIV/0!:divZero</v>
      </c>
      <c t="str" s="28" r="AJ491">
        <f>J491/$X491</f>
        <v>#DIV/0!:divZero</v>
      </c>
      <c t="str" s="28" r="AK491">
        <f>K491/$X491</f>
        <v>#DIV/0!:divZero</v>
      </c>
      <c s="30" r="AL491">
        <v>1</v>
      </c>
    </row>
    <row r="492">
      <c s="30" r="A492">
        <v>626</v>
      </c>
      <c t="s" s="30" r="B492">
        <v>38</v>
      </c>
      <c s="62" r="C492">
        <v>41631</v>
      </c>
      <c s="52" r="D492">
        <v>0.972222222222222</v>
      </c>
      <c s="27" r="E492">
        <v>1000</v>
      </c>
      <c s="27" r="F492"/>
      <c s="75" r="G492">
        <v>96.33</v>
      </c>
      <c s="27" r="H492">
        <f>48.52+16.52</f>
        <v>65.04</v>
      </c>
      <c s="27" r="I492">
        <v>13.26</v>
      </c>
      <c s="27" r="J492">
        <v>5.49</v>
      </c>
      <c s="27" r="K492">
        <v>28.09</v>
      </c>
      <c s="59" r="L492">
        <f>SUM(G492:K492)</f>
        <v>208.21</v>
      </c>
      <c s="79" r="M492">
        <v>363.79</v>
      </c>
      <c s="79" r="N492">
        <v>828.18</v>
      </c>
      <c s="32" r="O492">
        <f>SUMIF(Sellables!$A$2:$A$11482, $A492, Sellables!$G$2:$G$11482)</f>
        <v>0</v>
      </c>
      <c s="32" r="P492">
        <f>SUMIF(Skills!$A$2:$A$9999, A492, Skills!$F$2:$F$9999)</f>
        <v>0</v>
      </c>
      <c s="14" r="Q492">
        <f>(N492+O492)+P492</f>
        <v>828.18</v>
      </c>
      <c s="23" r="R492">
        <f>(E492+L492)-M492</f>
        <v>844.42</v>
      </c>
      <c s="70" r="S492">
        <f>Q492-R492</f>
        <v>-16.2400000000001</v>
      </c>
      <c s="29" r="T492">
        <f> (Q492/R492) - 1</f>
        <v>-0.019232135667085</v>
      </c>
      <c s="70" r="U492">
        <f>R492/X492</f>
        <v>3.83827272727273</v>
      </c>
      <c s="70" r="V492">
        <f>Q492/X492</f>
        <v>3.76445454545454</v>
      </c>
      <c t="s" s="30" r="W492">
        <v>294</v>
      </c>
      <c s="30" r="X492">
        <v>220</v>
      </c>
      <c t="s" s="30" r="Y492">
        <v>295</v>
      </c>
      <c t="s" s="30" r="Z492">
        <v>42</v>
      </c>
      <c s="30" r="AA492">
        <v>0</v>
      </c>
      <c s="30" r="AB492">
        <v>0</v>
      </c>
      <c s="30" r="AC492">
        <v>3</v>
      </c>
      <c s="30" r="AD492">
        <v>0</v>
      </c>
      <c s="30" r="AE492"/>
      <c s="8" r="AF492">
        <f>(I492+J492)/R492</f>
        <v>0.022204590132872</v>
      </c>
      <c s="28" r="AG492">
        <f>G492/$X492</f>
        <v>0.437863636363636</v>
      </c>
      <c s="28" r="AH492">
        <f>H492/$X492</f>
        <v>0.295636363636364</v>
      </c>
      <c s="28" r="AI492">
        <f>I492/$X492</f>
        <v>0.060272727272727</v>
      </c>
      <c s="28" r="AJ492">
        <f>J492/$X492</f>
        <v>0.024954545454546</v>
      </c>
      <c s="28" r="AK492">
        <f>K492/$X492</f>
        <v>0.127681818181818</v>
      </c>
      <c s="30" r="AL492">
        <v>1</v>
      </c>
    </row>
    <row r="493">
      <c s="30" r="A493">
        <v>635</v>
      </c>
      <c t="s" s="30" r="B493">
        <v>38</v>
      </c>
      <c s="62" r="C493">
        <v>41633</v>
      </c>
      <c s="52" r="D493">
        <v>0.927083333333333</v>
      </c>
      <c s="27" r="E493">
        <v>0</v>
      </c>
      <c s="27" r="F493"/>
      <c s="75" r="G493">
        <v>158.04</v>
      </c>
      <c s="27" r="H493">
        <v>1.33</v>
      </c>
      <c s="27" r="I493">
        <v>5.67</v>
      </c>
      <c s="27" r="J493">
        <v>6.16</v>
      </c>
      <c s="27" r="K493">
        <v>0.12</v>
      </c>
      <c s="59" r="L493">
        <f>SUM(G493:K493)</f>
        <v>171.32</v>
      </c>
      <c s="79" r="M493">
        <v>0</v>
      </c>
      <c s="79" r="N493">
        <v>77.21</v>
      </c>
      <c s="32" r="O493">
        <f>SUMIF(Sellables!$A$2:$A$11482, $A493, Sellables!$G$2:$G$11482)</f>
        <v>57.0216</v>
      </c>
      <c s="32" r="P493">
        <f>SUMIF(Skills!$A$2:$A$9999, A493, Skills!$F$2:$F$9999)</f>
        <v>0</v>
      </c>
      <c s="14" r="Q493">
        <f>(N493+O493)+P493</f>
        <v>134.2316</v>
      </c>
      <c s="23" r="R493">
        <f>(E493+L493)-M493</f>
        <v>171.32</v>
      </c>
      <c s="70" r="S493">
        <f>Q493-R493</f>
        <v>-37.0884</v>
      </c>
      <c s="29" r="T493">
        <f> (Q493/R493) - 1</f>
        <v>-0.216486107868316</v>
      </c>
      <c t="str" s="70" r="U493">
        <f>R493/X493</f>
        <v>#DIV/0!:divZero</v>
      </c>
      <c t="str" s="70" r="V493">
        <f>Q493/X493</f>
        <v>#DIV/0!:divZero</v>
      </c>
      <c t="s" s="30" r="W493">
        <v>99</v>
      </c>
      <c s="30" r="X493">
        <v>0</v>
      </c>
      <c t="s" s="30" r="Y493">
        <v>41</v>
      </c>
      <c t="s" s="30" r="Z493">
        <v>42</v>
      </c>
      <c s="30" r="AA493">
        <v>0</v>
      </c>
      <c s="30" r="AB493">
        <v>0</v>
      </c>
      <c s="30" r="AC493">
        <v>0</v>
      </c>
      <c s="30" r="AD493">
        <v>0</v>
      </c>
      <c s="30" r="AE493"/>
      <c s="8" r="AF493">
        <f>(I493+J493)/R493</f>
        <v>0.069052066308662</v>
      </c>
      <c t="str" s="28" r="AG493">
        <f>G493/$X493</f>
        <v>#DIV/0!:divZero</v>
      </c>
      <c t="str" s="28" r="AH493">
        <f>H493/$X493</f>
        <v>#DIV/0!:divZero</v>
      </c>
      <c t="str" s="28" r="AI493">
        <f>I493/$X493</f>
        <v>#DIV/0!:divZero</v>
      </c>
      <c t="str" s="28" r="AJ493">
        <f>J493/$X493</f>
        <v>#DIV/0!:divZero</v>
      </c>
      <c t="str" s="28" r="AK493">
        <f>K493/$X493</f>
        <v>#DIV/0!:divZero</v>
      </c>
      <c s="30" r="AL493">
        <v>1</v>
      </c>
    </row>
    <row r="494">
      <c s="30" r="A494">
        <v>637</v>
      </c>
      <c t="s" s="30" r="B494">
        <v>38</v>
      </c>
      <c s="62" r="C494">
        <v>41634</v>
      </c>
      <c s="52" r="D494">
        <v>0.017361111111111</v>
      </c>
      <c s="27" r="E494">
        <v>1000</v>
      </c>
      <c s="27" r="F494"/>
      <c s="75" r="G494">
        <f>644.91-602.84</f>
        <v>42.0699999999999</v>
      </c>
      <c s="27" r="H494">
        <v>37.23</v>
      </c>
      <c s="27" r="I494">
        <v>1.26</v>
      </c>
      <c s="27" r="J494">
        <v>0.63</v>
      </c>
      <c s="27" r="K494">
        <v>0</v>
      </c>
      <c s="59" r="L494">
        <f>SUM(G494:K494)</f>
        <v>81.1899999999999</v>
      </c>
      <c s="79" r="M494">
        <v>756.62</v>
      </c>
      <c s="79" r="N494">
        <v>174.72</v>
      </c>
      <c s="32" r="O494">
        <f>SUMIF(Sellables!$A$2:$A$11482, $A494, Sellables!$G$2:$G$11482)</f>
        <v>0</v>
      </c>
      <c s="32" r="P494">
        <f>SUMIF(Skills!$A$2:$A$9999, A494, Skills!$F$2:$F$9999)</f>
        <v>0</v>
      </c>
      <c s="14" r="Q494">
        <f>(N494+O494)+P494</f>
        <v>174.72</v>
      </c>
      <c s="23" r="R494">
        <f>(E494+L494)-M494</f>
        <v>324.57</v>
      </c>
      <c s="70" r="S494">
        <f>Q494-R494</f>
        <v>-149.85</v>
      </c>
      <c s="29" r="T494">
        <f> (Q494/R494) - 1</f>
        <v>-0.461687771513079</v>
      </c>
      <c t="str" s="70" r="U494">
        <f>R494/X494</f>
        <v>#DIV/0!:divZero</v>
      </c>
      <c t="str" s="70" r="V494">
        <f>Q494/X494</f>
        <v>#DIV/0!:divZero</v>
      </c>
      <c t="s" s="30" r="W494">
        <v>296</v>
      </c>
      <c s="30" r="X494">
        <v>0</v>
      </c>
      <c t="s" s="30" r="Y494">
        <v>295</v>
      </c>
      <c t="s" s="30" r="Z494">
        <v>42</v>
      </c>
      <c s="30" r="AA494">
        <v>0</v>
      </c>
      <c s="30" r="AB494">
        <v>0</v>
      </c>
      <c s="30" r="AC494">
        <v>0</v>
      </c>
      <c s="30" r="AD494">
        <v>0</v>
      </c>
      <c s="30" r="AE494"/>
      <c s="8" r="AF494">
        <f>(I494+J494)/R494</f>
        <v>0.005823089010075</v>
      </c>
      <c t="str" s="28" r="AG494">
        <f>G494/$X494</f>
        <v>#DIV/0!:divZero</v>
      </c>
      <c t="str" s="28" r="AH494">
        <f>H494/$X494</f>
        <v>#DIV/0!:divZero</v>
      </c>
      <c t="str" s="28" r="AI494">
        <f>I494/$X494</f>
        <v>#DIV/0!:divZero</v>
      </c>
      <c t="str" s="28" r="AJ494">
        <f>J494/$X494</f>
        <v>#DIV/0!:divZero</v>
      </c>
      <c t="str" s="28" r="AK494">
        <f>K494/$X494</f>
        <v>#DIV/0!:divZero</v>
      </c>
      <c s="30" r="AL494">
        <v>1</v>
      </c>
    </row>
    <row r="495">
      <c s="30" r="A495">
        <v>638</v>
      </c>
      <c t="s" s="30" r="B495">
        <v>38</v>
      </c>
      <c s="62" r="C495">
        <v>41634</v>
      </c>
      <c s="52" r="D495">
        <v>0.538194444444444</v>
      </c>
      <c s="27" r="E495">
        <v>1000</v>
      </c>
      <c s="27" r="F495"/>
      <c s="75" r="G495">
        <f>(839.25-740.47)+0.09</f>
        <v>98.87</v>
      </c>
      <c s="27" r="H495">
        <f>47.33+19.53</f>
        <v>66.86</v>
      </c>
      <c s="27" r="I495">
        <v>14.45</v>
      </c>
      <c s="27" r="J495">
        <v>5.46</v>
      </c>
      <c s="27" r="K495">
        <v>27.46</v>
      </c>
      <c s="59" r="L495">
        <f>SUM(G495:K495)</f>
        <v>213.1</v>
      </c>
      <c s="79" r="M495">
        <v>317.03</v>
      </c>
      <c s="79" r="N495">
        <v>674.31</v>
      </c>
      <c s="32" r="O495">
        <f>SUMIF(Sellables!$A$2:$A$11482, $A495, Sellables!$G$2:$G$11482)</f>
        <v>0</v>
      </c>
      <c s="32" r="P495">
        <f>SUMIF(Skills!$A$2:$A$9999, A495, Skills!$F$2:$F$9999)</f>
        <v>0</v>
      </c>
      <c s="14" r="Q495">
        <f>(N495+O495)+P495</f>
        <v>674.31</v>
      </c>
      <c s="23" r="R495">
        <f>(E495+L495)-M495</f>
        <v>896.07</v>
      </c>
      <c s="70" r="S495">
        <f>Q495-R495</f>
        <v>-221.76</v>
      </c>
      <c s="29" r="T495">
        <f> (Q495/R495) - 1</f>
        <v>-0.247480665573002</v>
      </c>
      <c s="70" r="U495">
        <f>R495/X495</f>
        <v>4.0003125</v>
      </c>
      <c s="70" r="V495">
        <f>Q495/X495</f>
        <v>3.0103125</v>
      </c>
      <c t="s" s="30" r="W495">
        <v>294</v>
      </c>
      <c s="30" r="X495">
        <v>224</v>
      </c>
      <c t="s" s="30" r="Y495">
        <v>295</v>
      </c>
      <c t="s" s="30" r="Z495">
        <v>42</v>
      </c>
      <c s="30" r="AA495">
        <v>0</v>
      </c>
      <c s="30" r="AB495">
        <v>0</v>
      </c>
      <c s="30" r="AC495">
        <v>1</v>
      </c>
      <c s="30" r="AD495">
        <v>0</v>
      </c>
      <c s="30" r="AE495"/>
      <c s="8" r="AF495">
        <f>(I495+J495)/R495</f>
        <v>0.022219246264243</v>
      </c>
      <c s="28" r="AG495">
        <f>G495/$X495</f>
        <v>0.441383928571428</v>
      </c>
      <c s="28" r="AH495">
        <f>H495/$X495</f>
        <v>0.298482142857143</v>
      </c>
      <c s="28" r="AI495">
        <f>I495/$X495</f>
        <v>0.064508928571429</v>
      </c>
      <c s="28" r="AJ495">
        <f>J495/$X495</f>
        <v>0.024375</v>
      </c>
      <c s="28" r="AK495">
        <f>K495/$X495</f>
        <v>0.122589285714286</v>
      </c>
      <c s="30" r="AL495">
        <v>1</v>
      </c>
    </row>
    <row r="496">
      <c s="30" r="A496">
        <v>641</v>
      </c>
      <c t="s" s="30" r="B496">
        <v>38</v>
      </c>
      <c s="62" r="C496">
        <v>41634</v>
      </c>
      <c s="52" r="D496">
        <v>0.125</v>
      </c>
      <c s="27" r="E496">
        <v>1000</v>
      </c>
      <c s="27" r="F496"/>
      <c s="75" r="G496">
        <f>(740.07-646.80)+0.1</f>
        <v>93.3700000000001</v>
      </c>
      <c s="27" r="H496">
        <f>57.33+8.09</f>
        <v>65.42</v>
      </c>
      <c s="27" r="I496">
        <v>16.3</v>
      </c>
      <c s="27" r="J496">
        <v>6.08</v>
      </c>
      <c s="27" r="K496">
        <v>22.3</v>
      </c>
      <c s="59" r="L496">
        <f>SUM(G496:K496)</f>
        <v>203.47</v>
      </c>
      <c s="79" r="M496">
        <v>356.11</v>
      </c>
      <c s="79" r="N496">
        <v>529.04</v>
      </c>
      <c s="32" r="O496">
        <f>SUMIF(Sellables!$A$2:$A$11482, $A496, Sellables!$G$2:$G$11482)</f>
        <v>0</v>
      </c>
      <c s="32" r="P496">
        <f>SUMIF(Skills!$A$2:$A$9999, A496, Skills!$F$2:$F$9999)</f>
        <v>0</v>
      </c>
      <c s="14" r="Q496">
        <f>(N496+O496)+P496</f>
        <v>529.04</v>
      </c>
      <c s="23" r="R496">
        <f>(E496+L496)-M496</f>
        <v>847.36</v>
      </c>
      <c s="70" r="S496">
        <f>Q496-R496</f>
        <v>-318.32</v>
      </c>
      <c s="29" r="T496">
        <f> (Q496/R496) - 1</f>
        <v>-0.375660876132931</v>
      </c>
      <c s="70" r="U496">
        <f>R496/X496</f>
        <v>7.63387387387387</v>
      </c>
      <c s="70" r="V496">
        <f>Q496/X496</f>
        <v>4.76612612612613</v>
      </c>
      <c t="s" s="30" r="W496">
        <v>296</v>
      </c>
      <c s="30" r="X496">
        <v>111</v>
      </c>
      <c t="s" s="30" r="Y496">
        <v>295</v>
      </c>
      <c t="s" s="30" r="Z496">
        <v>42</v>
      </c>
      <c s="30" r="AA496">
        <v>0</v>
      </c>
      <c s="30" r="AB496">
        <v>0</v>
      </c>
      <c s="30" r="AC496">
        <v>1</v>
      </c>
      <c s="30" r="AD496">
        <v>0</v>
      </c>
      <c s="30" r="AE496"/>
      <c s="8" r="AF496">
        <f>(I496+J496)/R496</f>
        <v>0.026411442598187</v>
      </c>
      <c s="28" r="AG496">
        <f>G496/$X496</f>
        <v>0.841171171171172</v>
      </c>
      <c s="28" r="AH496">
        <f>H496/$X496</f>
        <v>0.589369369369369</v>
      </c>
      <c s="28" r="AI496">
        <f>I496/$X496</f>
        <v>0.146846846846847</v>
      </c>
      <c s="28" r="AJ496">
        <f>J496/$X496</f>
        <v>0.054774774774775</v>
      </c>
      <c s="28" r="AK496">
        <f>K496/$X496</f>
        <v>0.200900900900901</v>
      </c>
      <c s="30" r="AL496">
        <v>1</v>
      </c>
    </row>
    <row r="497">
      <c s="30" r="A497">
        <v>645</v>
      </c>
      <c t="s" s="30" r="B497">
        <v>38</v>
      </c>
      <c s="62" r="C497">
        <v>41634</v>
      </c>
      <c s="52" r="D497">
        <v>0.770833333333333</v>
      </c>
      <c s="27" r="E497">
        <v>1000</v>
      </c>
      <c s="27" r="F497"/>
      <c s="75" r="G497">
        <f>(646.80-521.71)+0.37</f>
        <v>125.46</v>
      </c>
      <c s="27" r="H497">
        <f>55.97+28.70</f>
        <v>84.67</v>
      </c>
      <c s="27" r="I497">
        <v>80.53</v>
      </c>
      <c s="27" r="J497">
        <v>23.71</v>
      </c>
      <c s="27" r="K497">
        <v>30.36</v>
      </c>
      <c s="59" r="L497">
        <f>SUM(G497:K497)</f>
        <v>344.73</v>
      </c>
      <c s="79" r="M497">
        <v>147.42</v>
      </c>
      <c s="79" r="N497">
        <f>165.86+576.31</f>
        <v>742.17</v>
      </c>
      <c s="32" r="O497">
        <f>SUMIF(Sellables!$A$2:$A$11482, $A497, Sellables!$G$2:$G$11482)</f>
        <v>666.3228</v>
      </c>
      <c s="32" r="P497">
        <f>SUMIF(Skills!$A$2:$A$9999, A497, Skills!$F$2:$F$9999)</f>
        <v>0</v>
      </c>
      <c s="14" r="Q497">
        <f>(N497+O497)+P497</f>
        <v>1408.4928</v>
      </c>
      <c s="23" r="R497">
        <f>(E497+L497)-M497</f>
        <v>1197.31</v>
      </c>
      <c s="70" r="S497">
        <f>Q497-R497</f>
        <v>211.1828</v>
      </c>
      <c s="29" r="T497">
        <f> (Q497/R497) - 1</f>
        <v>0.176381054196491</v>
      </c>
      <c s="70" r="U497">
        <f>R497/X497</f>
        <v>12.6032631578947</v>
      </c>
      <c s="70" r="V497">
        <f>Q497/X497</f>
        <v>14.82624</v>
      </c>
      <c t="s" s="30" r="W497">
        <v>237</v>
      </c>
      <c s="30" r="X497">
        <v>95</v>
      </c>
      <c t="s" s="30" r="Y497">
        <v>238</v>
      </c>
      <c t="s" s="30" r="Z497">
        <v>42</v>
      </c>
      <c s="30" r="AA497">
        <v>0</v>
      </c>
      <c s="30" r="AB497">
        <v>0</v>
      </c>
      <c s="30" r="AC497">
        <v>4</v>
      </c>
      <c s="30" r="AD497">
        <v>0</v>
      </c>
      <c s="30" r="AE497"/>
      <c s="8" r="AF497">
        <f>(I497+J497)/R497</f>
        <v>0.087061830269521</v>
      </c>
      <c s="28" r="AG497">
        <f>G497/$X497</f>
        <v>1.32063157894737</v>
      </c>
      <c s="28" r="AH497">
        <f>H497/$X497</f>
        <v>0.891263157894737</v>
      </c>
      <c s="28" r="AI497">
        <f>I497/$X497</f>
        <v>0.847684210526316</v>
      </c>
      <c s="28" r="AJ497">
        <f>J497/$X497</f>
        <v>0.249578947368421</v>
      </c>
      <c s="28" r="AK497">
        <f>K497/$X497</f>
        <v>0.319578947368421</v>
      </c>
      <c s="30" r="AL497">
        <v>1</v>
      </c>
    </row>
    <row r="498">
      <c s="30" r="A498">
        <v>646</v>
      </c>
      <c t="s" s="30" r="B498">
        <v>38</v>
      </c>
      <c s="62" r="C498">
        <v>41634</v>
      </c>
      <c s="52" r="D498">
        <v>0.836805555555556</v>
      </c>
      <c s="27" r="E498">
        <v>1000</v>
      </c>
      <c s="27" r="F498"/>
      <c s="75" r="G498">
        <f>(712-627.05)+0.16</f>
        <v>85.11</v>
      </c>
      <c s="27" r="H498">
        <v>57.45</v>
      </c>
      <c s="27" r="I498">
        <v>21.58</v>
      </c>
      <c s="27" r="J498">
        <v>16.44</v>
      </c>
      <c s="27" r="K498">
        <v>19.53</v>
      </c>
      <c s="59" r="L498">
        <f>SUM(G498:K498)</f>
        <v>200.11</v>
      </c>
      <c s="79" r="M498">
        <v>409.68</v>
      </c>
      <c s="79" r="N498">
        <v>845.89</v>
      </c>
      <c s="32" r="O498">
        <f>SUMIF(Sellables!$A$2:$A$11482, $A498, Sellables!$G$2:$G$11482)</f>
        <v>0</v>
      </c>
      <c s="32" r="P498">
        <f>SUMIF(Skills!$A$2:$A$9999, A498, Skills!$F$2:$F$9999)</f>
        <v>0</v>
      </c>
      <c s="14" r="Q498">
        <f>(N498+O498)+P498</f>
        <v>845.89</v>
      </c>
      <c s="23" r="R498">
        <f>(E498+L498)-M498</f>
        <v>790.43</v>
      </c>
      <c s="70" r="S498">
        <f>Q498-R498</f>
        <v>55.4599999999999</v>
      </c>
      <c s="29" r="T498">
        <f> (Q498/R498) - 1</f>
        <v>0.070164340928355</v>
      </c>
      <c s="70" r="U498">
        <f>R498/X498</f>
        <v>11.6239705882353</v>
      </c>
      <c s="70" r="V498">
        <f>Q498/X498</f>
        <v>12.4395588235294</v>
      </c>
      <c t="s" s="30" r="W498">
        <v>296</v>
      </c>
      <c s="30" r="X498">
        <v>68</v>
      </c>
      <c t="s" s="30" r="Y498">
        <v>295</v>
      </c>
      <c t="s" s="30" r="Z498">
        <v>42</v>
      </c>
      <c s="30" r="AA498">
        <v>0</v>
      </c>
      <c s="30" r="AB498">
        <v>0</v>
      </c>
      <c s="30" r="AC498">
        <v>3</v>
      </c>
      <c s="30" r="AD498">
        <v>0</v>
      </c>
      <c s="30" r="AE498"/>
      <c s="8" r="AF498">
        <f>(I498+J498)/R498</f>
        <v>0.048100401047531</v>
      </c>
      <c s="28" r="AG498">
        <f>G498/$X498</f>
        <v>1.25161764705882</v>
      </c>
      <c s="28" r="AH498">
        <f>H498/$X498</f>
        <v>0.844852941176471</v>
      </c>
      <c s="28" r="AI498">
        <f>I498/$X498</f>
        <v>0.317352941176471</v>
      </c>
      <c s="28" r="AJ498">
        <f>J498/$X498</f>
        <v>0.241764705882353</v>
      </c>
      <c s="28" r="AK498">
        <f>K498/$X498</f>
        <v>0.287205882352941</v>
      </c>
      <c s="30" r="AL498">
        <v>1</v>
      </c>
    </row>
    <row r="499">
      <c s="30" r="A499">
        <v>648</v>
      </c>
      <c t="s" s="30" r="B499">
        <v>38</v>
      </c>
      <c s="62" r="C499">
        <v>41634</v>
      </c>
      <c s="52" r="D499">
        <v>0.916666666666667</v>
      </c>
      <c s="27" r="E499">
        <v>0</v>
      </c>
      <c s="27" r="F499"/>
      <c s="75" r="G499">
        <v>154.56</v>
      </c>
      <c s="27" r="H499">
        <v>0</v>
      </c>
      <c s="27" r="I499">
        <v>2.41</v>
      </c>
      <c s="27" r="J499">
        <v>1.05</v>
      </c>
      <c s="27" r="K499">
        <v>0.21</v>
      </c>
      <c s="59" r="L499">
        <f>SUM(G499:K499)</f>
        <v>158.23</v>
      </c>
      <c s="79" r="M499">
        <v>0</v>
      </c>
      <c s="79" r="N499">
        <v>214.28</v>
      </c>
      <c s="32" r="O499">
        <f>SUMIF(Sellables!$A$2:$A$11482, $A499, Sellables!$G$2:$G$11482)</f>
        <v>0</v>
      </c>
      <c s="32" r="P499">
        <f>SUMIF(Skills!$A$2:$A$9999, A499, Skills!$F$2:$F$9999)</f>
        <v>0</v>
      </c>
      <c s="14" r="Q499">
        <f>(N499+O499)+P499</f>
        <v>214.28</v>
      </c>
      <c s="23" r="R499">
        <f>(E499+L499)-M499</f>
        <v>158.23</v>
      </c>
      <c s="70" r="S499">
        <f>Q499-R499</f>
        <v>56.05</v>
      </c>
      <c s="29" r="T499">
        <f> (Q499/R499) - 1</f>
        <v>0.354231182455919</v>
      </c>
      <c t="str" s="70" r="U499">
        <f>R499/X499</f>
        <v>#DIV/0!:divZero</v>
      </c>
      <c t="str" s="70" r="V499">
        <f>Q499/X499</f>
        <v>#DIV/0!:divZero</v>
      </c>
      <c t="s" s="30" r="W499">
        <v>297</v>
      </c>
      <c s="30" r="X499">
        <v>0</v>
      </c>
      <c t="s" s="30" r="Y499">
        <v>182</v>
      </c>
      <c t="s" s="30" r="Z499">
        <v>42</v>
      </c>
      <c s="30" r="AA499">
        <v>0</v>
      </c>
      <c s="30" r="AB499">
        <v>0</v>
      </c>
      <c s="30" r="AC499">
        <v>2</v>
      </c>
      <c s="30" r="AD499">
        <v>0</v>
      </c>
      <c s="30" r="AE499"/>
      <c s="8" r="AF499">
        <f>(I499+J499)/R499</f>
        <v>0.021866902610124</v>
      </c>
      <c t="str" s="28" r="AG499">
        <f>G499/$X499</f>
        <v>#DIV/0!:divZero</v>
      </c>
      <c t="str" s="28" r="AH499">
        <f>H499/$X499</f>
        <v>#DIV/0!:divZero</v>
      </c>
      <c t="str" s="28" r="AI499">
        <f>I499/$X499</f>
        <v>#DIV/0!:divZero</v>
      </c>
      <c t="str" s="28" r="AJ499">
        <f>J499/$X499</f>
        <v>#DIV/0!:divZero</v>
      </c>
      <c t="str" s="28" r="AK499">
        <f>K499/$X499</f>
        <v>#DIV/0!:divZero</v>
      </c>
      <c s="30" r="AL499">
        <v>1</v>
      </c>
    </row>
    <row r="500">
      <c s="30" r="A500">
        <v>658</v>
      </c>
      <c t="s" s="30" r="B500">
        <v>38</v>
      </c>
      <c s="62" r="C500">
        <v>41635</v>
      </c>
      <c s="52" r="D500">
        <v>0.53125</v>
      </c>
      <c s="27" r="E500">
        <v>1000</v>
      </c>
      <c s="27" r="F500"/>
      <c s="75" r="G500">
        <f>627.05-533.81</f>
        <v>93.24</v>
      </c>
      <c s="27" r="H500">
        <f>49.85+13.26</f>
        <v>63.11</v>
      </c>
      <c s="27" r="I500">
        <f>19.35+5.40</f>
        <v>24.75</v>
      </c>
      <c s="27" r="J500">
        <v>17.47</v>
      </c>
      <c s="27" r="K500">
        <v>22.93</v>
      </c>
      <c s="59" r="L500">
        <f>SUM(G500:K500)</f>
        <v>221.5</v>
      </c>
      <c s="79" r="M500">
        <v>349.97</v>
      </c>
      <c s="79" r="N500">
        <v>579.11</v>
      </c>
      <c s="32" r="O500">
        <f>SUMIF(Sellables!$A$2:$A$11482, $A500, Sellables!$G$2:$G$11482)</f>
        <v>454.360322</v>
      </c>
      <c s="32" r="P500">
        <f>SUMIF(Skills!$A$2:$A$9999, A500, Skills!$F$2:$F$9999)</f>
        <v>0</v>
      </c>
      <c s="14" r="Q500">
        <f>(N500+O500)+P500</f>
        <v>1033.470322</v>
      </c>
      <c s="23" r="R500">
        <f>(E500+L500)-M500</f>
        <v>871.53</v>
      </c>
      <c s="70" r="S500">
        <f>Q500-R500</f>
        <v>161.940322</v>
      </c>
      <c s="29" r="T500">
        <f> (Q500/R500) - 1</f>
        <v>0.185811529149886</v>
      </c>
      <c s="70" r="U500">
        <f>R500/X500</f>
        <v>11.7774324324324</v>
      </c>
      <c s="70" r="V500">
        <f>Q500/X500</f>
        <v>13.9658151621622</v>
      </c>
      <c t="s" s="30" r="W500">
        <v>296</v>
      </c>
      <c s="30" r="X500">
        <v>74</v>
      </c>
      <c t="s" s="30" r="Y500">
        <v>295</v>
      </c>
      <c t="s" s="30" r="Z500">
        <v>42</v>
      </c>
      <c s="30" r="AA500">
        <v>-13</v>
      </c>
      <c s="30" r="AB500">
        <v>0</v>
      </c>
      <c s="30" r="AC500">
        <v>4</v>
      </c>
      <c s="30" r="AD500">
        <v>0</v>
      </c>
      <c s="30" r="AE500"/>
      <c s="8" r="AF500">
        <f>(I500+J500)/R500</f>
        <v>0.048443541817264</v>
      </c>
      <c s="28" r="AG500">
        <f>G500/$X500</f>
        <v>1.26</v>
      </c>
      <c s="28" r="AH500">
        <f>H500/$X500</f>
        <v>0.852837837837838</v>
      </c>
      <c s="28" r="AI500">
        <f>I500/$X500</f>
        <v>0.33445945945946</v>
      </c>
      <c s="28" r="AJ500">
        <f>J500/$X500</f>
        <v>0.236081081081081</v>
      </c>
      <c s="28" r="AK500">
        <f>K500/$X500</f>
        <v>0.309864864864865</v>
      </c>
      <c s="30" r="AL500">
        <v>1</v>
      </c>
    </row>
    <row r="501">
      <c s="30" r="A501">
        <v>661</v>
      </c>
      <c t="s" s="30" r="B501">
        <v>38</v>
      </c>
      <c s="62" r="C501">
        <v>41635</v>
      </c>
      <c s="52" r="D501">
        <v>0.625</v>
      </c>
      <c s="27" r="E501">
        <v>1000</v>
      </c>
      <c s="27" r="F501"/>
      <c s="75" r="G501">
        <v>93.95</v>
      </c>
      <c s="27" r="H501">
        <v>58.21</v>
      </c>
      <c s="27" r="I501">
        <v>24.55</v>
      </c>
      <c s="27" r="J501">
        <v>10.85</v>
      </c>
      <c s="27" r="K501">
        <v>21.79</v>
      </c>
      <c s="59" r="L501">
        <f>SUM(G501:K501)</f>
        <v>209.35</v>
      </c>
      <c s="79" r="M501">
        <v>419.76</v>
      </c>
      <c s="79" r="N501">
        <v>670.14</v>
      </c>
      <c s="32" r="O501">
        <f>SUMIF(Sellables!$A$2:$A$11482, $A501, Sellables!$G$2:$G$11482)</f>
        <v>0</v>
      </c>
      <c s="32" r="P501">
        <f>SUMIF(Skills!$A$2:$A$9999, A501, Skills!$F$2:$F$9999)</f>
        <v>0</v>
      </c>
      <c s="14" r="Q501">
        <f>(N501+O501)+P501</f>
        <v>670.14</v>
      </c>
      <c s="23" r="R501">
        <f>(E501+L501)-M501</f>
        <v>789.59</v>
      </c>
      <c s="70" r="S501">
        <f>Q501-R501</f>
        <v>-119.45</v>
      </c>
      <c s="29" r="T501">
        <f> (Q501/R501) - 1</f>
        <v>-0.151281044592763</v>
      </c>
      <c s="70" r="U501">
        <f>R501/X501</f>
        <v>11.120985915493</v>
      </c>
      <c s="70" r="V501">
        <f>Q501/X501</f>
        <v>9.43859154929577</v>
      </c>
      <c t="s" s="30" r="W501">
        <v>296</v>
      </c>
      <c s="30" r="X501">
        <v>71</v>
      </c>
      <c t="s" s="30" r="Y501">
        <v>295</v>
      </c>
      <c t="s" s="30" r="Z501">
        <v>42</v>
      </c>
      <c s="30" r="AA501">
        <v>0</v>
      </c>
      <c s="30" r="AB501">
        <v>0</v>
      </c>
      <c s="30" r="AC501">
        <v>3</v>
      </c>
      <c s="30" r="AD501">
        <v>0</v>
      </c>
      <c s="30" r="AE501"/>
      <c s="8" r="AF501">
        <f>(I501+J501)/R501</f>
        <v>0.044833394546537</v>
      </c>
      <c s="28" r="AG501">
        <f>G501/$X501</f>
        <v>1.32323943661972</v>
      </c>
      <c s="28" r="AH501">
        <f>H501/$X501</f>
        <v>0.819859154929578</v>
      </c>
      <c s="28" r="AI501">
        <f>I501/$X501</f>
        <v>0.345774647887324</v>
      </c>
      <c s="28" r="AJ501">
        <f>J501/$X501</f>
        <v>0.152816901408451</v>
      </c>
      <c s="28" r="AK501">
        <f>K501/$X501</f>
        <v>0.306901408450704</v>
      </c>
      <c s="30" r="AL501">
        <v>1</v>
      </c>
    </row>
    <row r="502">
      <c s="30" r="A502">
        <v>662</v>
      </c>
      <c t="s" s="30" r="B502">
        <v>38</v>
      </c>
      <c s="62" r="C502">
        <v>41635</v>
      </c>
      <c s="52" r="D502">
        <v>0.625</v>
      </c>
      <c s="27" r="E502">
        <v>1000</v>
      </c>
      <c s="27" r="F502"/>
      <c s="75" r="G502">
        <v>33.24</v>
      </c>
      <c s="27" r="H502">
        <v>56</v>
      </c>
      <c s="27" r="I502">
        <v>58.97</v>
      </c>
      <c s="27" r="J502">
        <v>14.2</v>
      </c>
      <c s="27" r="K502">
        <v>22.46</v>
      </c>
      <c s="59" r="L502">
        <f>SUM(G502:K502)</f>
        <v>184.87</v>
      </c>
      <c s="79" r="M502">
        <v>439.46</v>
      </c>
      <c s="79" r="N502">
        <v>1117.45</v>
      </c>
      <c s="32" r="O502">
        <f>SUMIF(Sellables!$A$2:$A$11482, $A502, Sellables!$G$2:$G$11482)</f>
        <v>266.987392</v>
      </c>
      <c s="32" r="P502">
        <f>SUMIF(Skills!$A$2:$A$9999, A502, Skills!$F$2:$F$9999)</f>
        <v>0</v>
      </c>
      <c s="14" r="Q502">
        <f>(N502+O502)+P502</f>
        <v>1384.437392</v>
      </c>
      <c s="23" r="R502">
        <f>(E502+L502)-M502</f>
        <v>745.41</v>
      </c>
      <c s="70" r="S502">
        <f>Q502-R502</f>
        <v>639.027392</v>
      </c>
      <c s="29" r="T502">
        <f> (Q502/R502) - 1</f>
        <v>0.857283095209348</v>
      </c>
      <c s="70" r="U502">
        <f>R502/X502</f>
        <v>12.4235</v>
      </c>
      <c s="70" r="V502">
        <f>Q502/X502</f>
        <v>23.0739565333333</v>
      </c>
      <c t="s" s="30" r="W502">
        <v>237</v>
      </c>
      <c s="30" r="X502">
        <v>60</v>
      </c>
      <c t="s" s="30" r="Y502">
        <v>238</v>
      </c>
      <c t="s" s="30" r="Z502">
        <v>42</v>
      </c>
      <c s="30" r="AA502">
        <v>-35</v>
      </c>
      <c s="30" r="AB502">
        <v>0</v>
      </c>
      <c s="30" r="AC502">
        <v>4</v>
      </c>
      <c s="30" r="AD502">
        <v>0</v>
      </c>
      <c s="30" r="AE502"/>
      <c s="8" r="AF502">
        <f>(I502+J502)/R502</f>
        <v>0.098160743751761</v>
      </c>
      <c s="28" r="AG502">
        <f>G502/$X502</f>
        <v>0.554</v>
      </c>
      <c s="28" r="AH502">
        <f>H502/$X502</f>
        <v>0.933333333333333</v>
      </c>
      <c s="28" r="AI502">
        <f>I502/$X502</f>
        <v>0.982833333333333</v>
      </c>
      <c s="28" r="AJ502">
        <f>J502/$X502</f>
        <v>0.236666666666667</v>
      </c>
      <c s="28" r="AK502">
        <f>K502/$X502</f>
        <v>0.374333333333333</v>
      </c>
      <c s="30" r="AL502">
        <v>1</v>
      </c>
    </row>
    <row r="503">
      <c s="30" r="A503">
        <v>663</v>
      </c>
      <c t="s" s="30" r="B503">
        <v>38</v>
      </c>
      <c s="62" r="C503">
        <v>41635</v>
      </c>
      <c s="52" r="D503">
        <v>0.708333333333333</v>
      </c>
      <c s="27" r="E503">
        <v>1000</v>
      </c>
      <c s="27" r="F503"/>
      <c s="75" r="G503">
        <v>99.02</v>
      </c>
      <c s="27" r="H503">
        <f>57.03+12.73</f>
        <v>69.76</v>
      </c>
      <c s="27" r="I503">
        <v>15.29</v>
      </c>
      <c s="27" r="J503">
        <v>4.72</v>
      </c>
      <c s="27" r="K503">
        <v>28.6</v>
      </c>
      <c s="59" r="L503">
        <f>SUM(G503:K503)</f>
        <v>217.39</v>
      </c>
      <c s="79" r="M503">
        <v>331.5</v>
      </c>
      <c s="79" r="N503">
        <v>722.86</v>
      </c>
      <c s="32" r="O503">
        <f>SUMIF(Sellables!$A$2:$A$11482, $A503, Sellables!$G$2:$G$11482)</f>
        <v>78.39</v>
      </c>
      <c s="32" r="P503">
        <f>SUMIF(Skills!$A$2:$A$9999, A503, Skills!$F$2:$F$9999)</f>
        <v>0</v>
      </c>
      <c s="14" r="Q503">
        <f>(N503+O503)+P503</f>
        <v>801.25</v>
      </c>
      <c s="23" r="R503">
        <f>(E503+L503)-M503</f>
        <v>885.89</v>
      </c>
      <c s="70" r="S503">
        <f>Q503-R503</f>
        <v>-84.6399999999999</v>
      </c>
      <c s="29" r="T503">
        <f> (Q503/R503) - 1</f>
        <v>-0.095542335955931</v>
      </c>
      <c s="70" r="U503">
        <f>R503/X503</f>
        <v>3.91986725663717</v>
      </c>
      <c s="70" r="V503">
        <f>Q503/X503</f>
        <v>3.54535398230088</v>
      </c>
      <c t="s" s="30" r="W503">
        <v>294</v>
      </c>
      <c s="30" r="X503">
        <v>226</v>
      </c>
      <c t="s" s="30" r="Y503">
        <v>295</v>
      </c>
      <c t="s" s="30" r="Z503">
        <v>42</v>
      </c>
      <c s="30" r="AA503">
        <v>0</v>
      </c>
      <c s="30" r="AB503">
        <v>0</v>
      </c>
      <c s="30" r="AC503">
        <v>3</v>
      </c>
      <c s="30" r="AD503">
        <v>0</v>
      </c>
      <c s="30" r="AE503"/>
      <c s="8" r="AF503">
        <f>(I503+J503)/R503</f>
        <v>0.022587454424364</v>
      </c>
      <c s="28" r="AG503">
        <f>G503/$X503</f>
        <v>0.438141592920354</v>
      </c>
      <c s="28" r="AH503">
        <f>H503/$X503</f>
        <v>0.308672566371681</v>
      </c>
      <c s="28" r="AI503">
        <f>I503/$X503</f>
        <v>0.067654867256637</v>
      </c>
      <c s="28" r="AJ503">
        <f>J503/$X503</f>
        <v>0.020884955752212</v>
      </c>
      <c s="28" r="AK503">
        <f>K503/$X503</f>
        <v>0.126548672566372</v>
      </c>
      <c s="30" r="AL503">
        <v>1</v>
      </c>
    </row>
    <row r="504">
      <c s="30" r="A504">
        <v>664</v>
      </c>
      <c t="s" s="30" r="B504">
        <v>38</v>
      </c>
      <c s="62" r="C504">
        <v>41635</v>
      </c>
      <c s="52" r="D504">
        <v>0.826388888888889</v>
      </c>
      <c s="27" r="E504">
        <v>1000</v>
      </c>
      <c s="27" r="F504"/>
      <c s="75" r="G504">
        <f>(742.1-704.63)+0.06</f>
        <v>37.53</v>
      </c>
      <c s="27" r="H504">
        <v>25.36</v>
      </c>
      <c s="27" r="I504">
        <v>26.16</v>
      </c>
      <c s="27" r="J504">
        <v>6.18</v>
      </c>
      <c s="27" r="K504">
        <v>10.12</v>
      </c>
      <c s="59" r="L504">
        <f>SUM(G504:K504)</f>
        <v>105.35</v>
      </c>
      <c s="79" r="M504">
        <v>732.12</v>
      </c>
      <c s="79" r="N504">
        <v>261.64</v>
      </c>
      <c s="32" r="O504">
        <f>SUMIF(Sellables!$A$2:$A$11482, $A504, Sellables!$G$2:$G$11482)</f>
        <v>0</v>
      </c>
      <c s="32" r="P504">
        <f>SUMIF(Skills!$A$2:$A$9999, A504, Skills!$F$2:$F$9999)</f>
        <v>0</v>
      </c>
      <c s="14" r="Q504">
        <f>(N504+O504)+P504</f>
        <v>261.64</v>
      </c>
      <c s="23" r="R504">
        <f>(E504+L504)-M504</f>
        <v>373.23</v>
      </c>
      <c s="70" r="S504">
        <f>Q504-R504</f>
        <v>-111.59</v>
      </c>
      <c s="29" r="T504">
        <f> (Q504/R504) - 1</f>
        <v>-0.298984540363851</v>
      </c>
      <c s="70" r="U504">
        <f>R504/X504</f>
        <v>14.9292</v>
      </c>
      <c s="70" r="V504">
        <f>Q504/X504</f>
        <v>10.4656</v>
      </c>
      <c t="s" s="30" r="W504">
        <v>237</v>
      </c>
      <c s="30" r="X504">
        <v>25</v>
      </c>
      <c t="s" s="30" r="Y504">
        <v>238</v>
      </c>
      <c t="s" s="30" r="Z504">
        <v>42</v>
      </c>
      <c s="30" r="AA504">
        <v>0</v>
      </c>
      <c s="30" r="AB504">
        <v>0</v>
      </c>
      <c s="30" r="AC504">
        <v>1</v>
      </c>
      <c s="30" r="AD504">
        <v>0</v>
      </c>
      <c s="30" r="AE504"/>
      <c s="8" r="AF504">
        <f>(I504+J504)/R504</f>
        <v>0.086648983200707</v>
      </c>
      <c s="28" r="AG504">
        <f>G504/$X504</f>
        <v>1.5012</v>
      </c>
      <c s="28" r="AH504">
        <f>H504/$X504</f>
        <v>1.0144</v>
      </c>
      <c s="28" r="AI504">
        <f>I504/$X504</f>
        <v>1.0464</v>
      </c>
      <c s="28" r="AJ504">
        <f>J504/$X504</f>
        <v>0.2472</v>
      </c>
      <c s="28" r="AK504">
        <f>K504/$X504</f>
        <v>0.4048</v>
      </c>
      <c s="30" r="AL504">
        <v>1</v>
      </c>
    </row>
    <row r="505">
      <c s="30" r="A505">
        <v>670</v>
      </c>
      <c t="s" s="30" r="B505">
        <v>38</v>
      </c>
      <c s="62" r="C505">
        <v>41636</v>
      </c>
      <c s="52" r="D505">
        <v>0.020833333333333</v>
      </c>
      <c s="27" r="E505">
        <v>1000</v>
      </c>
      <c s="27" r="F505"/>
      <c s="75" r="G505">
        <v>55.04</v>
      </c>
      <c s="27" r="H505">
        <f>21.18+23.82</f>
        <v>45</v>
      </c>
      <c s="27" r="I505">
        <f>5.78+9.54</f>
        <v>15.32</v>
      </c>
      <c s="27" r="J505">
        <f>2.04+2.75</f>
        <v>4.79</v>
      </c>
      <c s="27" r="K505">
        <f>2.55+6.31</f>
        <v>8.86</v>
      </c>
      <c s="59" r="L505">
        <f>SUM(G505:K505)</f>
        <v>129.01</v>
      </c>
      <c s="79" r="M505">
        <v>560.91</v>
      </c>
      <c s="79" r="N505">
        <v>301.59</v>
      </c>
      <c s="32" r="O505">
        <f>SUMIF(Sellables!$A$2:$A$11482, $A505, Sellables!$G$2:$G$11482)</f>
        <v>535.371</v>
      </c>
      <c s="32" r="P505">
        <f>SUMIF(Skills!$A$2:$A$9999, A505, Skills!$F$2:$F$9999)</f>
        <v>11.7</v>
      </c>
      <c s="14" r="Q505">
        <f>((N505+O505)+P505)+AA505</f>
        <v>848.661</v>
      </c>
      <c s="23" r="R505">
        <f>(E505+L505)-M505</f>
        <v>568.1</v>
      </c>
      <c s="70" r="S505">
        <f>Q505-R505</f>
        <v>280.561</v>
      </c>
      <c s="29" r="T505">
        <f> (Q505/R505) - 1</f>
        <v>0.493858475620489</v>
      </c>
      <c t="str" s="70" r="U505">
        <f>R505/X505</f>
        <v>#DIV/0!:divZero</v>
      </c>
      <c t="str" s="70" r="V505">
        <f>Q505/X505</f>
        <v>#DIV/0!:divZero</v>
      </c>
      <c t="s" s="30" r="W505">
        <v>298</v>
      </c>
      <c s="30" r="X505">
        <v>0</v>
      </c>
      <c t="s" s="30" r="Y505">
        <v>299</v>
      </c>
      <c t="s" s="30" r="Z505">
        <v>65</v>
      </c>
      <c s="30" r="AA505">
        <v>0</v>
      </c>
      <c s="30" r="AB505">
        <v>0</v>
      </c>
      <c s="30" r="AC505">
        <v>0</v>
      </c>
      <c s="30" r="AD505">
        <v>1</v>
      </c>
      <c t="s" s="30" r="AE505">
        <v>300</v>
      </c>
      <c s="8" r="AF505">
        <f>(I505+J505)/R505</f>
        <v>0.035398697412427</v>
      </c>
      <c t="str" s="28" r="AG505">
        <f>G505/$X505</f>
        <v>#DIV/0!:divZero</v>
      </c>
      <c t="str" s="28" r="AH505">
        <f>H505/$X505</f>
        <v>#DIV/0!:divZero</v>
      </c>
      <c t="str" s="28" r="AI505">
        <f>I505/$X505</f>
        <v>#DIV/0!:divZero</v>
      </c>
      <c t="str" s="28" r="AJ505">
        <f>J505/$X505</f>
        <v>#DIV/0!:divZero</v>
      </c>
      <c t="str" s="28" r="AK505">
        <f>K505/$X505</f>
        <v>#DIV/0!:divZero</v>
      </c>
      <c s="30" r="AL505">
        <v>1</v>
      </c>
    </row>
    <row r="506">
      <c s="30" r="A506">
        <v>671</v>
      </c>
      <c t="s" s="30" r="B506">
        <v>38</v>
      </c>
      <c s="62" r="C506">
        <v>41636</v>
      </c>
      <c s="52" r="D506">
        <v>0.552083333333333</v>
      </c>
      <c s="27" r="E506">
        <v>1000</v>
      </c>
      <c s="27" r="F506"/>
      <c s="75" r="G506">
        <v>17</v>
      </c>
      <c s="27" r="H506">
        <v>17.09</v>
      </c>
      <c s="27" r="I506">
        <v>9.6</v>
      </c>
      <c s="27" r="J506">
        <v>0.98</v>
      </c>
      <c s="27" r="K506">
        <v>6.63</v>
      </c>
      <c s="59" r="L506">
        <f>SUM(G506:K506)</f>
        <v>51.3</v>
      </c>
      <c s="79" r="M506">
        <v>846.59</v>
      </c>
      <c s="79" r="N506">
        <v>77.53</v>
      </c>
      <c s="32" r="O506">
        <f>SUMIF(Sellables!$A$2:$A$11482, $A506, Sellables!$G$2:$G$11482)</f>
        <v>0</v>
      </c>
      <c s="32" r="P506">
        <f>SUMIF(Skills!$A$2:$A$9999, A506, Skills!$F$2:$F$9999)</f>
        <v>0</v>
      </c>
      <c s="14" r="Q506">
        <f>((N506+O506)+P506)+AA506</f>
        <v>77.53</v>
      </c>
      <c s="23" r="R506">
        <f>(E506+L506)-M506</f>
        <v>204.71</v>
      </c>
      <c s="70" r="S506">
        <f>Q506-R506</f>
        <v>-127.18</v>
      </c>
      <c s="29" r="T506">
        <f> (Q506/R506) - 1</f>
        <v>-0.621269112402911</v>
      </c>
      <c s="70" r="U506">
        <f>R506/X506</f>
        <v>10.2355</v>
      </c>
      <c s="70" r="V506">
        <f>Q506/X506</f>
        <v>3.8765</v>
      </c>
      <c t="s" s="30" r="W506">
        <v>233</v>
      </c>
      <c s="30" r="X506">
        <v>20</v>
      </c>
      <c t="s" s="30" r="Y506">
        <v>230</v>
      </c>
      <c t="s" s="30" r="Z506">
        <v>65</v>
      </c>
      <c s="30" r="AA506">
        <v>0</v>
      </c>
      <c s="30" r="AB506">
        <v>0</v>
      </c>
      <c s="30" r="AC506">
        <v>0</v>
      </c>
      <c s="30" r="AD506">
        <v>0</v>
      </c>
      <c s="30" r="AE506"/>
      <c s="8" r="AF506">
        <f>(I506+J506)/R506</f>
        <v>0.051682868448048</v>
      </c>
      <c s="28" r="AG506">
        <f>G506/$X506</f>
        <v>0.85</v>
      </c>
      <c s="28" r="AH506">
        <f>H506/$X506</f>
        <v>0.8545</v>
      </c>
      <c s="28" r="AI506">
        <f>I506/$X506</f>
        <v>0.48</v>
      </c>
      <c s="28" r="AJ506">
        <f>J506/$X506</f>
        <v>0.049</v>
      </c>
      <c s="28" r="AK506">
        <f>K506/$X506</f>
        <v>0.3315</v>
      </c>
      <c s="30" r="AL506">
        <v>1</v>
      </c>
    </row>
    <row r="507">
      <c s="30" r="A507">
        <v>672</v>
      </c>
      <c t="s" s="30" r="B507">
        <v>38</v>
      </c>
      <c s="62" r="C507">
        <v>41636</v>
      </c>
      <c s="52" r="D507">
        <v>0.552083333333333</v>
      </c>
      <c s="27" r="E507">
        <v>1000</v>
      </c>
      <c s="27" r="F507"/>
      <c s="75" r="G507">
        <v>20</v>
      </c>
      <c s="27" r="H507">
        <v>28.81</v>
      </c>
      <c s="27" r="I507">
        <v>32.09</v>
      </c>
      <c s="27" r="J507">
        <v>24.5</v>
      </c>
      <c s="27" r="K507">
        <v>12.21</v>
      </c>
      <c s="59" r="L507">
        <f>SUM(G507:K507)</f>
        <v>117.61</v>
      </c>
      <c s="79" r="M507">
        <v>723.31</v>
      </c>
      <c s="79" r="N507">
        <v>474.65</v>
      </c>
      <c s="32" r="O507">
        <f>SUMIF(Sellables!$A$2:$A$11482, $A507, Sellables!$G$2:$G$11482)</f>
        <v>8.52</v>
      </c>
      <c s="32" r="P507">
        <f>SUMIF(Skills!$A$2:$A$9999, A507, Skills!$F$2:$F$9999)</f>
        <v>0</v>
      </c>
      <c s="14" r="Q507">
        <f>((N507+O507)+P507)+AA507</f>
        <v>483.17</v>
      </c>
      <c s="23" r="R507">
        <f>(E507+L507)-M507</f>
        <v>394.3</v>
      </c>
      <c s="70" r="S507">
        <f>Q507-R507</f>
        <v>88.8699999999998</v>
      </c>
      <c s="29" r="T507">
        <f> (Q507/R507) - 1</f>
        <v>0.225386761349226</v>
      </c>
      <c s="70" r="U507">
        <f>R507/X507</f>
        <v>12.7193548387097</v>
      </c>
      <c s="70" r="V507">
        <f>Q507/X507</f>
        <v>15.5861290322581</v>
      </c>
      <c t="s" s="30" r="W507">
        <v>301</v>
      </c>
      <c s="30" r="X507">
        <v>31</v>
      </c>
      <c t="s" s="30" r="Y507">
        <v>82</v>
      </c>
      <c t="s" s="30" r="Z507">
        <v>65</v>
      </c>
      <c s="30" r="AA507">
        <v>0</v>
      </c>
      <c s="30" r="AB507">
        <v>0</v>
      </c>
      <c s="30" r="AC507">
        <v>1</v>
      </c>
      <c s="30" r="AD507">
        <v>0</v>
      </c>
      <c s="30" r="AE507"/>
      <c s="8" r="AF507">
        <f>(I507+J507)/R507</f>
        <v>0.14352016231296</v>
      </c>
      <c s="28" r="AG507">
        <f>G507/$X507</f>
        <v>0.645161290322581</v>
      </c>
      <c s="28" r="AH507">
        <f>H507/$X507</f>
        <v>0.929354838709677</v>
      </c>
      <c s="28" r="AI507">
        <f>I507/$X507</f>
        <v>1.03516129032258</v>
      </c>
      <c s="28" r="AJ507">
        <f>J507/$X507</f>
        <v>0.790322580645161</v>
      </c>
      <c s="28" r="AK507">
        <f>K507/$X507</f>
        <v>0.393870967741936</v>
      </c>
      <c s="30" r="AL507">
        <v>1</v>
      </c>
    </row>
    <row r="508">
      <c s="30" r="A508">
        <v>673</v>
      </c>
      <c t="s" s="30" r="B508">
        <v>38</v>
      </c>
      <c s="62" r="C508">
        <v>41636</v>
      </c>
      <c s="52" r="D508">
        <v>0.614583333333333</v>
      </c>
      <c s="27" r="E508">
        <v>1000</v>
      </c>
      <c s="27" r="F508"/>
      <c s="75" r="G508">
        <v>6</v>
      </c>
      <c s="27" r="H508">
        <v>9.25</v>
      </c>
      <c s="27" r="I508">
        <v>4.77</v>
      </c>
      <c s="27" r="J508">
        <v>0.1</v>
      </c>
      <c s="27" r="K508">
        <v>3.42</v>
      </c>
      <c s="59" r="L508">
        <f>SUM(G508:K508)</f>
        <v>23.54</v>
      </c>
      <c s="79" r="M508">
        <v>910.51</v>
      </c>
      <c s="79" r="N508">
        <v>131.94</v>
      </c>
      <c s="32" r="O508">
        <f>SUMIF(Sellables!$A$2:$A$11482, $A508, Sellables!$G$2:$G$11482)</f>
        <v>2.1384</v>
      </c>
      <c s="32" r="P508">
        <f>SUMIF(Skills!$A$2:$A$9999, A508, Skills!$F$2:$F$9999)</f>
        <v>0</v>
      </c>
      <c s="14" r="Q508">
        <f>((N508+O508)+P508)+AA508</f>
        <v>134.0784</v>
      </c>
      <c s="23" r="R508">
        <f>(E508+L508)-M508</f>
        <v>113.03</v>
      </c>
      <c s="70" r="S508">
        <f>Q508-R508</f>
        <v>21.0484</v>
      </c>
      <c s="29" r="T508">
        <f> (Q508/R508) - 1</f>
        <v>0.186219587720075</v>
      </c>
      <c s="70" r="U508">
        <f>R508/X508</f>
        <v>7.064375</v>
      </c>
      <c s="70" r="V508">
        <f>Q508/X508</f>
        <v>8.3799</v>
      </c>
      <c t="s" s="30" r="W508">
        <v>159</v>
      </c>
      <c s="30" r="X508">
        <v>16</v>
      </c>
      <c t="s" s="30" r="Y508">
        <v>67</v>
      </c>
      <c t="s" s="30" r="Z508">
        <v>65</v>
      </c>
      <c s="30" r="AA508">
        <v>0</v>
      </c>
      <c s="30" r="AB508">
        <v>0</v>
      </c>
      <c s="30" r="AC508">
        <v>1</v>
      </c>
      <c s="30" r="AD508">
        <v>0</v>
      </c>
      <c s="30" r="AE508"/>
      <c s="8" r="AF508">
        <f>(I508+J508)/R508</f>
        <v>0.043085906396532</v>
      </c>
      <c s="28" r="AG508">
        <f>G508/$X508</f>
        <v>0.375</v>
      </c>
      <c s="28" r="AH508">
        <f>H508/$X508</f>
        <v>0.578125</v>
      </c>
      <c s="28" r="AI508">
        <f>I508/$X508</f>
        <v>0.298125</v>
      </c>
      <c s="28" r="AJ508">
        <f>J508/$X508</f>
        <v>0.00625</v>
      </c>
      <c s="28" r="AK508">
        <f>K508/$X508</f>
        <v>0.21375</v>
      </c>
      <c s="30" r="AL508">
        <v>1</v>
      </c>
    </row>
    <row r="509">
      <c s="30" r="A509">
        <v>674</v>
      </c>
      <c t="s" s="30" r="B509">
        <v>38</v>
      </c>
      <c s="62" r="C509">
        <v>41636</v>
      </c>
      <c s="52" r="D509">
        <v>0.645833333333333</v>
      </c>
      <c s="27" r="E509">
        <v>1000</v>
      </c>
      <c s="27" r="F509"/>
      <c s="75" r="G509">
        <f>(798.91-734.14)+0.09</f>
        <v>64.86</v>
      </c>
      <c s="27" r="H509">
        <f>18.25+25.59</f>
        <v>43.84</v>
      </c>
      <c s="27" r="I509">
        <f>9.45+13.54</f>
        <v>22.99</v>
      </c>
      <c s="27" r="J509">
        <v>6.28</v>
      </c>
      <c s="27" r="K509">
        <v>10.39</v>
      </c>
      <c s="59" r="L509">
        <f>SUM(G509:K509)</f>
        <v>148.36</v>
      </c>
      <c s="79" r="M509">
        <v>520.5</v>
      </c>
      <c s="79" r="N509">
        <v>597.76</v>
      </c>
      <c s="32" r="O509">
        <f>SUMIF(Sellables!$A$2:$A$11482, $A509, Sellables!$G$2:$G$11482)</f>
        <v>0</v>
      </c>
      <c s="32" r="P509">
        <f>SUMIF(Skills!$A$2:$A$9999, A509, Skills!$F$2:$F$9999)</f>
        <v>0</v>
      </c>
      <c s="14" r="Q509">
        <f>((N509+O509)+P509)+AA509</f>
        <v>597.76</v>
      </c>
      <c s="23" r="R509">
        <f>(E509+L509)-M509</f>
        <v>627.86</v>
      </c>
      <c s="70" r="S509">
        <f>Q509-R509</f>
        <v>-30.1000000000001</v>
      </c>
      <c s="29" r="T509">
        <f> (Q509/R509) - 1</f>
        <v>-0.047940623705922</v>
      </c>
      <c s="70" r="U509">
        <f>R509/X509</f>
        <v>5.18892561983471</v>
      </c>
      <c s="70" r="V509">
        <f>Q509/X509</f>
        <v>4.9401652892562</v>
      </c>
      <c t="s" s="30" r="W509">
        <v>298</v>
      </c>
      <c s="30" r="X509">
        <v>121</v>
      </c>
      <c t="s" s="30" r="Y509">
        <v>299</v>
      </c>
      <c t="s" s="30" r="Z509">
        <v>65</v>
      </c>
      <c s="30" r="AA509">
        <v>0</v>
      </c>
      <c s="30" r="AB509">
        <v>1</v>
      </c>
      <c s="30" r="AC509">
        <v>0</v>
      </c>
      <c s="30" r="AD509">
        <v>1</v>
      </c>
      <c s="30" r="AE509"/>
      <c s="8" r="AF509">
        <f>(I509+J509)/R509</f>
        <v>0.046618672952569</v>
      </c>
      <c s="28" r="AG509">
        <f>G509/$X509</f>
        <v>0.53603305785124</v>
      </c>
      <c s="28" r="AH509">
        <f>H509/$X509</f>
        <v>0.362314049586777</v>
      </c>
      <c s="28" r="AI509">
        <f>I509/$X509</f>
        <v>0.19</v>
      </c>
      <c s="28" r="AJ509">
        <f>J509/$X509</f>
        <v>0.051900826446281</v>
      </c>
      <c s="28" r="AK509">
        <f>K509/$X509</f>
        <v>0.085867768595041</v>
      </c>
      <c s="30" r="AL509">
        <v>1</v>
      </c>
    </row>
    <row r="510">
      <c s="30" r="A510">
        <v>675</v>
      </c>
      <c t="s" s="30" r="B510">
        <v>38</v>
      </c>
      <c s="62" r="C510">
        <v>41636</v>
      </c>
      <c s="52" r="D510">
        <v>0.78125</v>
      </c>
      <c s="27" r="E510">
        <v>1000</v>
      </c>
      <c s="27" r="F510"/>
      <c s="75" r="G510">
        <v>51.92</v>
      </c>
      <c s="27" r="H510">
        <v>35.08</v>
      </c>
      <c s="27" r="I510">
        <v>28.11</v>
      </c>
      <c s="27" r="J510">
        <f>4.7+2.96</f>
        <v>7.66</v>
      </c>
      <c s="27" r="K510">
        <v>12.24</v>
      </c>
      <c s="59" r="L510">
        <f>SUM(G510:K510)</f>
        <v>135.01</v>
      </c>
      <c s="79" r="M510">
        <v>588.02</v>
      </c>
      <c s="79" r="N510">
        <v>470.15</v>
      </c>
      <c s="32" r="O510">
        <f>SUMIF(Sellables!$A$2:$A$11482, $A510, Sellables!$G$2:$G$11482)</f>
        <v>110.726</v>
      </c>
      <c s="32" r="P510">
        <f>SUMIF(Skills!$A$2:$A$9999, A510, Skills!$F$2:$F$9999)</f>
        <v>0</v>
      </c>
      <c s="14" r="Q510">
        <f>((N510+O510)+P510)+AA510</f>
        <v>580.876</v>
      </c>
      <c s="23" r="R510">
        <f>(E510+L510)-M510</f>
        <v>546.99</v>
      </c>
      <c s="70" r="S510">
        <f>Q510-R510</f>
        <v>33.886</v>
      </c>
      <c s="29" r="T510">
        <f> (Q510/R510) - 1</f>
        <v>0.061949944240297</v>
      </c>
      <c s="70" r="U510">
        <f>R510/X510</f>
        <v>4.84061946902655</v>
      </c>
      <c s="70" r="V510">
        <f>Q510/X510</f>
        <v>5.14049557522124</v>
      </c>
      <c t="s" s="30" r="W510">
        <v>302</v>
      </c>
      <c s="30" r="X510">
        <v>113</v>
      </c>
      <c t="s" s="30" r="Y510">
        <v>299</v>
      </c>
      <c t="s" s="30" r="Z510">
        <v>65</v>
      </c>
      <c s="30" r="AA510">
        <v>0</v>
      </c>
      <c s="30" r="AB510">
        <v>1</v>
      </c>
      <c s="30" r="AC510">
        <v>0</v>
      </c>
      <c s="30" r="AD510">
        <v>1</v>
      </c>
      <c s="30" r="AE510"/>
      <c s="8" r="AF510">
        <f>(I510+J510)/R510</f>
        <v>0.065394248523739</v>
      </c>
      <c s="28" r="AG510">
        <f>G510/$X510</f>
        <v>0.459469026548673</v>
      </c>
      <c s="28" r="AH510">
        <f>H510/$X510</f>
        <v>0.310442477876106</v>
      </c>
      <c s="28" r="AI510">
        <f>I510/$X510</f>
        <v>0.248761061946903</v>
      </c>
      <c s="28" r="AJ510">
        <f>J510/$X510</f>
        <v>0.067787610619469</v>
      </c>
      <c s="28" r="AK510">
        <f>K510/$X510</f>
        <v>0.108318584070796</v>
      </c>
      <c s="30" r="AL510">
        <v>1</v>
      </c>
    </row>
    <row r="511">
      <c s="30" r="A511">
        <v>676</v>
      </c>
      <c t="s" s="30" r="B511">
        <v>38</v>
      </c>
      <c s="62" r="C511">
        <v>41636</v>
      </c>
      <c s="52" r="D511">
        <v>0.645833333333333</v>
      </c>
      <c s="27" r="E511">
        <v>1000</v>
      </c>
      <c s="27" r="F511"/>
      <c s="75" r="G511">
        <v>60.95</v>
      </c>
      <c s="27" r="H511">
        <v>41.38</v>
      </c>
      <c s="27" r="I511">
        <v>38.26</v>
      </c>
      <c s="27" r="J511">
        <v>19.26</v>
      </c>
      <c s="27" r="K511">
        <v>12.86</v>
      </c>
      <c s="59" r="L511">
        <f>SUM(G511:K511)</f>
        <v>172.71</v>
      </c>
      <c s="79" r="M511">
        <v>555.24</v>
      </c>
      <c s="79" r="N511">
        <v>418.1</v>
      </c>
      <c s="32" r="O511">
        <f>SUMIF(Sellables!$A$2:$A$11482, $A511, Sellables!$G$2:$G$11482)</f>
        <v>6.34</v>
      </c>
      <c s="32" r="P511">
        <f>SUMIF(Skills!$A$2:$A$9999, A511, Skills!$F$2:$F$9999)</f>
        <v>24.5219</v>
      </c>
      <c s="14" r="Q511">
        <f>((N511+O511)+P511)+AA511</f>
        <v>448.9619</v>
      </c>
      <c s="23" r="R511">
        <f>(E511+L511)-M511</f>
        <v>617.47</v>
      </c>
      <c s="70" r="S511">
        <f>Q511-R511</f>
        <v>-168.5081</v>
      </c>
      <c s="29" r="T511">
        <f> (Q511/R511) - 1</f>
        <v>-0.272900869677879</v>
      </c>
      <c s="70" r="U511">
        <f>R511/X511</f>
        <v>8.23293333333333</v>
      </c>
      <c s="70" r="V511">
        <f>Q511/X511</f>
        <v>5.98615866666667</v>
      </c>
      <c t="s" s="30" r="W511">
        <v>303</v>
      </c>
      <c s="30" r="X511">
        <v>75</v>
      </c>
      <c t="s" s="30" r="Y511">
        <v>304</v>
      </c>
      <c t="s" s="30" r="Z511">
        <v>65</v>
      </c>
      <c s="30" r="AA511">
        <v>0</v>
      </c>
      <c s="30" r="AB511">
        <v>0</v>
      </c>
      <c s="30" r="AC511">
        <v>2</v>
      </c>
      <c s="30" r="AD511">
        <v>0</v>
      </c>
      <c s="30" r="AE511"/>
      <c s="8" r="AF511">
        <f>(I511+J511)/R511</f>
        <v>0.093154323286961</v>
      </c>
      <c s="28" r="AG511">
        <f>G511/$X511</f>
        <v>0.812666666666667</v>
      </c>
      <c s="28" r="AH511">
        <f>H511/$X511</f>
        <v>0.551733333333333</v>
      </c>
      <c s="28" r="AI511">
        <f>I511/$X511</f>
        <v>0.510133333333333</v>
      </c>
      <c s="28" r="AJ511">
        <f>J511/$X511</f>
        <v>0.2568</v>
      </c>
      <c s="28" r="AK511">
        <f>K511/$X511</f>
        <v>0.171466666666667</v>
      </c>
      <c s="30" r="AL511">
        <v>1</v>
      </c>
    </row>
    <row r="512">
      <c s="30" r="A512">
        <v>678</v>
      </c>
      <c t="s" s="30" r="B512">
        <v>38</v>
      </c>
      <c s="62" r="C512">
        <v>41637</v>
      </c>
      <c s="52" r="D512">
        <v>0.010416666666667</v>
      </c>
      <c s="27" r="E512">
        <v>1000</v>
      </c>
      <c s="27" r="F512"/>
      <c s="75" r="G512">
        <f>(73.29+621.18)-602.40</f>
        <v>92.0699999999999</v>
      </c>
      <c s="27" r="H512">
        <v>12.72</v>
      </c>
      <c s="27" r="I512">
        <v>11.2</v>
      </c>
      <c s="27" r="J512">
        <v>2.38</v>
      </c>
      <c s="27" r="K512">
        <v>3.46</v>
      </c>
      <c s="59" r="L512">
        <f>SUM(G512:K512)</f>
        <v>121.83</v>
      </c>
      <c s="79" r="M512">
        <v>865.44</v>
      </c>
      <c s="79" r="N512">
        <v>169.86</v>
      </c>
      <c s="32" r="O512">
        <f>SUMIF(Sellables!$A$2:$A$11482, $A512, Sellables!$G$2:$G$11482)</f>
        <v>174.00699</v>
      </c>
      <c s="32" r="P512">
        <f>SUMIF(Skills!$A$2:$A$9999, A512, Skills!$F$2:$F$9999)</f>
        <v>0</v>
      </c>
      <c s="14" r="Q512">
        <f>((N512+O512)+P512)+AA512</f>
        <v>343.86699</v>
      </c>
      <c s="23" r="R512">
        <f>(E512+L512)-M512</f>
        <v>256.39</v>
      </c>
      <c s="70" r="S512">
        <f>Q512-R512</f>
        <v>87.4769900000002</v>
      </c>
      <c s="29" r="T512">
        <f> (Q512/R512) - 1</f>
        <v>0.341187214789969</v>
      </c>
      <c s="70" r="U512">
        <f>R512/X512</f>
        <v>1.69794701986755</v>
      </c>
      <c s="70" r="V512">
        <f>Q512/X512</f>
        <v>2.27726483443709</v>
      </c>
      <c t="s" s="30" r="W512">
        <v>305</v>
      </c>
      <c s="30" r="X512">
        <v>151</v>
      </c>
      <c t="s" s="30" r="Y512">
        <v>299</v>
      </c>
      <c t="s" s="30" r="Z512">
        <v>65</v>
      </c>
      <c s="30" r="AA512">
        <v>0</v>
      </c>
      <c s="30" r="AB512">
        <v>0</v>
      </c>
      <c s="30" r="AC512">
        <v>1</v>
      </c>
      <c s="30" r="AD512">
        <v>0</v>
      </c>
      <c s="30" r="AE512"/>
      <c s="8" r="AF512">
        <f>(I512+J512)/R512</f>
        <v>0.052966184328562</v>
      </c>
      <c s="28" r="AG512">
        <f>G512/$X512</f>
        <v>0.609735099337748</v>
      </c>
      <c s="28" r="AH512">
        <f>H512/$X512</f>
        <v>0.084238410596026</v>
      </c>
      <c s="28" r="AI512">
        <f>I512/$X512</f>
        <v>0.074172185430464</v>
      </c>
      <c s="28" r="AJ512">
        <f>J512/$X512</f>
        <v>0.015761589403974</v>
      </c>
      <c s="28" r="AK512">
        <f>K512/$X512</f>
        <v>0.022913907284768</v>
      </c>
      <c s="30" r="AL512">
        <v>1</v>
      </c>
    </row>
    <row r="513">
      <c s="30" r="A513">
        <v>679</v>
      </c>
      <c t="s" s="30" r="B513">
        <v>38</v>
      </c>
      <c s="62" r="C513">
        <v>41637</v>
      </c>
      <c s="52" r="D513">
        <v>0.09375</v>
      </c>
      <c s="27" r="E513">
        <v>1000</v>
      </c>
      <c s="27" r="F513"/>
      <c s="75" r="G513">
        <f>621.18-578</f>
        <v>43.18</v>
      </c>
      <c s="27" r="H513">
        <v>21.59</v>
      </c>
      <c s="27" r="I513">
        <v>0.19</v>
      </c>
      <c s="27" r="J513">
        <v>0.18</v>
      </c>
      <c s="27" r="K513">
        <v>0</v>
      </c>
      <c s="59" r="L513">
        <f>SUM(G513:K513)</f>
        <v>65.14</v>
      </c>
      <c s="79" r="M513">
        <v>862.99</v>
      </c>
      <c s="79" r="N513">
        <f>231.54+5.74</f>
        <v>237.28</v>
      </c>
      <c s="32" r="O513">
        <f>SUMIF(Sellables!$A$2:$A$11482, $A513, Sellables!$G$2:$G$11482)</f>
        <v>0</v>
      </c>
      <c s="32" r="P513">
        <f>SUMIF(Skills!$A$2:$A$9999, A513, Skills!$F$2:$F$9999)</f>
        <v>0</v>
      </c>
      <c s="14" r="Q513">
        <f>((N513+O513)+P513)+AA513</f>
        <v>237.28</v>
      </c>
      <c s="23" r="R513">
        <f>(E513+L513)-M513</f>
        <v>202.15</v>
      </c>
      <c s="70" r="S513">
        <f>Q513-R513</f>
        <v>35.1300000000001</v>
      </c>
      <c s="29" r="T513">
        <f> (Q513/R513) - 1</f>
        <v>0.173781845164483</v>
      </c>
      <c t="str" s="70" r="U513">
        <f>R513/X513</f>
        <v>#DIV/0!:divZero</v>
      </c>
      <c t="str" s="70" r="V513">
        <f>Q513/X513</f>
        <v>#DIV/0!:divZero</v>
      </c>
      <c t="s" s="30" r="W513">
        <v>296</v>
      </c>
      <c s="30" r="X513">
        <v>0</v>
      </c>
      <c t="s" s="30" r="Y513">
        <v>295</v>
      </c>
      <c t="s" s="30" r="Z513">
        <v>42</v>
      </c>
      <c s="30" r="AA513">
        <v>0</v>
      </c>
      <c s="30" r="AB513">
        <v>0</v>
      </c>
      <c s="30" r="AC513">
        <v>5</v>
      </c>
      <c s="30" r="AD513">
        <v>1</v>
      </c>
      <c t="s" s="30" r="AE513">
        <v>306</v>
      </c>
      <c s="8" r="AF513">
        <f>(I513+J513)/R513</f>
        <v>0.001830324016819</v>
      </c>
      <c t="str" s="28" r="AG513">
        <f>G513/$X513</f>
        <v>#DIV/0!:divZero</v>
      </c>
      <c t="str" s="28" r="AH513">
        <f>H513/$X513</f>
        <v>#DIV/0!:divZero</v>
      </c>
      <c t="str" s="28" r="AI513">
        <f>I513/$X513</f>
        <v>#DIV/0!:divZero</v>
      </c>
      <c t="str" s="28" r="AJ513">
        <f>J513/$X513</f>
        <v>#DIV/0!:divZero</v>
      </c>
      <c t="str" s="28" r="AK513">
        <f>K513/$X513</f>
        <v>#DIV/0!:divZero</v>
      </c>
      <c s="30" r="AL513">
        <v>1</v>
      </c>
    </row>
    <row r="514">
      <c s="30" r="A514">
        <v>680</v>
      </c>
      <c t="s" s="30" r="B514">
        <v>38</v>
      </c>
      <c s="62" r="C514">
        <v>41637</v>
      </c>
      <c s="52" r="D514">
        <v>0.588888888888889</v>
      </c>
      <c s="27" r="E514">
        <v>1000</v>
      </c>
      <c s="27" r="F514"/>
      <c s="75" r="G514">
        <f>(578-483.69)+0.05</f>
        <v>94.36</v>
      </c>
      <c s="27" r="H514">
        <v>72.62</v>
      </c>
      <c s="27" r="I514">
        <v>17.5</v>
      </c>
      <c s="27" r="J514">
        <v>6.66</v>
      </c>
      <c s="27" r="K514">
        <v>27.97</v>
      </c>
      <c s="59" r="L514">
        <f>SUM(G514:K514)</f>
        <v>219.11</v>
      </c>
      <c s="79" r="M514">
        <v>347.32</v>
      </c>
      <c s="79" r="N514">
        <v>597.52</v>
      </c>
      <c s="32" r="O514">
        <f>SUMIF(Sellables!$A$2:$A$11482, $A514, Sellables!$G$2:$G$11482)</f>
        <v>0</v>
      </c>
      <c s="32" r="P514">
        <f>SUMIF(Skills!$A$2:$A$9999, A514, Skills!$F$2:$F$9999)</f>
        <v>0</v>
      </c>
      <c s="14" r="Q514">
        <f>((N514+O514)+P514)+AA514</f>
        <v>597.52</v>
      </c>
      <c s="23" r="R514">
        <f>(E514+L514)-M514</f>
        <v>871.79</v>
      </c>
      <c s="70" r="S514">
        <f>Q514-R514</f>
        <v>-274.27</v>
      </c>
      <c s="29" r="T514">
        <f> (Q514/R514) - 1</f>
        <v>-0.314605581619427</v>
      </c>
      <c s="70" r="U514">
        <f>R514/X514</f>
        <v>3.92698198198198</v>
      </c>
      <c s="70" r="V514">
        <f>Q514/X514</f>
        <v>2.69153153153153</v>
      </c>
      <c t="s" s="30" r="W514">
        <v>294</v>
      </c>
      <c s="30" r="X514">
        <v>222</v>
      </c>
      <c t="s" s="30" r="Y514">
        <v>295</v>
      </c>
      <c t="s" s="30" r="Z514">
        <v>42</v>
      </c>
      <c s="30" r="AA514">
        <v>0</v>
      </c>
      <c s="30" r="AB514">
        <v>0</v>
      </c>
      <c s="30" r="AC514">
        <v>1</v>
      </c>
      <c s="30" r="AD514">
        <v>0</v>
      </c>
      <c s="30" r="AE514"/>
      <c s="8" r="AF514">
        <f>(I514+J514)/R514</f>
        <v>0.027713096043772</v>
      </c>
      <c s="28" r="AG514">
        <f>G514/$X514</f>
        <v>0.425045045045045</v>
      </c>
      <c s="28" r="AH514">
        <f>H514/$X514</f>
        <v>0.327117117117117</v>
      </c>
      <c s="28" r="AI514">
        <f>I514/$X514</f>
        <v>0.078828828828829</v>
      </c>
      <c s="28" r="AJ514">
        <f>J514/$X514</f>
        <v>0.03</v>
      </c>
      <c s="28" r="AK514">
        <f>K514/$X514</f>
        <v>0.125990990990991</v>
      </c>
      <c s="30" r="AL514">
        <v>1</v>
      </c>
    </row>
    <row r="515">
      <c s="30" r="A515">
        <v>682</v>
      </c>
      <c t="s" s="30" r="B515">
        <v>38</v>
      </c>
      <c s="62" r="C515">
        <v>41637</v>
      </c>
      <c s="52" r="D515">
        <v>0.743055555555556</v>
      </c>
      <c s="27" r="E515">
        <v>1000</v>
      </c>
      <c s="27" r="F515"/>
      <c s="75" r="G515">
        <f>(758-667.31)+0.14</f>
        <v>90.83</v>
      </c>
      <c s="27" r="H515">
        <f>55.07+23.76</f>
        <v>78.83</v>
      </c>
      <c s="27" r="I515">
        <v>16.73</v>
      </c>
      <c s="27" r="J515">
        <v>5.14</v>
      </c>
      <c s="27" r="K515">
        <v>28.09</v>
      </c>
      <c s="59" r="L515">
        <f>SUM(G515:K515)</f>
        <v>219.62</v>
      </c>
      <c s="79" r="M515">
        <v>273.54</v>
      </c>
      <c s="79" r="N515">
        <v>785.26</v>
      </c>
      <c s="32" r="O515">
        <f>SUMIF(Sellables!$A$2:$A$11482, $A515, Sellables!$G$2:$G$11482)</f>
        <v>0</v>
      </c>
      <c s="32" r="P515">
        <f>SUMIF(Skills!$A$2:$A$9999, A515, Skills!$F$2:$F$9999)</f>
        <v>0</v>
      </c>
      <c s="14" r="Q515">
        <f>((N515+O515)+P515)+AA515</f>
        <v>785.26</v>
      </c>
      <c s="23" r="R515">
        <f>(E515+L515)-M515</f>
        <v>946.08</v>
      </c>
      <c s="70" r="S515">
        <f>Q515-R515</f>
        <v>-160.82</v>
      </c>
      <c s="29" r="T515">
        <f> (Q515/R515) - 1</f>
        <v>-0.169985624894301</v>
      </c>
      <c s="70" r="U515">
        <f>R515/X515</f>
        <v>4.07793103448276</v>
      </c>
      <c s="70" r="V515">
        <f>Q515/X515</f>
        <v>3.38474137931034</v>
      </c>
      <c t="s" s="30" r="W515">
        <v>294</v>
      </c>
      <c s="30" r="X515">
        <v>232</v>
      </c>
      <c t="s" s="30" r="Y515">
        <v>295</v>
      </c>
      <c t="s" s="30" r="Z515">
        <v>42</v>
      </c>
      <c s="30" r="AA515">
        <v>0</v>
      </c>
      <c s="30" r="AB515">
        <v>0</v>
      </c>
      <c s="30" r="AC515">
        <v>2</v>
      </c>
      <c s="30" r="AD515">
        <v>0</v>
      </c>
      <c s="30" r="AE515"/>
      <c s="8" r="AF515">
        <f>(I515+J515)/R515</f>
        <v>0.023116438356164</v>
      </c>
      <c s="28" r="AG515">
        <f>G515/$X515</f>
        <v>0.391508620689655</v>
      </c>
      <c s="28" r="AH515">
        <f>H515/$X515</f>
        <v>0.339784482758621</v>
      </c>
      <c s="28" r="AI515">
        <f>I515/$X515</f>
        <v>0.072112068965517</v>
      </c>
      <c s="28" r="AJ515">
        <f>J515/$X515</f>
        <v>0.022155172413793</v>
      </c>
      <c s="28" r="AK515">
        <f>K515/$X515</f>
        <v>0.121077586206897</v>
      </c>
      <c s="30" r="AL515">
        <v>1</v>
      </c>
    </row>
    <row r="516">
      <c s="30" r="A516">
        <v>683</v>
      </c>
      <c t="s" s="30" r="B516">
        <v>38</v>
      </c>
      <c s="62" r="C516">
        <v>41637</v>
      </c>
      <c s="52" r="D516">
        <v>0.8125</v>
      </c>
      <c s="27" r="E516">
        <v>1000</v>
      </c>
      <c s="27" r="F516"/>
      <c s="75" r="G516">
        <f>(667.14-562.32)+0.13</f>
        <v>104.95</v>
      </c>
      <c s="27" r="H516">
        <v>79.37</v>
      </c>
      <c s="27" r="I516">
        <v>16.3</v>
      </c>
      <c s="27" r="J516">
        <v>4.83</v>
      </c>
      <c s="27" r="K516">
        <v>29.35</v>
      </c>
      <c s="59" r="L516">
        <f>SUM(G516:K516)</f>
        <v>234.8</v>
      </c>
      <c s="79" r="M516">
        <v>259.2</v>
      </c>
      <c s="79" r="N516">
        <v>948.83</v>
      </c>
      <c s="32" r="O516">
        <f>SUMIF(Sellables!$A$2:$A$11482, $A516, Sellables!$G$2:$G$11482)</f>
        <v>0</v>
      </c>
      <c s="32" r="P516">
        <f>SUMIF(Skills!$A$2:$A$9999, A516, Skills!$F$2:$F$9999)</f>
        <v>0</v>
      </c>
      <c s="14" r="Q516">
        <f>((N516+O516)+P516)+AA516</f>
        <v>948.83</v>
      </c>
      <c s="23" r="R516">
        <f>(E516+L516)-M516</f>
        <v>975.6</v>
      </c>
      <c s="70" r="S516">
        <f>Q516-R516</f>
        <v>-26.7699999999999</v>
      </c>
      <c s="29" r="T516">
        <f> (Q516/R516) - 1</f>
        <v>-0.027439524395244</v>
      </c>
      <c s="70" r="U516">
        <f>R516/X516</f>
        <v>4.01481481481481</v>
      </c>
      <c s="70" r="V516">
        <f>Q516/X516</f>
        <v>3.90465020576132</v>
      </c>
      <c t="s" s="30" r="W516">
        <v>294</v>
      </c>
      <c s="30" r="X516">
        <v>243</v>
      </c>
      <c t="s" s="30" r="Y516">
        <v>295</v>
      </c>
      <c t="s" s="30" r="Z516">
        <v>42</v>
      </c>
      <c s="30" r="AA516">
        <v>0</v>
      </c>
      <c s="30" r="AB516">
        <v>0</v>
      </c>
      <c s="30" r="AC516">
        <v>3</v>
      </c>
      <c s="30" r="AD516">
        <v>0</v>
      </c>
      <c s="30" r="AE516"/>
      <c s="8" r="AF516">
        <f>(I516+J516)/R516</f>
        <v>0.021658466584666</v>
      </c>
      <c s="28" r="AG516">
        <f>G516/$X516</f>
        <v>0.431893004115226</v>
      </c>
      <c s="28" r="AH516">
        <f>H516/$X516</f>
        <v>0.326625514403292</v>
      </c>
      <c s="28" r="AI516">
        <f>I516/$X516</f>
        <v>0.067078189300412</v>
      </c>
      <c s="28" r="AJ516">
        <f>J516/$X516</f>
        <v>0.019876543209876</v>
      </c>
      <c s="28" r="AK516">
        <f>K516/$X516</f>
        <v>0.120781893004115</v>
      </c>
      <c s="30" r="AL516">
        <v>1</v>
      </c>
    </row>
    <row r="517">
      <c s="30" r="A517">
        <v>684</v>
      </c>
      <c t="s" s="30" r="B517">
        <v>38</v>
      </c>
      <c s="62" r="C517">
        <v>41637</v>
      </c>
      <c s="52" r="D517">
        <v>0.875</v>
      </c>
      <c s="27" r="E517">
        <v>1000</v>
      </c>
      <c s="27" r="F517"/>
      <c s="75" r="G517">
        <f>(562.32-474.91)+0.17</f>
        <v>87.58</v>
      </c>
      <c s="27" r="H517">
        <v>67.49</v>
      </c>
      <c s="27" r="I517">
        <v>65.56</v>
      </c>
      <c s="27" r="J517">
        <v>14.98</v>
      </c>
      <c s="27" r="K517">
        <v>23.39</v>
      </c>
      <c s="59" r="L517">
        <f>SUM(G517:K517)</f>
        <v>259</v>
      </c>
      <c s="79" r="M517">
        <v>373.5</v>
      </c>
      <c s="79" r="N517">
        <v>694.54</v>
      </c>
      <c s="32" r="O517">
        <f>SUMIF(Sellables!$A$2:$A$11482, $A517, Sellables!$G$2:$G$11482)</f>
        <v>124.44724</v>
      </c>
      <c s="32" r="P517">
        <f>SUMIF(Skills!$A$2:$A$9999, A517, Skills!$F$2:$F$9999)</f>
        <v>0</v>
      </c>
      <c s="14" r="Q517">
        <f>((N517+O517)+P517)+AA517</f>
        <v>818.98724</v>
      </c>
      <c s="23" r="R517">
        <f>(E517+L517)-M517</f>
        <v>885.5</v>
      </c>
      <c s="70" r="S517">
        <f>Q517-R517</f>
        <v>-66.5127600000001</v>
      </c>
      <c s="29" r="T517">
        <f> (Q517/R517) - 1</f>
        <v>-0.075113224167137</v>
      </c>
      <c s="70" r="U517">
        <f>R517/X517</f>
        <v>14.7583333333333</v>
      </c>
      <c s="70" r="V517">
        <f>Q517/X517</f>
        <v>13.6497873333333</v>
      </c>
      <c t="s" s="30" r="W517">
        <v>237</v>
      </c>
      <c s="30" r="X517">
        <v>60</v>
      </c>
      <c t="s" s="30" r="Y517">
        <v>238</v>
      </c>
      <c t="s" s="30" r="Z517">
        <v>42</v>
      </c>
      <c s="30" r="AA517">
        <v>0</v>
      </c>
      <c s="30" r="AB517">
        <v>0</v>
      </c>
      <c s="30" r="AC517">
        <v>2</v>
      </c>
      <c s="30" r="AD517">
        <v>0</v>
      </c>
      <c s="30" r="AE517"/>
      <c s="8" r="AF517">
        <f>(I517+J517)/R517</f>
        <v>0.090954263128176</v>
      </c>
      <c s="28" r="AG517">
        <f>G517/$X517</f>
        <v>1.45966666666667</v>
      </c>
      <c s="28" r="AH517">
        <f>H517/$X517</f>
        <v>1.12483333333333</v>
      </c>
      <c s="28" r="AI517">
        <f>I517/$X517</f>
        <v>1.09266666666667</v>
      </c>
      <c s="28" r="AJ517">
        <f>J517/$X517</f>
        <v>0.249666666666667</v>
      </c>
      <c s="28" r="AK517">
        <f>K517/$X517</f>
        <v>0.389833333333333</v>
      </c>
      <c s="30" r="AL517">
        <v>1</v>
      </c>
    </row>
    <row r="518">
      <c s="30" r="A518">
        <v>687</v>
      </c>
      <c t="s" s="30" r="B518">
        <v>38</v>
      </c>
      <c s="62" r="C518">
        <v>41638</v>
      </c>
      <c s="52" r="D518">
        <v>0.045138888888889</v>
      </c>
      <c s="27" r="E518">
        <v>1000</v>
      </c>
      <c s="27" r="F518"/>
      <c s="75" r="G518">
        <f>(800.18-696.87)+0.12</f>
        <v>103.43</v>
      </c>
      <c s="27" r="H518">
        <v>78.28</v>
      </c>
      <c s="27" r="I518">
        <v>19.46</v>
      </c>
      <c s="27" r="J518">
        <v>5.5</v>
      </c>
      <c s="27" r="K518">
        <v>28.85</v>
      </c>
      <c s="59" r="L518">
        <f>SUM(G518:K518)</f>
        <v>235.52</v>
      </c>
      <c s="79" r="M518">
        <v>298.23</v>
      </c>
      <c s="79" r="N518">
        <v>682.92</v>
      </c>
      <c s="32" r="O518">
        <f>SUMIF(Sellables!$A$2:$A$11482, $A518, Sellables!$G$2:$G$11482)</f>
        <v>112.6183</v>
      </c>
      <c s="32" r="P518">
        <f>SUMIF(Skills!$A$2:$A$9999, A518, Skills!$F$2:$F$9999)</f>
        <v>0</v>
      </c>
      <c s="14" r="Q518">
        <f>((N518+O518)+P518)+AA518</f>
        <v>795.5383</v>
      </c>
      <c s="23" r="R518">
        <f>(E518+L518)-M518</f>
        <v>937.29</v>
      </c>
      <c s="70" r="S518">
        <f>Q518-R518</f>
        <v>-141.7517</v>
      </c>
      <c s="29" r="T518">
        <f> (Q518/R518) - 1</f>
        <v>-0.151235690127922</v>
      </c>
      <c s="70" r="U518">
        <f>R518/X518</f>
        <v>3.95481012658228</v>
      </c>
      <c s="70" r="V518">
        <f>Q518/X518</f>
        <v>3.35670168776371</v>
      </c>
      <c t="s" s="30" r="W518">
        <v>294</v>
      </c>
      <c s="30" r="X518">
        <v>237</v>
      </c>
      <c t="s" s="30" r="Y518">
        <v>295</v>
      </c>
      <c t="s" s="30" r="Z518">
        <v>42</v>
      </c>
      <c s="30" r="AA518">
        <v>0</v>
      </c>
      <c s="30" r="AB518">
        <v>0</v>
      </c>
      <c s="30" r="AC518">
        <v>2</v>
      </c>
      <c s="30" r="AD518">
        <v>0</v>
      </c>
      <c s="30" r="AE518"/>
      <c s="8" r="AF518">
        <f>(I518+J518)/R518</f>
        <v>0.026629965112185</v>
      </c>
      <c s="28" r="AG518">
        <f>G518/$X518</f>
        <v>0.436413502109704</v>
      </c>
      <c s="28" r="AH518">
        <f>H518/$X518</f>
        <v>0.330295358649789</v>
      </c>
      <c s="28" r="AI518">
        <f>I518/$X518</f>
        <v>0.08210970464135</v>
      </c>
      <c s="28" r="AJ518">
        <f>J518/$X518</f>
        <v>0.023206751054852</v>
      </c>
      <c s="28" r="AK518">
        <f>K518/$X518</f>
        <v>0.121729957805907</v>
      </c>
      <c s="30" r="AL518">
        <v>1</v>
      </c>
    </row>
    <row r="519">
      <c s="30" r="A519">
        <v>688</v>
      </c>
      <c t="s" s="30" r="B519">
        <v>38</v>
      </c>
      <c s="62" r="C519">
        <v>41638</v>
      </c>
      <c s="52" r="D519">
        <v>0.100694444444444</v>
      </c>
      <c s="27" r="E519">
        <v>1000</v>
      </c>
      <c s="27" r="F519"/>
      <c s="75" r="G519">
        <f>696.17-654.17</f>
        <v>42</v>
      </c>
      <c s="27" r="H519">
        <v>43.09</v>
      </c>
      <c s="27" r="I519">
        <v>1.7</v>
      </c>
      <c s="27" r="J519">
        <v>0.54</v>
      </c>
      <c s="27" r="K519">
        <v>0.12</v>
      </c>
      <c s="59" r="L519">
        <f>SUM(G519:K519)</f>
        <v>87.45</v>
      </c>
      <c s="79" r="M519">
        <v>758.17</v>
      </c>
      <c s="79" r="N519">
        <f>296.72+6.48</f>
        <v>303.2</v>
      </c>
      <c s="32" r="O519">
        <f>SUMIF(Sellables!$A$2:$A$11482, $A519, Sellables!$G$2:$G$11482)</f>
        <v>0.03</v>
      </c>
      <c s="32" r="P519">
        <f>SUMIF(Skills!$A$2:$A$9999, A519, Skills!$F$2:$F$9999)</f>
        <v>0</v>
      </c>
      <c s="14" r="Q519">
        <f>((N519+O519)+P519)+AA519</f>
        <v>303.23</v>
      </c>
      <c s="23" r="R519">
        <f>(E519+L519)-M519</f>
        <v>329.28</v>
      </c>
      <c s="70" r="S519">
        <f>Q519-R519</f>
        <v>-26.0500000000001</v>
      </c>
      <c s="29" r="T519">
        <f> (Q519/R519) - 1</f>
        <v>-0.079112001943635</v>
      </c>
      <c s="70" r="U519">
        <f>R519/X519</f>
        <v>1.40717948717949</v>
      </c>
      <c s="70" r="V519">
        <f>Q519/X519</f>
        <v>1.2958547008547</v>
      </c>
      <c t="s" s="30" r="W519">
        <v>296</v>
      </c>
      <c s="30" r="X519">
        <v>234</v>
      </c>
      <c t="s" s="30" r="Y519">
        <v>295</v>
      </c>
      <c t="s" s="30" r="Z519">
        <v>42</v>
      </c>
      <c s="30" r="AA519">
        <v>0</v>
      </c>
      <c s="30" r="AB519">
        <v>0</v>
      </c>
      <c s="30" r="AC519">
        <v>6</v>
      </c>
      <c s="30" r="AD519">
        <v>0</v>
      </c>
      <c s="30" r="AE519"/>
      <c s="8" r="AF519">
        <f>(I519+J519)/R519</f>
        <v>0.006802721088435</v>
      </c>
      <c s="28" r="AG519">
        <f>G519/$X519</f>
        <v>0.17948717948718</v>
      </c>
      <c s="28" r="AH519">
        <f>H519/$X519</f>
        <v>0.184145299145299</v>
      </c>
      <c s="28" r="AI519">
        <f>I519/$X519</f>
        <v>0.007264957264957</v>
      </c>
      <c s="28" r="AJ519">
        <f>J519/$X519</f>
        <v>0.002307692307692</v>
      </c>
      <c s="28" r="AK519">
        <f>K519/$X519</f>
        <v>0.000512820512821</v>
      </c>
      <c s="30" r="AL519">
        <v>1</v>
      </c>
    </row>
    <row r="520">
      <c s="30" r="A520">
        <v>695</v>
      </c>
      <c t="s" s="30" r="B520">
        <v>38</v>
      </c>
      <c s="62" r="C520">
        <v>41638</v>
      </c>
      <c s="52" r="D520">
        <v>0.635416666666667</v>
      </c>
      <c s="27" r="E520">
        <v>750</v>
      </c>
      <c s="27" r="F520"/>
      <c s="75" r="G520">
        <f>654.17-618.46</f>
        <v>35.7099999999999</v>
      </c>
      <c s="27" r="H520">
        <v>27.57</v>
      </c>
      <c s="27" r="I520">
        <v>10.61</v>
      </c>
      <c s="27" r="J520">
        <v>1.43</v>
      </c>
      <c s="27" r="K520">
        <v>6.67</v>
      </c>
      <c s="59" r="L520">
        <f>SUM(G520:K520)</f>
        <v>81.9899999999999</v>
      </c>
      <c s="79" r="M520">
        <v>506.16</v>
      </c>
      <c s="79" r="N520">
        <v>175.03</v>
      </c>
      <c s="32" r="O520">
        <f>SUMIF(Sellables!$A$2:$A$11482, $A520, Sellables!$G$2:$G$11482)</f>
        <v>89.148</v>
      </c>
      <c s="32" r="P520">
        <f>SUMIF(Skills!$A$2:$A$9999, A520, Skills!$F$2:$F$9999)</f>
        <v>0</v>
      </c>
      <c s="14" r="Q520">
        <f>((N520+O520)+P520)+AA520</f>
        <v>264.178</v>
      </c>
      <c s="23" r="R520">
        <f>(E520+L520)-M520</f>
        <v>325.83</v>
      </c>
      <c s="70" r="S520">
        <f>Q520-R520</f>
        <v>-61.6519999999999</v>
      </c>
      <c s="29" r="T520">
        <f> (Q520/R520) - 1</f>
        <v>-0.189215234938464</v>
      </c>
      <c t="str" s="70" r="U520">
        <f>R520/X520</f>
        <v>#DIV/0!:divZero</v>
      </c>
      <c t="str" s="70" r="V520">
        <f>Q520/X520</f>
        <v>#DIV/0!:divZero</v>
      </c>
      <c t="s" s="30" r="W520">
        <v>293</v>
      </c>
      <c s="30" r="X520">
        <v>0</v>
      </c>
      <c t="s" s="30" r="Y520">
        <v>292</v>
      </c>
      <c t="s" s="30" r="Z520">
        <v>54</v>
      </c>
      <c s="30" r="AA520">
        <v>0</v>
      </c>
      <c s="30" r="AB520">
        <v>0</v>
      </c>
      <c s="30" r="AC520">
        <v>2</v>
      </c>
      <c s="30" r="AD520">
        <v>0</v>
      </c>
      <c s="30" r="AE520"/>
      <c s="8" r="AF520">
        <f>(I520+J520)/R520</f>
        <v>0.036951784672989</v>
      </c>
      <c t="str" s="28" r="AG520">
        <f>G520/$X520</f>
        <v>#DIV/0!:divZero</v>
      </c>
      <c t="str" s="28" r="AH520">
        <f>H520/$X520</f>
        <v>#DIV/0!:divZero</v>
      </c>
      <c t="str" s="28" r="AI520">
        <f>I520/$X520</f>
        <v>#DIV/0!:divZero</v>
      </c>
      <c t="str" s="28" r="AJ520">
        <f>J520/$X520</f>
        <v>#DIV/0!:divZero</v>
      </c>
      <c t="str" s="28" r="AK520">
        <f>K520/$X520</f>
        <v>#DIV/0!:divZero</v>
      </c>
      <c s="30" r="AL520">
        <v>1</v>
      </c>
    </row>
    <row r="521">
      <c s="30" r="A521">
        <v>696</v>
      </c>
      <c t="s" s="30" r="B521">
        <v>38</v>
      </c>
      <c s="62" r="C521">
        <v>41638</v>
      </c>
      <c s="52" r="D521">
        <v>0.65625</v>
      </c>
      <c s="27" r="E521">
        <v>1000</v>
      </c>
      <c s="27" r="F521"/>
      <c s="75" r="G521">
        <f>618.46-598.42</f>
        <v>20.0400000000001</v>
      </c>
      <c s="27" r="H521">
        <v>17.04</v>
      </c>
      <c s="27" r="I521">
        <v>15.25</v>
      </c>
      <c s="27" r="J521">
        <v>0.35</v>
      </c>
      <c s="27" r="K521">
        <v>5.19</v>
      </c>
      <c s="59" r="L521">
        <f>SUM(G521:K521)</f>
        <v>57.8700000000001</v>
      </c>
      <c s="79" r="M521">
        <v>854.68</v>
      </c>
      <c s="79" r="N521">
        <v>185.45</v>
      </c>
      <c s="32" r="O521">
        <f>SUMIF(Sellables!$A$2:$A$11482, $A521, Sellables!$G$2:$G$11482)</f>
        <v>0</v>
      </c>
      <c s="32" r="P521">
        <f>SUMIF(Skills!$A$2:$A$9999, A521, Skills!$F$2:$F$9999)</f>
        <v>0</v>
      </c>
      <c s="14" r="Q521">
        <f>((N521+O521)+P521)+AA521</f>
        <v>185.45</v>
      </c>
      <c s="23" r="R521">
        <f>(E521+L521)-M521</f>
        <v>203.19</v>
      </c>
      <c s="70" r="S521">
        <f>Q521-R521</f>
        <v>-17.7400000000002</v>
      </c>
      <c s="29" r="T521">
        <f> (Q521/R521) - 1</f>
        <v>-0.087307446232591</v>
      </c>
      <c s="70" r="U521">
        <f>R521/X521</f>
        <v>13.546</v>
      </c>
      <c s="70" r="V521">
        <f>Q521/X521</f>
        <v>12.3633333333333</v>
      </c>
      <c t="s" s="30" r="W521">
        <v>237</v>
      </c>
      <c s="30" r="X521">
        <v>15</v>
      </c>
      <c t="s" s="30" r="Y521">
        <v>238</v>
      </c>
      <c t="s" s="30" r="Z521">
        <v>42</v>
      </c>
      <c s="30" r="AA521">
        <v>0</v>
      </c>
      <c s="30" r="AB521">
        <v>0</v>
      </c>
      <c s="30" r="AC521">
        <v>1</v>
      </c>
      <c s="30" r="AD521">
        <v>0</v>
      </c>
      <c s="30" r="AE521"/>
      <c s="8" r="AF521">
        <f>(I521+J521)/R521</f>
        <v>0.076775431861804</v>
      </c>
      <c s="28" r="AG521">
        <f>G521/$X521</f>
        <v>1.33600000000001</v>
      </c>
      <c s="28" r="AH521">
        <f>H521/$X521</f>
        <v>1.136</v>
      </c>
      <c s="28" r="AI521">
        <f>I521/$X521</f>
        <v>1.01666666666667</v>
      </c>
      <c s="28" r="AJ521">
        <f>J521/$X521</f>
        <v>0.023333333333333</v>
      </c>
      <c s="28" r="AK521">
        <f>K521/$X521</f>
        <v>0.346</v>
      </c>
      <c s="30" r="AL521">
        <v>1</v>
      </c>
    </row>
    <row r="522">
      <c s="30" r="A522">
        <v>697</v>
      </c>
      <c t="s" s="30" r="B522">
        <v>38</v>
      </c>
      <c s="62" r="C522">
        <v>41638</v>
      </c>
      <c s="52" r="D522">
        <v>0.78125</v>
      </c>
      <c s="27" r="E522">
        <v>1000</v>
      </c>
      <c s="27" r="F522"/>
      <c s="75" r="G522">
        <f>(598.42-571.93)+0.25</f>
        <v>26.74</v>
      </c>
      <c s="27" r="H522">
        <f>203-182.51</f>
        <v>20.49</v>
      </c>
      <c s="27" r="I522">
        <v>8.09</v>
      </c>
      <c s="27" r="J522">
        <v>9.5</v>
      </c>
      <c s="27" r="K522">
        <v>7.35</v>
      </c>
      <c s="59" r="L522">
        <f>SUM(G522:K522)</f>
        <v>72.17</v>
      </c>
      <c s="79" r="M522">
        <v>783.83</v>
      </c>
      <c s="79" r="N522">
        <v>155.38</v>
      </c>
      <c s="32" r="O522">
        <f>SUMIF(Sellables!$A$2:$A$11482, $A522, Sellables!$G$2:$G$11482)</f>
        <v>53.4</v>
      </c>
      <c s="32" r="P522">
        <f>SUMIF(Skills!$A$2:$A$9999, A522, Skills!$F$2:$F$9999)</f>
        <v>0</v>
      </c>
      <c s="14" r="Q522">
        <f>((N522+O522)+P522)+AA522</f>
        <v>208.78</v>
      </c>
      <c s="23" r="R522">
        <f>(E522+L522)-M522</f>
        <v>288.34</v>
      </c>
      <c s="70" r="S522">
        <f>Q522-R522</f>
        <v>-79.56</v>
      </c>
      <c s="29" r="T522">
        <f> (Q522/R522) - 1</f>
        <v>-0.275924256086565</v>
      </c>
      <c t="str" s="70" r="U522">
        <f>R522/X522</f>
        <v>#DIV/0!:divZero</v>
      </c>
      <c t="str" s="70" r="V522">
        <f>Q522/X522</f>
        <v>#DIV/0!:divZero</v>
      </c>
      <c t="s" s="30" r="W522">
        <v>289</v>
      </c>
      <c s="30" r="X522">
        <v>0</v>
      </c>
      <c t="s" s="30" r="Y522">
        <v>203</v>
      </c>
      <c t="s" s="30" r="Z522">
        <v>42</v>
      </c>
      <c s="30" r="AA522">
        <v>0</v>
      </c>
      <c s="30" r="AB522">
        <v>0</v>
      </c>
      <c s="30" r="AC522">
        <v>1</v>
      </c>
      <c s="30" r="AD522">
        <v>0</v>
      </c>
      <c s="30" r="AE522"/>
      <c s="8" r="AF522">
        <f>(I522+J522)/R522</f>
        <v>0.06100436984116</v>
      </c>
      <c t="str" s="28" r="AG522">
        <f>G522/$X522</f>
        <v>#DIV/0!:divZero</v>
      </c>
      <c t="str" s="28" r="AH522">
        <f>H522/$X522</f>
        <v>#DIV/0!:divZero</v>
      </c>
      <c t="str" s="28" r="AI522">
        <f>I522/$X522</f>
        <v>#DIV/0!:divZero</v>
      </c>
      <c t="str" s="28" r="AJ522">
        <f>J522/$X522</f>
        <v>#DIV/0!:divZero</v>
      </c>
      <c t="str" s="28" r="AK522">
        <f>K522/$X522</f>
        <v>#DIV/0!:divZero</v>
      </c>
      <c s="30" r="AL522">
        <v>1</v>
      </c>
    </row>
    <row r="523">
      <c s="30" r="A523">
        <v>698</v>
      </c>
      <c t="s" s="30" r="B523">
        <v>38</v>
      </c>
      <c s="62" r="C523">
        <v>41638</v>
      </c>
      <c s="52" r="D523">
        <v>0.815972222222222</v>
      </c>
      <c s="27" r="E523">
        <v>1100</v>
      </c>
      <c s="27" r="F523"/>
      <c s="75" r="G523">
        <f>856.25-751.17</f>
        <v>105.08</v>
      </c>
      <c s="27" r="H523">
        <v>81.25</v>
      </c>
      <c s="27" r="I523">
        <v>17.08</v>
      </c>
      <c s="27" r="J523">
        <v>4.84</v>
      </c>
      <c s="27" r="K523">
        <v>29.35</v>
      </c>
      <c s="59" r="L523">
        <f>SUM(G523:K523)</f>
        <v>237.6</v>
      </c>
      <c s="79" r="M523">
        <v>315.86</v>
      </c>
      <c s="79" r="N523">
        <v>1030.93</v>
      </c>
      <c s="32" r="O523">
        <f>SUMIF(Sellables!$A$2:$A$11482, $A523, Sellables!$G$2:$G$11482)</f>
        <v>20.2005</v>
      </c>
      <c s="32" r="P523">
        <f>SUMIF(Skills!$A$2:$A$9999, A523, Skills!$F$2:$F$9999)</f>
        <v>0</v>
      </c>
      <c s="14" r="Q523">
        <f>((N523+O523)+P523)+AA523</f>
        <v>1051.1305</v>
      </c>
      <c s="23" r="R523">
        <f>(E523+L523)-M523</f>
        <v>1021.74</v>
      </c>
      <c s="70" r="S523">
        <f>Q523-R523</f>
        <v>29.3905000000001</v>
      </c>
      <c s="29" r="T523">
        <f> (Q523/R523) - 1</f>
        <v>0.028765145731791</v>
      </c>
      <c s="70" r="U523">
        <f>R523/X523</f>
        <v>4.03849802371541</v>
      </c>
      <c s="70" r="V523">
        <f>Q523/X523</f>
        <v>4.15466600790514</v>
      </c>
      <c t="s" s="30" r="W523">
        <v>294</v>
      </c>
      <c s="30" r="X523">
        <v>253</v>
      </c>
      <c t="s" s="30" r="Y523">
        <v>295</v>
      </c>
      <c t="s" s="30" r="Z523">
        <v>42</v>
      </c>
      <c s="30" r="AA523">
        <v>0</v>
      </c>
      <c s="30" r="AB523">
        <v>0</v>
      </c>
      <c s="30" r="AC523">
        <v>6</v>
      </c>
      <c s="30" r="AD523">
        <v>0</v>
      </c>
      <c s="30" r="AE523"/>
      <c s="8" r="AF523">
        <f>(I523+J523)/R523</f>
        <v>0.021453598762895</v>
      </c>
      <c s="28" r="AG523">
        <f>G523/$X523</f>
        <v>0.415335968379447</v>
      </c>
      <c s="28" r="AH523">
        <f>H523/$X523</f>
        <v>0.321146245059288</v>
      </c>
      <c s="28" r="AI523">
        <f>I523/$X523</f>
        <v>0.067509881422925</v>
      </c>
      <c s="28" r="AJ523">
        <f>J523/$X523</f>
        <v>0.019130434782609</v>
      </c>
      <c s="28" r="AK523">
        <f>K523/$X523</f>
        <v>0.11600790513834</v>
      </c>
      <c s="30" r="AL523">
        <v>1</v>
      </c>
    </row>
    <row r="524">
      <c s="30" r="A524">
        <v>699</v>
      </c>
      <c t="s" s="30" r="B524">
        <v>38</v>
      </c>
      <c s="62" r="C524">
        <v>41638</v>
      </c>
      <c s="52" r="D524">
        <v>0.927083333333333</v>
      </c>
      <c s="27" r="E524">
        <v>1000</v>
      </c>
      <c s="27" r="F524"/>
      <c s="75" r="G524">
        <f>751.17-713.41</f>
        <v>37.76</v>
      </c>
      <c s="27" r="H524">
        <v>45.24</v>
      </c>
      <c s="27" r="I524">
        <v>1.31</v>
      </c>
      <c s="27" r="J524">
        <v>0.33</v>
      </c>
      <c s="27" r="K524">
        <v>0</v>
      </c>
      <c s="59" r="L524">
        <f>SUM(G524:K524)</f>
        <v>84.64</v>
      </c>
      <c s="79" r="M524">
        <v>751.85</v>
      </c>
      <c s="79" r="N524">
        <f>285.87+61.32</f>
        <v>347.19</v>
      </c>
      <c s="32" r="O524">
        <f>SUMIF(Sellables!$A$2:$A$11482, $A524, Sellables!$G$2:$G$11482)</f>
        <v>0.03</v>
      </c>
      <c s="32" r="P524">
        <f>SUMIF(Skills!$A$2:$A$9999, A524, Skills!$F$2:$F$9999)</f>
        <v>0</v>
      </c>
      <c s="14" r="Q524">
        <f>((N524+O524)+P524)+AA524</f>
        <v>347.22</v>
      </c>
      <c s="23" r="R524">
        <f>(E524+L524)-M524</f>
        <v>332.79</v>
      </c>
      <c s="70" r="S524">
        <f>Q524-R524</f>
        <v>14.4299999999999</v>
      </c>
      <c s="29" r="T524">
        <f> (Q524/R524) - 1</f>
        <v>0.043360677904985</v>
      </c>
      <c s="70" r="U524">
        <f>R524/X524</f>
        <v>1.3101968503937</v>
      </c>
      <c s="70" r="V524">
        <f>Q524/X524</f>
        <v>1.36700787401575</v>
      </c>
      <c t="s" s="30" r="W524">
        <v>296</v>
      </c>
      <c s="30" r="X524">
        <v>254</v>
      </c>
      <c t="s" s="30" r="Y524">
        <v>295</v>
      </c>
      <c t="s" s="30" r="Z524">
        <v>42</v>
      </c>
      <c s="30" r="AA524">
        <v>0</v>
      </c>
      <c s="30" r="AB524">
        <v>0</v>
      </c>
      <c s="30" r="AC524">
        <v>8</v>
      </c>
      <c s="30" r="AD524">
        <v>0</v>
      </c>
      <c s="30" r="AE524"/>
      <c s="8" r="AF524">
        <f>(I524+J524)/R524</f>
        <v>0.00492803269329</v>
      </c>
      <c s="28" r="AG524">
        <f>G524/$X524</f>
        <v>0.148661417322835</v>
      </c>
      <c s="28" r="AH524">
        <f>H524/$X524</f>
        <v>0.178110236220472</v>
      </c>
      <c s="28" r="AI524">
        <f>I524/$X524</f>
        <v>0.005157480314961</v>
      </c>
      <c s="28" r="AJ524">
        <f>J524/$X524</f>
        <v>0.001299212598425</v>
      </c>
      <c s="28" r="AK524">
        <f>K524/$X524</f>
        <v>0</v>
      </c>
      <c s="30" r="AL524">
        <v>1</v>
      </c>
    </row>
    <row r="525">
      <c s="30" r="A525">
        <v>703</v>
      </c>
      <c t="s" s="30" r="B525">
        <v>38</v>
      </c>
      <c s="62" r="C525">
        <v>41639</v>
      </c>
      <c s="52" r="D525">
        <v>0.0625</v>
      </c>
      <c s="27" r="E525">
        <v>1000</v>
      </c>
      <c s="27" r="F525"/>
      <c s="75" r="G525">
        <f>(0.02+713.41)-680.48</f>
        <v>32.9499999999999</v>
      </c>
      <c s="27" r="H525">
        <v>36.06</v>
      </c>
      <c s="27" r="I525">
        <v>10.16</v>
      </c>
      <c s="27" r="J525">
        <v>4.12</v>
      </c>
      <c s="27" r="K525">
        <v>11.09</v>
      </c>
      <c s="59" r="L525">
        <f>SUM(G525:K525)</f>
        <v>94.3799999999999</v>
      </c>
      <c s="79" r="M525">
        <v>723.51</v>
      </c>
      <c s="79" r="N525">
        <v>377.58</v>
      </c>
      <c s="32" r="O525">
        <f>SUMIF(Sellables!$A$2:$A$11482, $A525, Sellables!$G$2:$G$11482)</f>
        <v>9.064</v>
      </c>
      <c s="32" r="P525">
        <f>SUMIF(Skills!$A$2:$A$9999, A525, Skills!$F$2:$F$9999)</f>
        <v>0</v>
      </c>
      <c s="14" r="Q525">
        <f>((N525+O525)+P525)+AA525</f>
        <v>386.644</v>
      </c>
      <c s="23" r="R525">
        <f>(E525+L525)-M525</f>
        <v>370.87</v>
      </c>
      <c s="70" r="S525">
        <f>Q525-R525</f>
        <v>15.7740000000001</v>
      </c>
      <c s="29" r="T525">
        <f> (Q525/R525) - 1</f>
        <v>0.042532423760348</v>
      </c>
      <c t="str" s="70" r="U525">
        <f>R525/X525</f>
        <v>#DIV/0!:divZero</v>
      </c>
      <c t="str" s="70" r="V525">
        <f>Q525/X525</f>
        <v>#DIV/0!:divZero</v>
      </c>
      <c t="s" s="30" r="W525">
        <v>205</v>
      </c>
      <c s="30" r="X525">
        <v>0</v>
      </c>
      <c t="s" s="30" r="Y525">
        <v>198</v>
      </c>
      <c t="s" s="30" r="Z525">
        <v>42</v>
      </c>
      <c s="30" r="AA525">
        <v>0</v>
      </c>
      <c s="30" r="AB525">
        <v>0</v>
      </c>
      <c s="30" r="AC525">
        <v>1</v>
      </c>
      <c s="30" r="AD525">
        <v>0</v>
      </c>
      <c s="30" r="AE525"/>
      <c s="8" r="AF525">
        <f>(I525+J525)/R525</f>
        <v>0.038504058025723</v>
      </c>
      <c t="str" s="28" r="AG525">
        <f>G525/$X525</f>
        <v>#DIV/0!:divZero</v>
      </c>
      <c t="str" s="28" r="AH525">
        <f>H525/$X525</f>
        <v>#DIV/0!:divZero</v>
      </c>
      <c t="str" s="28" r="AI525">
        <f>I525/$X525</f>
        <v>#DIV/0!:divZero</v>
      </c>
      <c t="str" s="28" r="AJ525">
        <f>J525/$X525</f>
        <v>#DIV/0!:divZero</v>
      </c>
      <c t="str" s="28" r="AK525">
        <f>K525/$X525</f>
        <v>#DIV/0!:divZero</v>
      </c>
      <c s="30" r="AL525">
        <v>1</v>
      </c>
    </row>
    <row r="526">
      <c s="30" r="A526">
        <v>712</v>
      </c>
      <c t="s" s="30" r="B526">
        <v>38</v>
      </c>
      <c s="62" r="C526">
        <v>41639</v>
      </c>
      <c s="52" r="D526">
        <v>0.666666666666667</v>
      </c>
      <c s="27" r="E526">
        <v>0</v>
      </c>
      <c s="27" r="F526"/>
      <c s="75" r="G526">
        <v>47.08</v>
      </c>
      <c s="27" r="H526">
        <v>0</v>
      </c>
      <c s="27" r="I526">
        <v>0</v>
      </c>
      <c s="27" r="J526">
        <v>0.5</v>
      </c>
      <c s="27" r="K526">
        <v>0</v>
      </c>
      <c s="59" r="L526">
        <f>SUM(G526:K526)</f>
        <v>47.58</v>
      </c>
      <c s="79" r="M526">
        <v>0</v>
      </c>
      <c s="79" r="N526">
        <v>36.47</v>
      </c>
      <c s="32" r="O526">
        <f>SUMIF(Sellables!$A$2:$A$11482, $A526, Sellables!$G$2:$G$11482)</f>
        <v>0</v>
      </c>
      <c s="32" r="P526">
        <f>SUMIF(Skills!$A$2:$A$9999, A526, Skills!$F$2:$F$9999)</f>
        <v>0</v>
      </c>
      <c s="14" r="Q526">
        <f>((N526+O526)+P526)+AA526</f>
        <v>36.47</v>
      </c>
      <c s="23" r="R526">
        <f>(E526+L526)-M526</f>
        <v>47.58</v>
      </c>
      <c s="70" r="S526">
        <f>Q526-R526</f>
        <v>-11.11</v>
      </c>
      <c s="29" r="T526">
        <f> (Q526/R526) - 1</f>
        <v>-0.233501471206389</v>
      </c>
      <c t="str" s="70" r="U526">
        <f>R526/X526</f>
        <v>#DIV/0!:divZero</v>
      </c>
      <c t="str" s="70" r="V526">
        <f>Q526/X526</f>
        <v>#DIV/0!:divZero</v>
      </c>
      <c t="s" s="30" r="W526">
        <v>307</v>
      </c>
      <c s="30" r="X526">
        <v>0</v>
      </c>
      <c t="s" s="30" r="Y526">
        <v>279</v>
      </c>
      <c t="s" s="30" r="Z526">
        <v>42</v>
      </c>
      <c s="30" r="AA526">
        <v>0</v>
      </c>
      <c s="30" r="AB526">
        <v>0</v>
      </c>
      <c s="30" r="AC526">
        <v>0</v>
      </c>
      <c s="30" r="AD526">
        <v>0</v>
      </c>
      <c s="30" r="AE526"/>
      <c s="8" r="AF526">
        <f>(I526+J526)/R526</f>
        <v>0.010508617065994</v>
      </c>
      <c t="str" s="28" r="AG526">
        <f>G526/$X526</f>
        <v>#DIV/0!:divZero</v>
      </c>
      <c t="str" s="28" r="AH526">
        <f>H526/$X526</f>
        <v>#DIV/0!:divZero</v>
      </c>
      <c t="str" s="28" r="AI526">
        <f>I526/$X526</f>
        <v>#DIV/0!:divZero</v>
      </c>
      <c t="str" s="28" r="AJ526">
        <f>J526/$X526</f>
        <v>#DIV/0!:divZero</v>
      </c>
      <c t="str" s="28" r="AK526">
        <f>K526/$X526</f>
        <v>#DIV/0!:divZero</v>
      </c>
      <c s="30" r="AL526">
        <v>1</v>
      </c>
    </row>
    <row r="527">
      <c s="30" r="A527">
        <v>713</v>
      </c>
      <c t="s" s="30" r="B527">
        <v>38</v>
      </c>
      <c s="62" r="C527">
        <v>41639</v>
      </c>
      <c s="52" r="D527">
        <v>0.739583333333333</v>
      </c>
      <c s="27" r="E527">
        <v>1100</v>
      </c>
      <c s="27" r="F527"/>
      <c s="75" r="G527">
        <f>(680.48-569.54)+0.02</f>
        <v>110.96</v>
      </c>
      <c s="27" r="H527">
        <v>85.79</v>
      </c>
      <c s="27" r="I527">
        <v>53.83</v>
      </c>
      <c s="27" r="J527">
        <v>0.57</v>
      </c>
      <c s="27" r="K527">
        <v>30.99</v>
      </c>
      <c s="59" r="L527">
        <f>SUM(G527:K527)</f>
        <v>282.14</v>
      </c>
      <c s="79" r="M527">
        <v>274.64</v>
      </c>
      <c s="79" r="N527">
        <v>893.09</v>
      </c>
      <c s="32" r="O527">
        <f>SUMIF(Sellables!$A$2:$A$11482, $A527, Sellables!$G$2:$G$11482)</f>
        <v>210.046789</v>
      </c>
      <c s="32" r="P527">
        <f>SUMIF(Skills!$A$2:$A$9999, A527, Skills!$F$2:$F$9999)</f>
        <v>0</v>
      </c>
      <c s="14" r="Q527">
        <f>((N527+O527)+P527)+AA527</f>
        <v>1103.136789</v>
      </c>
      <c s="23" r="R527">
        <f>(E527+L527)-M527</f>
        <v>1107.5</v>
      </c>
      <c s="70" r="S527">
        <f>Q527-R527</f>
        <v>-4.36321099999986</v>
      </c>
      <c s="29" r="T527">
        <f> (Q527/R527) - 1</f>
        <v>-0.003939693905192</v>
      </c>
      <c s="70" r="U527">
        <f>R527/X527</f>
        <v>4.04197080291971</v>
      </c>
      <c s="70" r="V527">
        <f>Q527/X527</f>
        <v>4.02604667518248</v>
      </c>
      <c t="s" s="30" r="W527">
        <v>294</v>
      </c>
      <c s="30" r="X527">
        <v>274</v>
      </c>
      <c t="s" s="30" r="Y527">
        <v>295</v>
      </c>
      <c t="s" s="30" r="Z527">
        <v>42</v>
      </c>
      <c s="30" r="AA527">
        <v>0</v>
      </c>
      <c s="30" r="AB527">
        <v>0</v>
      </c>
      <c s="30" r="AC527">
        <v>3</v>
      </c>
      <c s="30" r="AD527">
        <v>0</v>
      </c>
      <c s="30" r="AE527"/>
      <c s="8" r="AF527">
        <f>(I527+J527)/R527</f>
        <v>0.049119638826185</v>
      </c>
      <c s="28" r="AG527">
        <f>G527/$X527</f>
        <v>0.404963503649635</v>
      </c>
      <c s="28" r="AH527">
        <f>H527/$X527</f>
        <v>0.313102189781022</v>
      </c>
      <c s="28" r="AI527">
        <f>I527/$X527</f>
        <v>0.196459854014599</v>
      </c>
      <c s="28" r="AJ527">
        <f>J527/$X527</f>
        <v>0.002080291970803</v>
      </c>
      <c s="28" r="AK527">
        <f>K527/$X527</f>
        <v>0.113102189781022</v>
      </c>
      <c s="30" r="AL527">
        <v>1</v>
      </c>
    </row>
    <row r="528">
      <c s="30" r="A528">
        <v>714</v>
      </c>
      <c t="s" s="30" r="B528">
        <v>38</v>
      </c>
      <c s="62" r="C528">
        <v>41639</v>
      </c>
      <c s="52" r="D528">
        <v>0.8125</v>
      </c>
      <c s="27" r="E528">
        <v>700</v>
      </c>
      <c s="27" r="F528"/>
      <c s="75" r="G528">
        <f>(569.54-519.29)+0.16</f>
        <v>50.41</v>
      </c>
      <c s="27" r="H528">
        <v>38.85</v>
      </c>
      <c s="27" r="I528">
        <v>49.22</v>
      </c>
      <c s="27" r="J528">
        <v>2.19</v>
      </c>
      <c s="27" r="K528">
        <v>14.67</v>
      </c>
      <c s="59" r="L528">
        <f>SUM(G528:K528)</f>
        <v>155.34</v>
      </c>
      <c s="79" r="M528">
        <v>375.62</v>
      </c>
      <c s="79" r="N528">
        <v>358.49</v>
      </c>
      <c s="32" r="O528">
        <f>SUMIF(Sellables!$A$2:$A$11482, $A528, Sellables!$G$2:$G$11482)</f>
        <v>19.5</v>
      </c>
      <c s="32" r="P528">
        <f>SUMIF(Skills!$A$2:$A$9999, A528, Skills!$F$2:$F$9999)</f>
        <v>0</v>
      </c>
      <c s="14" r="Q528">
        <f>((N528+O528)+P528)+AA528</f>
        <v>377.99</v>
      </c>
      <c s="23" r="R528">
        <f>(E528+L528)-M528</f>
        <v>479.72</v>
      </c>
      <c s="70" r="S528">
        <f>Q528-R528</f>
        <v>-101.73</v>
      </c>
      <c s="29" r="T528">
        <f> (Q528/R528) - 1</f>
        <v>-0.212061202368048</v>
      </c>
      <c t="str" s="70" r="U528">
        <f>R528/X528</f>
        <v>#DIV/0!:divZero</v>
      </c>
      <c t="str" s="70" r="V528">
        <f>Q528/X528</f>
        <v>#DIV/0!:divZero</v>
      </c>
      <c t="s" s="30" r="W528">
        <v>237</v>
      </c>
      <c s="30" r="X528">
        <v>0</v>
      </c>
      <c t="s" s="30" r="Y528">
        <v>238</v>
      </c>
      <c t="s" s="30" r="Z528">
        <v>42</v>
      </c>
      <c s="30" r="AA528">
        <v>0</v>
      </c>
      <c s="30" r="AB528">
        <v>0</v>
      </c>
      <c s="30" r="AC528">
        <v>2</v>
      </c>
      <c s="30" r="AD528">
        <v>0</v>
      </c>
      <c s="30" r="AE528"/>
      <c s="8" r="AF528">
        <f>(I528+J528)/R528</f>
        <v>0.107166680563662</v>
      </c>
      <c t="str" s="28" r="AG528">
        <f>G528/$X528</f>
        <v>#DIV/0!:divZero</v>
      </c>
      <c t="str" s="28" r="AH528">
        <f>H528/$X528</f>
        <v>#DIV/0!:divZero</v>
      </c>
      <c t="str" s="28" r="AI528">
        <f>I528/$X528</f>
        <v>#DIV/0!:divZero</v>
      </c>
      <c t="str" s="28" r="AJ528">
        <f>J528/$X528</f>
        <v>#DIV/0!:divZero</v>
      </c>
      <c t="str" s="28" r="AK528">
        <f>K528/$X528</f>
        <v>#DIV/0!:divZero</v>
      </c>
      <c s="30" r="AL528">
        <v>1</v>
      </c>
    </row>
    <row r="529">
      <c s="30" r="A529">
        <v>715</v>
      </c>
      <c t="s" s="30" r="B529">
        <v>38</v>
      </c>
      <c s="62" r="C529">
        <v>41639</v>
      </c>
      <c s="52" r="D529">
        <v>0.881944444444444</v>
      </c>
      <c s="27" r="E529">
        <v>1100</v>
      </c>
      <c s="27" r="F529"/>
      <c s="75" r="G529">
        <f>(709.56-599.29)+0.04</f>
        <v>110.31</v>
      </c>
      <c s="27" r="H529">
        <v>85.26</v>
      </c>
      <c s="27" r="I529">
        <v>46.59</v>
      </c>
      <c s="27" r="J529">
        <v>0.81</v>
      </c>
      <c s="27" r="K529">
        <v>31.62</v>
      </c>
      <c s="59" r="L529">
        <f>SUM(G529:K529)</f>
        <v>274.59</v>
      </c>
      <c s="79" r="M529">
        <v>243.41</v>
      </c>
      <c s="79" r="N529">
        <v>762.89</v>
      </c>
      <c s="32" r="O529">
        <f>SUMIF(Sellables!$A$2:$A$11482, $A529, Sellables!$G$2:$G$11482)</f>
        <v>0.07</v>
      </c>
      <c s="32" r="P529">
        <f>SUMIF(Skills!$A$2:$A$9999, A529, Skills!$F$2:$F$9999)</f>
        <v>0</v>
      </c>
      <c s="14" r="Q529">
        <f>((N529+O529)+P529)+AA529</f>
        <v>762.96</v>
      </c>
      <c s="23" r="R529">
        <f>(E529+L529)-M529</f>
        <v>1131.18</v>
      </c>
      <c s="70" r="S529">
        <f>Q529-R529</f>
        <v>-368.22</v>
      </c>
      <c s="29" r="T529">
        <f> (Q529/R529) - 1</f>
        <v>-0.325518485121731</v>
      </c>
      <c s="70" r="U529">
        <f>R529/X529</f>
        <v>4.2686037735849</v>
      </c>
      <c s="70" r="V529">
        <f>Q529/X529</f>
        <v>2.87909433962264</v>
      </c>
      <c t="s" s="30" r="W529">
        <v>294</v>
      </c>
      <c s="30" r="X529">
        <v>265</v>
      </c>
      <c t="s" s="30" r="Y529">
        <v>295</v>
      </c>
      <c t="s" s="30" r="Z529">
        <v>42</v>
      </c>
      <c s="30" r="AA529">
        <v>0</v>
      </c>
      <c s="30" r="AB529">
        <v>0</v>
      </c>
      <c s="30" r="AC529">
        <v>0</v>
      </c>
      <c s="30" r="AD529">
        <v>0</v>
      </c>
      <c s="30" r="AE529"/>
      <c s="8" r="AF529">
        <f>(I529+J529)/R529</f>
        <v>0.041903145388002</v>
      </c>
      <c s="28" r="AG529">
        <f>G529/$X529</f>
        <v>0.416264150943396</v>
      </c>
      <c s="28" r="AH529">
        <f>H529/$X529</f>
        <v>0.321735849056604</v>
      </c>
      <c s="28" r="AI529">
        <f>I529/$X529</f>
        <v>0.175811320754717</v>
      </c>
      <c s="28" r="AJ529">
        <f>J529/$X529</f>
        <v>0.003056603773585</v>
      </c>
      <c s="28" r="AK529">
        <f>K529/$X529</f>
        <v>0.119320754716981</v>
      </c>
      <c s="30" r="AL529">
        <v>1</v>
      </c>
    </row>
    <row r="530">
      <c s="30" r="A530">
        <v>720</v>
      </c>
      <c t="s" s="30" r="B530">
        <v>38</v>
      </c>
      <c s="62" r="C530">
        <v>41640</v>
      </c>
      <c s="52" r="D530">
        <v>0.052083333333333</v>
      </c>
      <c s="27" r="E530">
        <v>750</v>
      </c>
      <c s="27" r="F530"/>
      <c s="75" r="G530">
        <f>(599.24-522.81)+0.04</f>
        <v>76.4700000000001</v>
      </c>
      <c s="27" r="H530">
        <v>59.13</v>
      </c>
      <c s="27" r="I530">
        <v>60.51</v>
      </c>
      <c s="27" r="J530">
        <v>4.7</v>
      </c>
      <c s="27" r="K530">
        <v>18.96</v>
      </c>
      <c s="59" r="L530">
        <f>SUM(G530:K530)</f>
        <v>219.77</v>
      </c>
      <c s="79" r="M530">
        <v>143.48</v>
      </c>
      <c s="79" r="N530">
        <v>379.35</v>
      </c>
      <c s="32" r="O530">
        <f>SUMIF(Sellables!$A$2:$A$11482, $A530, Sellables!$G$2:$G$11482)</f>
        <v>24.2</v>
      </c>
      <c s="32" r="P530">
        <f>SUMIF(Skills!$A$2:$A$9999, A530, Skills!$F$2:$F$9999)</f>
        <v>0</v>
      </c>
      <c s="14" r="Q530">
        <f>((N530+O530)+P530)+AA530</f>
        <v>403.55</v>
      </c>
      <c s="23" r="R530">
        <f>(E530+L530)-M530</f>
        <v>826.29</v>
      </c>
      <c s="70" r="S530">
        <f>Q530-R530</f>
        <v>-422.74</v>
      </c>
      <c s="29" r="T530">
        <f> (Q530/R530) - 1</f>
        <v>-0.511612145856782</v>
      </c>
      <c t="str" s="70" r="U530">
        <f>R530/X530</f>
        <v>#DIV/0!:divZero</v>
      </c>
      <c t="str" s="70" r="V530">
        <f>Q530/X530</f>
        <v>#DIV/0!:divZero</v>
      </c>
      <c t="s" s="30" r="W530">
        <v>237</v>
      </c>
      <c s="30" r="X530">
        <v>0</v>
      </c>
      <c t="s" s="30" r="Y530">
        <v>238</v>
      </c>
      <c t="s" s="30" r="Z530">
        <v>42</v>
      </c>
      <c s="30" r="AA530">
        <v>0</v>
      </c>
      <c s="30" r="AB530">
        <v>0</v>
      </c>
      <c s="30" r="AC530">
        <v>1</v>
      </c>
      <c s="30" r="AD530">
        <v>0</v>
      </c>
      <c s="30" r="AE530"/>
      <c s="8" r="AF530">
        <f>(I530+J530)/R530</f>
        <v>0.07891902358736</v>
      </c>
      <c t="str" s="28" r="AG530">
        <f>G530/$X530</f>
        <v>#DIV/0!:divZero</v>
      </c>
      <c t="str" s="28" r="AH530">
        <f>H530/$X530</f>
        <v>#DIV/0!:divZero</v>
      </c>
      <c t="str" s="28" r="AI530">
        <f>I530/$X530</f>
        <v>#DIV/0!:divZero</v>
      </c>
      <c t="str" s="28" r="AJ530">
        <f>J530/$X530</f>
        <v>#DIV/0!:divZero</v>
      </c>
      <c t="str" s="28" r="AK530">
        <f>K530/$X530</f>
        <v>#DIV/0!:divZero</v>
      </c>
      <c s="30" r="AL530">
        <v>1</v>
      </c>
    </row>
    <row r="531">
      <c s="30" r="A531">
        <v>721</v>
      </c>
      <c t="s" s="30" r="B531">
        <v>38</v>
      </c>
      <c s="62" r="C531">
        <v>41640</v>
      </c>
      <c s="52" r="D531">
        <v>0.083333333333333</v>
      </c>
      <c s="27" r="E531">
        <v>0</v>
      </c>
      <c s="27" r="F531"/>
      <c s="75" r="G531">
        <v>98.47</v>
      </c>
      <c s="27" r="H531">
        <v>0</v>
      </c>
      <c s="27" r="I531">
        <v>0</v>
      </c>
      <c s="27" r="J531">
        <v>3.61</v>
      </c>
      <c s="27" r="K531">
        <v>0</v>
      </c>
      <c s="59" r="L531">
        <f>SUM(G531:K531)</f>
        <v>102.08</v>
      </c>
      <c s="79" r="M531">
        <v>0</v>
      </c>
      <c s="79" r="N531">
        <v>49.31</v>
      </c>
      <c s="32" r="O531">
        <f>SUMIF(Sellables!$A$2:$A$11482, $A531, Sellables!$G$2:$G$11482)</f>
        <v>7.579</v>
      </c>
      <c s="32" r="P531">
        <f>SUMIF(Skills!$A$2:$A$9999, A531, Skills!$F$2:$F$9999)</f>
        <v>0</v>
      </c>
      <c s="14" r="Q531">
        <f>((N531+O531)+P531)+AA531</f>
        <v>56.889</v>
      </c>
      <c s="23" r="R531">
        <f>(E531+L531)-M531</f>
        <v>102.08</v>
      </c>
      <c s="70" r="S531">
        <f>Q531-R531</f>
        <v>-45.191</v>
      </c>
      <c s="29" r="T531">
        <f> (Q531/R531) - 1</f>
        <v>-0.442701802507837</v>
      </c>
      <c s="70" r="U531">
        <f>R531/X531</f>
        <v>1.16</v>
      </c>
      <c s="70" r="V531">
        <f>Q531/X531</f>
        <v>0.646465909090909</v>
      </c>
      <c t="s" s="30" r="W531">
        <v>131</v>
      </c>
      <c s="30" r="X531">
        <v>88</v>
      </c>
      <c t="s" s="30" r="Y531">
        <v>132</v>
      </c>
      <c t="s" s="30" r="Z531">
        <v>42</v>
      </c>
      <c s="30" r="AA531">
        <v>0</v>
      </c>
      <c s="30" r="AB531">
        <v>0</v>
      </c>
      <c s="30" r="AC531">
        <v>0</v>
      </c>
      <c s="30" r="AD531">
        <v>0</v>
      </c>
      <c s="30" r="AE531"/>
      <c s="8" r="AF531">
        <f>(I531+J531)/R531</f>
        <v>0.035364420062696</v>
      </c>
      <c s="28" r="AG531">
        <f>G531/$X531</f>
        <v>1.11897727272727</v>
      </c>
      <c s="28" r="AH531">
        <f>H531/$X531</f>
        <v>0</v>
      </c>
      <c s="28" r="AI531">
        <f>I531/$X531</f>
        <v>0</v>
      </c>
      <c s="28" r="AJ531">
        <f>J531/$X531</f>
        <v>0.041022727272727</v>
      </c>
      <c s="28" r="AK531">
        <f>K531/$X531</f>
        <v>0</v>
      </c>
      <c s="30" r="AL531">
        <v>1</v>
      </c>
    </row>
    <row r="532">
      <c s="30" r="A532">
        <v>722</v>
      </c>
      <c t="s" s="30" r="B532">
        <v>38</v>
      </c>
      <c s="62" r="C532">
        <v>41640</v>
      </c>
      <c s="52" r="D532">
        <v>0.135416666666667</v>
      </c>
      <c s="27" r="E532">
        <v>1100</v>
      </c>
      <c s="27" r="F532">
        <v>0.05</v>
      </c>
      <c s="75" r="G532">
        <f>(950.8-842.98)+0.05</f>
        <v>107.87</v>
      </c>
      <c s="27" r="H532">
        <v>83.37</v>
      </c>
      <c s="27" r="I532">
        <v>46.91</v>
      </c>
      <c s="27" r="J532">
        <v>0.52</v>
      </c>
      <c s="27" r="K532">
        <v>32</v>
      </c>
      <c s="59" r="L532">
        <f>SUM(G532:K532)</f>
        <v>270.67</v>
      </c>
      <c s="79" r="M532">
        <v>326.52</v>
      </c>
      <c s="79" r="N532">
        <v>942.04</v>
      </c>
      <c s="32" r="O532">
        <f>SUMIF(Sellables!$A$2:$A$11482, $A532, Sellables!$G$2:$G$11482)</f>
        <v>82.49</v>
      </c>
      <c s="32" r="P532">
        <f>SUMIF(Skills!$A$2:$A$9999, A532, Skills!$F$2:$F$9999)</f>
        <v>0</v>
      </c>
      <c s="14" r="Q532">
        <f>((N532+O532)+P532)+AA532</f>
        <v>1024.53</v>
      </c>
      <c s="23" r="R532">
        <f>((E532+F532)+L532)-M532</f>
        <v>1044.2</v>
      </c>
      <c s="70" r="S532">
        <f>Q532-R532</f>
        <v>-19.6699999999998</v>
      </c>
      <c s="29" r="T532">
        <f> (Q532/R532) - 1</f>
        <v>-0.018837387473664</v>
      </c>
      <c s="70" r="U532">
        <f>R532/X532</f>
        <v>3.95530303030303</v>
      </c>
      <c s="70" r="V532">
        <f>Q532/X532</f>
        <v>3.88079545454545</v>
      </c>
      <c t="s" s="30" r="W532">
        <v>294</v>
      </c>
      <c s="30" r="X532">
        <v>264</v>
      </c>
      <c t="s" s="30" r="Y532">
        <v>295</v>
      </c>
      <c t="s" s="30" r="Z532">
        <v>42</v>
      </c>
      <c s="30" r="AA532">
        <v>0</v>
      </c>
      <c s="30" r="AB532">
        <v>0</v>
      </c>
      <c s="30" r="AC532">
        <v>3</v>
      </c>
      <c s="30" r="AD532">
        <v>0</v>
      </c>
      <c s="30" r="AE532"/>
      <c s="8" r="AF532">
        <f>(I532+J532)/R532</f>
        <v>0.04542233288642</v>
      </c>
      <c s="28" r="AG532">
        <f>G532/$X532</f>
        <v>0.408598484848485</v>
      </c>
      <c s="28" r="AH532">
        <f>H532/$X532</f>
        <v>0.315795454545455</v>
      </c>
      <c s="28" r="AI532">
        <f>I532/$X532</f>
        <v>0.177689393939394</v>
      </c>
      <c s="28" r="AJ532">
        <f>J532/$X532</f>
        <v>0.001969696969697</v>
      </c>
      <c s="28" r="AK532">
        <f>K532/$X532</f>
        <v>0.121212121212121</v>
      </c>
      <c s="30" r="AL532">
        <v>1</v>
      </c>
    </row>
    <row r="533">
      <c s="30" r="A533">
        <v>729</v>
      </c>
      <c t="s" s="30" r="B533">
        <v>38</v>
      </c>
      <c s="62" r="C533">
        <v>41640</v>
      </c>
      <c s="52" r="D533">
        <v>0.208333333333333</v>
      </c>
      <c s="27" r="E533">
        <v>0</v>
      </c>
      <c s="27" r="F533">
        <v>0.05</v>
      </c>
      <c s="75" r="G533">
        <v>17.99</v>
      </c>
      <c s="27" r="H533">
        <v>0</v>
      </c>
      <c s="27" r="I533">
        <v>0</v>
      </c>
      <c s="27" r="J533">
        <v>0.4</v>
      </c>
      <c s="27" r="K533">
        <v>0</v>
      </c>
      <c s="59" r="L533">
        <f>SUM(G533:K533)</f>
        <v>18.39</v>
      </c>
      <c s="79" r="M533">
        <v>0</v>
      </c>
      <c s="79" r="N533">
        <v>31.35</v>
      </c>
      <c s="32" r="O533">
        <f>SUMIF(Sellables!$A$2:$A$11482, $A533, Sellables!$G$2:$G$11482)</f>
        <v>0</v>
      </c>
      <c s="32" r="P533">
        <f>SUMIF(Skills!$A$2:$A$9999, A533, Skills!$F$2:$F$9999)</f>
        <v>0</v>
      </c>
      <c s="14" r="Q533">
        <f>((N533+O533)+P533)+AA533</f>
        <v>31.35</v>
      </c>
      <c s="23" r="R533">
        <f>((E533+F533)+L533)-M533</f>
        <v>18.44</v>
      </c>
      <c s="70" r="S533">
        <f>Q533-R533</f>
        <v>12.91</v>
      </c>
      <c s="29" r="T533">
        <f> (Q533/R533) - 1</f>
        <v>0.700108459869848</v>
      </c>
      <c t="str" s="70" r="U533">
        <f>R533/X533</f>
        <v>#DIV/0!:divZero</v>
      </c>
      <c t="str" s="70" r="V533">
        <f>Q533/X533</f>
        <v>#DIV/0!:divZero</v>
      </c>
      <c t="s" s="30" r="W533">
        <v>308</v>
      </c>
      <c s="30" r="X533">
        <v>0</v>
      </c>
      <c t="s" s="30" r="Y533">
        <v>295</v>
      </c>
      <c t="s" s="30" r="Z533">
        <v>42</v>
      </c>
      <c s="30" r="AA533">
        <v>0</v>
      </c>
      <c s="30" r="AB533">
        <v>0</v>
      </c>
      <c s="30" r="AC533">
        <v>0</v>
      </c>
      <c s="30" r="AD533">
        <v>0</v>
      </c>
      <c s="30" r="AE533"/>
      <c s="8" r="AF533">
        <f>(I533+J533)/R533</f>
        <v>0.021691973969631</v>
      </c>
      <c t="str" s="28" r="AG533">
        <f>G533/$X533</f>
        <v>#DIV/0!:divZero</v>
      </c>
      <c t="str" s="28" r="AH533">
        <f>H533/$X533</f>
        <v>#DIV/0!:divZero</v>
      </c>
      <c t="str" s="28" r="AI533">
        <f>I533/$X533</f>
        <v>#DIV/0!:divZero</v>
      </c>
      <c t="str" s="28" r="AJ533">
        <f>J533/$X533</f>
        <v>#DIV/0!:divZero</v>
      </c>
      <c t="str" s="28" r="AK533">
        <f>K533/$X533</f>
        <v>#DIV/0!:divZero</v>
      </c>
      <c s="30" r="AL533">
        <v>1</v>
      </c>
    </row>
    <row r="534">
      <c s="30" r="A534">
        <v>730</v>
      </c>
      <c t="s" s="30" r="B534">
        <v>38</v>
      </c>
      <c s="62" r="C534">
        <v>41640</v>
      </c>
      <c s="52" r="D534">
        <v>0.559027777777778</v>
      </c>
      <c s="27" r="E534">
        <v>1100</v>
      </c>
      <c s="27" r="F534">
        <v>0.05</v>
      </c>
      <c s="75" r="G534">
        <f>842.98-731.56</f>
        <v>111.42</v>
      </c>
      <c s="27" r="H534">
        <v>86.15</v>
      </c>
      <c s="27" r="I534">
        <v>47.14</v>
      </c>
      <c s="27" r="J534">
        <v>0.47</v>
      </c>
      <c s="27" r="K534">
        <v>28.37</v>
      </c>
      <c s="59" r="L534">
        <f>SUM(G534:K534)</f>
        <v>273.55</v>
      </c>
      <c s="79" r="M534">
        <v>284.07</v>
      </c>
      <c s="79" r="N534">
        <v>917.6</v>
      </c>
      <c s="32" r="O534">
        <f>SUMIF(Sellables!$A$2:$A$11482, $A534, Sellables!$G$2:$G$11482)</f>
        <v>0.03</v>
      </c>
      <c s="32" r="P534">
        <f>SUMIF(Skills!$A$2:$A$9999, A534, Skills!$F$2:$F$9999)</f>
        <v>0</v>
      </c>
      <c s="14" r="Q534">
        <f>((N534+O534)+P534)+AA534</f>
        <v>917.63</v>
      </c>
      <c s="23" r="R534">
        <f>((E534+F534)+L534)-M534</f>
        <v>1089.53</v>
      </c>
      <c s="70" r="S534">
        <f>Q534-R534</f>
        <v>-171.9</v>
      </c>
      <c s="29" r="T534">
        <f> (Q534/R534) - 1</f>
        <v>-0.157774453204593</v>
      </c>
      <c s="70" r="U534">
        <f>R534/X534</f>
        <v>4.12700757575758</v>
      </c>
      <c s="70" r="V534">
        <f>Q534/X534</f>
        <v>3.47587121212121</v>
      </c>
      <c t="s" s="30" r="W534">
        <v>294</v>
      </c>
      <c s="30" r="X534">
        <v>264</v>
      </c>
      <c t="s" s="30" r="Y534">
        <v>295</v>
      </c>
      <c t="s" s="30" r="Z534">
        <v>42</v>
      </c>
      <c s="30" r="AA534">
        <v>0</v>
      </c>
      <c s="30" r="AB534">
        <v>0</v>
      </c>
      <c s="30" r="AC534">
        <v>3</v>
      </c>
      <c s="30" r="AD534">
        <v>0</v>
      </c>
      <c s="30" r="AE534"/>
      <c s="8" r="AF534">
        <f>(I534+J534)/R534</f>
        <v>0.043697741227869</v>
      </c>
      <c s="28" r="AG534">
        <f>G534/$X534</f>
        <v>0.422045454545455</v>
      </c>
      <c s="28" r="AH534">
        <f>H534/$X534</f>
        <v>0.326325757575758</v>
      </c>
      <c s="28" r="AI534">
        <f>I534/$X534</f>
        <v>0.178560606060606</v>
      </c>
      <c s="28" r="AJ534">
        <f>J534/$X534</f>
        <v>0.001780303030303</v>
      </c>
      <c s="28" r="AK534">
        <f>K534/$X534</f>
        <v>0.107462121212121</v>
      </c>
      <c s="30" r="AL534">
        <v>1</v>
      </c>
    </row>
    <row r="535">
      <c s="30" r="A535">
        <v>736</v>
      </c>
      <c t="s" s="30" r="B535">
        <v>38</v>
      </c>
      <c s="62" r="C535">
        <v>41640</v>
      </c>
      <c s="52" r="D535">
        <v>0.770833333333333</v>
      </c>
      <c s="27" r="E535">
        <v>1100</v>
      </c>
      <c s="27" r="F535">
        <v>10.05</v>
      </c>
      <c s="75" r="G535">
        <f>731.56-621.25</f>
        <v>110.31</v>
      </c>
      <c s="27" r="H535">
        <v>85.29</v>
      </c>
      <c s="27" r="I535">
        <v>44.16</v>
      </c>
      <c s="27" r="J535">
        <v>0.35</v>
      </c>
      <c s="27" r="K535">
        <v>31.5</v>
      </c>
      <c s="59" r="L535">
        <f>SUM(G535:K535)</f>
        <v>271.61</v>
      </c>
      <c s="79" r="M535">
        <v>302.44</v>
      </c>
      <c s="79" r="N535">
        <v>1106.71</v>
      </c>
      <c s="32" r="O535">
        <f>SUMIF(Sellables!$A$2:$A$11482, $A535, Sellables!$G$2:$G$11482)</f>
        <v>219.16</v>
      </c>
      <c s="32" r="P535">
        <f>SUMIF(Skills!$A$2:$A$9999, A535, Skills!$F$2:$F$9999)</f>
        <v>0</v>
      </c>
      <c s="14" r="Q535">
        <f>((N535+O535)+P535)+AA535</f>
        <v>1325.87</v>
      </c>
      <c s="23" r="R535">
        <f>((E535+F535)+L535)-M535</f>
        <v>1079.22</v>
      </c>
      <c s="70" r="S535">
        <f>Q535-R535</f>
        <v>246.65</v>
      </c>
      <c s="29" r="T535">
        <f> (Q535/R535) - 1</f>
        <v>0.22854468968329</v>
      </c>
      <c s="70" r="U535">
        <f>R535/X535</f>
        <v>3.98236162361624</v>
      </c>
      <c s="70" r="V535">
        <f>Q535/X535</f>
        <v>4.89250922509225</v>
      </c>
      <c t="s" s="30" r="W535">
        <v>294</v>
      </c>
      <c s="30" r="X535">
        <v>271</v>
      </c>
      <c t="s" s="30" r="Y535">
        <v>295</v>
      </c>
      <c t="s" s="30" r="Z535">
        <v>42</v>
      </c>
      <c s="30" r="AA535">
        <v>0</v>
      </c>
      <c s="30" r="AB535">
        <v>0</v>
      </c>
      <c s="30" r="AC535">
        <v>2</v>
      </c>
      <c s="30" r="AD535">
        <v>0</v>
      </c>
      <c t="s" s="30" r="AE535">
        <v>309</v>
      </c>
      <c s="8" r="AF535">
        <f>(I535+J535)/R535</f>
        <v>0.04124274939308</v>
      </c>
      <c s="28" r="AG535">
        <f>G535/$X535</f>
        <v>0.407047970479705</v>
      </c>
      <c s="28" r="AH535">
        <f>H535/$X535</f>
        <v>0.314723247232472</v>
      </c>
      <c s="28" r="AI535">
        <f>I535/$X535</f>
        <v>0.162952029520295</v>
      </c>
      <c s="28" r="AJ535">
        <f>J535/$X535</f>
        <v>0.001291512915129</v>
      </c>
      <c s="28" r="AK535">
        <f>K535/$X535</f>
        <v>0.116236162361624</v>
      </c>
      <c s="30" r="AL535">
        <v>1</v>
      </c>
    </row>
    <row r="536">
      <c s="30" r="A536">
        <v>737</v>
      </c>
      <c t="s" s="30" r="B536">
        <v>38</v>
      </c>
      <c s="62" r="C536">
        <v>41640</v>
      </c>
      <c s="52" r="D536">
        <v>0.826388888888889</v>
      </c>
      <c s="27" r="E536">
        <v>1100</v>
      </c>
      <c s="27" r="F536">
        <v>0.05</v>
      </c>
      <c s="75" r="G536">
        <f>621.25-513.69</f>
        <v>107.56</v>
      </c>
      <c s="27" r="H536">
        <v>83.17</v>
      </c>
      <c s="27" r="I536">
        <v>39.47</v>
      </c>
      <c s="27" r="J536">
        <v>0.47</v>
      </c>
      <c s="27" r="K536">
        <v>31.5</v>
      </c>
      <c s="59" r="L536">
        <f>SUM(G536:K536)</f>
        <v>262.17</v>
      </c>
      <c s="79" r="M536">
        <v>293.78</v>
      </c>
      <c s="79" r="N536">
        <v>775.74</v>
      </c>
      <c s="32" r="O536">
        <f>SUMIF(Sellables!$A$2:$A$11482, $A536, Sellables!$G$2:$G$11482)</f>
        <v>70.9032</v>
      </c>
      <c s="32" r="P536">
        <f>SUMIF(Skills!$A$2:$A$9999, A536, Skills!$F$2:$F$9999)</f>
        <v>0</v>
      </c>
      <c s="14" r="Q536">
        <f>((N536+O536)+P536)+AA536</f>
        <v>846.6432</v>
      </c>
      <c s="23" r="R536">
        <f>((E536+F536)+L536)-M536</f>
        <v>1068.44</v>
      </c>
      <c s="70" r="S536">
        <f>Q536-R536</f>
        <v>-221.7968</v>
      </c>
      <c s="29" r="T536">
        <f> (Q536/R536) - 1</f>
        <v>-0.207589382651342</v>
      </c>
      <c s="70" r="U536">
        <f>R536/X536</f>
        <v>4.07801526717557</v>
      </c>
      <c s="70" r="V536">
        <f>Q536/X536</f>
        <v>3.23146259541985</v>
      </c>
      <c t="s" s="30" r="W536">
        <v>294</v>
      </c>
      <c s="30" r="X536">
        <v>262</v>
      </c>
      <c t="s" s="30" r="Y536">
        <v>295</v>
      </c>
      <c t="s" s="30" r="Z536">
        <v>42</v>
      </c>
      <c s="30" r="AA536">
        <v>0</v>
      </c>
      <c s="30" r="AB536">
        <v>0</v>
      </c>
      <c s="30" r="AC536">
        <v>3</v>
      </c>
      <c s="30" r="AD536">
        <v>0</v>
      </c>
      <c s="30" r="AE536"/>
      <c s="8" r="AF536">
        <f>(I536+J536)/R536</f>
        <v>0.037381603084871</v>
      </c>
      <c s="28" r="AG536">
        <f>G536/$X536</f>
        <v>0.410534351145038</v>
      </c>
      <c s="28" r="AH536">
        <f>H536/$X536</f>
        <v>0.317442748091603</v>
      </c>
      <c s="28" r="AI536">
        <f>I536/$X536</f>
        <v>0.150648854961832</v>
      </c>
      <c s="28" r="AJ536">
        <f>J536/$X536</f>
        <v>0.001793893129771</v>
      </c>
      <c s="28" r="AK536">
        <f>K536/$X536</f>
        <v>0.120229007633588</v>
      </c>
      <c s="30" r="AL536">
        <v>1</v>
      </c>
    </row>
    <row r="537">
      <c s="30" r="A537">
        <v>738</v>
      </c>
      <c t="s" s="30" r="B537">
        <v>38</v>
      </c>
      <c s="62" r="C537">
        <v>41640</v>
      </c>
      <c s="52" r="D537">
        <v>0.875</v>
      </c>
      <c s="27" r="E537">
        <v>1100</v>
      </c>
      <c s="27" r="F537">
        <v>0.05</v>
      </c>
      <c s="75" r="G537">
        <f>799.2-766.61</f>
        <v>32.59</v>
      </c>
      <c s="27" r="H537">
        <v>38.95</v>
      </c>
      <c s="27" r="I537">
        <v>2.14</v>
      </c>
      <c s="27" r="J537">
        <v>0.33</v>
      </c>
      <c s="27" r="K537">
        <v>0.12</v>
      </c>
      <c s="59" r="L537">
        <f>SUM(G537:K537)</f>
        <v>74.13</v>
      </c>
      <c s="79" r="M537">
        <v>892.67</v>
      </c>
      <c s="79" r="N537">
        <v>245.74</v>
      </c>
      <c s="32" r="O537">
        <f>SUMIF(Sellables!$A$2:$A$11482, $A537, Sellables!$G$2:$G$11482)</f>
        <v>0.02</v>
      </c>
      <c s="32" r="P537">
        <f>SUMIF(Skills!$A$2:$A$9999, A537, Skills!$F$2:$F$9999)</f>
        <v>0</v>
      </c>
      <c s="14" r="Q537">
        <f>((N537+O537)+P537)+AA537</f>
        <v>245.76</v>
      </c>
      <c s="23" r="R537">
        <f>((E537+F537)+L537)-M537</f>
        <v>281.51</v>
      </c>
      <c s="70" r="S537">
        <f>Q537-R537</f>
        <v>-35.7500000000001</v>
      </c>
      <c s="29" r="T537">
        <f> (Q537/R537) - 1</f>
        <v>-0.126993712479131</v>
      </c>
      <c s="70" r="U537">
        <f>R537/X537</f>
        <v>1.10830708661417</v>
      </c>
      <c s="70" r="V537">
        <f>Q537/X537</f>
        <v>0.96755905511811</v>
      </c>
      <c t="s" s="30" r="W537">
        <v>296</v>
      </c>
      <c s="30" r="X537">
        <v>254</v>
      </c>
      <c t="s" s="30" r="Y537">
        <v>295</v>
      </c>
      <c t="s" s="30" r="Z537">
        <v>42</v>
      </c>
      <c s="30" r="AA537">
        <v>0</v>
      </c>
      <c s="30" r="AB537">
        <v>0</v>
      </c>
      <c s="30" r="AC537">
        <v>7</v>
      </c>
      <c s="30" r="AD537">
        <v>0</v>
      </c>
      <c s="30" r="AE537"/>
      <c s="8" r="AF537">
        <f>(I537+J537)/R537</f>
        <v>0.008774111044013</v>
      </c>
      <c s="28" r="AG537">
        <f>G537/$X537</f>
        <v>0.128307086614173</v>
      </c>
      <c s="28" r="AH537">
        <f>H537/$X537</f>
        <v>0.153346456692913</v>
      </c>
      <c s="28" r="AI537">
        <f>I537/$X537</f>
        <v>0.008425196850394</v>
      </c>
      <c s="28" r="AJ537">
        <f>J537/$X537</f>
        <v>0.001299212598425</v>
      </c>
      <c s="28" r="AK537">
        <f>K537/$X537</f>
        <v>0.000472440944882</v>
      </c>
      <c s="30" r="AL537">
        <v>1</v>
      </c>
    </row>
    <row r="538">
      <c s="30" r="A538">
        <v>751</v>
      </c>
      <c t="s" s="30" r="B538">
        <v>38</v>
      </c>
      <c s="62" r="C538">
        <v>41641</v>
      </c>
      <c s="52" r="D538">
        <v>0.666666666666667</v>
      </c>
      <c s="27" r="E538">
        <v>800</v>
      </c>
      <c s="27" r="F538">
        <v>0.05</v>
      </c>
      <c s="75" r="G538">
        <f>(766.61-747.27)+0.04</f>
        <v>19.38</v>
      </c>
      <c s="27" r="H538">
        <v>14.95</v>
      </c>
      <c s="27" r="I538">
        <v>11.2</v>
      </c>
      <c s="27" r="J538">
        <v>3.09</v>
      </c>
      <c s="27" r="K538">
        <v>5.62</v>
      </c>
      <c s="59" r="L538">
        <f>SUM(G538:K538)</f>
        <v>54.24</v>
      </c>
      <c s="79" r="M538">
        <v>658.91</v>
      </c>
      <c s="79" r="N538">
        <v>247.91</v>
      </c>
      <c s="32" r="O538">
        <f>SUMIF(Sellables!$A$2:$A$11482, $A538, Sellables!$G$2:$G$11482)</f>
        <v>0</v>
      </c>
      <c s="32" r="P538">
        <f>SUMIF(Skills!$A$2:$A$9999, A538, Skills!$F$2:$F$9999)</f>
        <v>0</v>
      </c>
      <c s="14" r="Q538">
        <f>((N538+O538)+P538)+AA538</f>
        <v>247.91</v>
      </c>
      <c s="23" r="R538">
        <f>((E538+F538)+L538)-M538</f>
        <v>195.38</v>
      </c>
      <c s="70" r="S538">
        <f>Q538-R538</f>
        <v>52.53</v>
      </c>
      <c s="29" r="T538">
        <f> (Q538/R538) - 1</f>
        <v>0.268860681748388</v>
      </c>
      <c t="str" s="70" r="U538">
        <f>R538/X538</f>
        <v>#DIV/0!:divZero</v>
      </c>
      <c t="str" s="70" r="V538">
        <f>Q538/X538</f>
        <v>#DIV/0!:divZero</v>
      </c>
      <c t="s" s="30" r="W538">
        <v>237</v>
      </c>
      <c s="30" r="X538">
        <v>0</v>
      </c>
      <c t="s" s="30" r="Y538">
        <v>238</v>
      </c>
      <c t="s" s="30" r="Z538">
        <v>42</v>
      </c>
      <c s="30" r="AA538">
        <v>0</v>
      </c>
      <c s="30" r="AB538">
        <v>0</v>
      </c>
      <c s="30" r="AC538">
        <v>1</v>
      </c>
      <c s="30" r="AD538">
        <v>0</v>
      </c>
      <c s="30" r="AE538"/>
      <c s="8" r="AF538">
        <f>(I538+J538)/R538</f>
        <v>0.073139522980858</v>
      </c>
      <c t="str" s="28" r="AG538">
        <f>G538/$X538</f>
        <v>#DIV/0!:divZero</v>
      </c>
      <c t="str" s="28" r="AH538">
        <f>H538/$X538</f>
        <v>#DIV/0!:divZero</v>
      </c>
      <c t="str" s="28" r="AI538">
        <f>I538/$X538</f>
        <v>#DIV/0!:divZero</v>
      </c>
      <c t="str" s="28" r="AJ538">
        <f>J538/$X538</f>
        <v>#DIV/0!:divZero</v>
      </c>
      <c t="str" s="28" r="AK538">
        <f>K538/$X538</f>
        <v>#DIV/0!:divZero</v>
      </c>
      <c s="30" r="AL538">
        <v>1</v>
      </c>
    </row>
    <row r="539">
      <c s="30" r="A539">
        <v>752</v>
      </c>
      <c t="s" s="30" r="B539">
        <v>38</v>
      </c>
      <c s="62" r="C539">
        <v>41641</v>
      </c>
      <c s="52" r="D539">
        <v>0.708333333333333</v>
      </c>
      <c s="27" r="E539">
        <v>500</v>
      </c>
      <c s="27" r="F539">
        <v>0.15</v>
      </c>
      <c s="75" r="G539">
        <f>(747.27-741.63)+5.66</f>
        <v>11.3</v>
      </c>
      <c s="27" r="H539">
        <v>7.45</v>
      </c>
      <c s="27" r="I539">
        <v>0.69</v>
      </c>
      <c s="27" r="J539">
        <v>0.42</v>
      </c>
      <c s="27" r="K539">
        <v>1.42</v>
      </c>
      <c s="59" r="L539">
        <f>SUM(G539:K539)</f>
        <v>21.28</v>
      </c>
      <c s="79" r="M539">
        <v>461.99</v>
      </c>
      <c s="79" r="N539">
        <f>94.15+4.38</f>
        <v>98.53</v>
      </c>
      <c s="32" r="O539">
        <f>SUMIF(Sellables!$A$2:$A$11482, $A539, Sellables!$G$2:$G$11482)</f>
        <v>19.6592</v>
      </c>
      <c s="32" r="P539">
        <f>SUMIF(Skills!$A$2:$A$9999, A539, Skills!$F$2:$F$9999)</f>
        <v>0</v>
      </c>
      <c s="14" r="Q539">
        <f>((N539+O539)+P539)+AA539</f>
        <v>118.1892</v>
      </c>
      <c s="14" r="R539">
        <f>((E539+F539)+L539)-M539</f>
        <v>59.4399999999999</v>
      </c>
      <c s="70" r="S539">
        <f>Q539-R539</f>
        <v>58.7492000000001</v>
      </c>
      <c s="29" r="T539">
        <f> (Q539/R539) - 1</f>
        <v>0.988378196500675</v>
      </c>
      <c t="str" s="70" r="U539">
        <f>R539/X539</f>
        <v>#DIV/0!:divZero</v>
      </c>
      <c t="str" s="70" r="V539">
        <f>Q539/X539</f>
        <v>#DIV/0!:divZero</v>
      </c>
      <c t="s" s="30" r="W539">
        <v>99</v>
      </c>
      <c s="30" r="X539">
        <v>0</v>
      </c>
      <c t="s" s="30" r="Y539">
        <v>41</v>
      </c>
      <c t="s" s="30" r="Z539">
        <v>42</v>
      </c>
      <c s="30" r="AA539">
        <v>0</v>
      </c>
      <c s="30" r="AB539">
        <v>0</v>
      </c>
      <c s="30" r="AC539">
        <v>1</v>
      </c>
      <c s="30" r="AD539">
        <v>0</v>
      </c>
      <c s="30" r="AE539"/>
      <c s="8" r="AF539">
        <f>(I539+J539)/R539</f>
        <v>0.018674293405114</v>
      </c>
      <c t="str" s="28" r="AG539">
        <f>G539/$X539</f>
        <v>#DIV/0!:divZero</v>
      </c>
      <c t="str" s="28" r="AH539">
        <f>H539/$X539</f>
        <v>#DIV/0!:divZero</v>
      </c>
      <c t="str" s="28" r="AI539">
        <f>I539/$X539</f>
        <v>#DIV/0!:divZero</v>
      </c>
      <c t="str" s="28" r="AJ539">
        <f>J539/$X539</f>
        <v>#DIV/0!:divZero</v>
      </c>
      <c t="str" s="28" r="AK539">
        <f>K539/$X539</f>
        <v>#DIV/0!:divZero</v>
      </c>
      <c s="30" r="AL539">
        <v>1</v>
      </c>
    </row>
    <row r="540">
      <c s="30" r="A540">
        <v>753</v>
      </c>
      <c t="s" s="30" r="B540">
        <v>38</v>
      </c>
      <c s="62" r="C540">
        <v>41641</v>
      </c>
      <c s="52" r="D540">
        <v>0.729166666666667</v>
      </c>
      <c s="27" r="E540">
        <v>700</v>
      </c>
      <c s="27" r="F540">
        <v>0.15</v>
      </c>
      <c s="75" r="G540">
        <f>((741.63-704.05)+12.07)+0.01</f>
        <v>49.66</v>
      </c>
      <c s="27" r="H540">
        <v>49.92</v>
      </c>
      <c s="27" r="I540">
        <v>8.16</v>
      </c>
      <c s="27" r="J540">
        <v>0.9</v>
      </c>
      <c s="27" r="K540">
        <v>14.65</v>
      </c>
      <c s="59" r="L540">
        <f>SUM(G540:K540)</f>
        <v>123.29</v>
      </c>
      <c s="79" r="M540">
        <v>436.17</v>
      </c>
      <c s="79" r="N540">
        <v>455.55</v>
      </c>
      <c s="32" r="O540">
        <f>SUMIF(Sellables!$A$2:$A$11482, $A540, Sellables!$G$2:$G$11482)</f>
        <v>0</v>
      </c>
      <c s="32" r="P540">
        <f>SUMIF(Skills!$A$2:$A$9999, A540, Skills!$F$2:$F$9999)</f>
        <v>0</v>
      </c>
      <c s="14" r="Q540">
        <f>((N540+O540)+P540)+AA540</f>
        <v>475.55</v>
      </c>
      <c s="23" r="R540">
        <f>((E540+F540)+L540)-M540</f>
        <v>387.27</v>
      </c>
      <c s="70" r="S540">
        <f>Q540-R540</f>
        <v>88.28</v>
      </c>
      <c s="29" r="T540">
        <f> (Q540/R540) - 1</f>
        <v>0.227954656957678</v>
      </c>
      <c s="70" r="U540">
        <f>R540/X540</f>
        <v>3.025546875</v>
      </c>
      <c s="70" r="V540">
        <f>Q540/X540</f>
        <v>3.715234375</v>
      </c>
      <c t="s" s="30" r="W540">
        <v>118</v>
      </c>
      <c s="30" r="X540">
        <v>128</v>
      </c>
      <c t="s" s="30" r="Y540">
        <v>310</v>
      </c>
      <c t="s" s="30" r="Z540">
        <v>42</v>
      </c>
      <c s="30" r="AA540">
        <v>20</v>
      </c>
      <c s="30" r="AB540">
        <v>1</v>
      </c>
      <c s="30" r="AC540">
        <v>2</v>
      </c>
      <c s="30" r="AD540">
        <v>0</v>
      </c>
      <c s="30" r="AE540"/>
      <c s="8" r="AF540">
        <f>(I540+J540)/R540</f>
        <v>0.023394530947401</v>
      </c>
      <c s="28" r="AG540">
        <f>G540/$X540</f>
        <v>0.38796875</v>
      </c>
      <c s="28" r="AH540">
        <f>H540/$X540</f>
        <v>0.39</v>
      </c>
      <c s="28" r="AI540">
        <f>I540/$X540</f>
        <v>0.06375</v>
      </c>
      <c s="28" r="AJ540">
        <f>J540/$X540</f>
        <v>0.00703125</v>
      </c>
      <c s="28" r="AK540">
        <f>K540/$X540</f>
        <v>0.114453125</v>
      </c>
      <c s="30" r="AL540">
        <v>1</v>
      </c>
    </row>
    <row r="541">
      <c s="30" r="A541">
        <v>754</v>
      </c>
      <c t="s" s="30" r="B541">
        <v>38</v>
      </c>
      <c s="62" r="C541">
        <v>41641</v>
      </c>
      <c s="52" r="D541">
        <v>0.798611111111111</v>
      </c>
      <c s="27" r="E541">
        <v>1000</v>
      </c>
      <c s="27" r="F541">
        <v>0.05</v>
      </c>
      <c s="75" r="G541">
        <f>704.05-668.95</f>
        <v>35.0999999999999</v>
      </c>
      <c s="27" r="H541">
        <v>46.14</v>
      </c>
      <c s="27" r="I541">
        <v>1.12</v>
      </c>
      <c s="27" r="J541">
        <v>0.24</v>
      </c>
      <c s="27" r="K541">
        <v>0.12</v>
      </c>
      <c s="59" r="L541">
        <f>SUM(G541:K541)</f>
        <v>82.7199999999999</v>
      </c>
      <c s="79" r="M541">
        <v>777.89</v>
      </c>
      <c s="79" r="N541">
        <f>290.54+44</f>
        <v>334.54</v>
      </c>
      <c s="32" r="O541">
        <f>SUMIF(Sellables!$A$2:$A$11482, $A541, Sellables!$G$2:$G$11482)</f>
        <v>0.01</v>
      </c>
      <c s="32" r="P541">
        <f>SUMIF(Skills!$A$2:$A$9999, A541, Skills!$F$2:$F$9999)</f>
        <v>0</v>
      </c>
      <c s="14" r="Q541">
        <f>((N541+O541)+P541)+AA541</f>
        <v>334.55</v>
      </c>
      <c s="23" r="R541">
        <f>((E541+F541)+L541)-M541</f>
        <v>304.88</v>
      </c>
      <c s="70" r="S541">
        <f>Q541-R541</f>
        <v>29.67</v>
      </c>
      <c s="29" r="T541">
        <f> (Q541/R541) - 1</f>
        <v>0.097316977171346</v>
      </c>
      <c s="70" r="U541">
        <f>R541/X541</f>
        <v>1.20505928853755</v>
      </c>
      <c s="70" r="V541">
        <f>Q541/X541</f>
        <v>1.32233201581028</v>
      </c>
      <c t="s" s="30" r="W541">
        <v>296</v>
      </c>
      <c s="30" r="X541">
        <v>253</v>
      </c>
      <c t="s" s="30" r="Y541">
        <v>295</v>
      </c>
      <c t="s" s="30" r="Z541">
        <v>42</v>
      </c>
      <c s="30" r="AA541">
        <v>0</v>
      </c>
      <c s="30" r="AB541">
        <v>0</v>
      </c>
      <c s="30" r="AC541">
        <v>6</v>
      </c>
      <c s="30" r="AD541">
        <v>0</v>
      </c>
      <c s="30" r="AE541"/>
      <c s="8" r="AF541">
        <f>(I541+J541)/R541</f>
        <v>0.004460771451063</v>
      </c>
      <c s="28" r="AG541">
        <f>G541/$X541</f>
        <v>0.138735177865612</v>
      </c>
      <c s="28" r="AH541">
        <f>H541/$X541</f>
        <v>0.182371541501976</v>
      </c>
      <c s="28" r="AI541">
        <f>I541/$X541</f>
        <v>0.004426877470356</v>
      </c>
      <c s="28" r="AJ541">
        <f>J541/$X541</f>
        <v>0.000948616600791</v>
      </c>
      <c s="28" r="AK541">
        <f>K541/$X541</f>
        <v>0.000474308300395</v>
      </c>
      <c s="30" r="AL541">
        <v>1</v>
      </c>
    </row>
    <row r="542">
      <c s="30" r="A542">
        <v>755</v>
      </c>
      <c t="s" s="30" r="B542">
        <v>38</v>
      </c>
      <c s="62" r="C542">
        <v>41641</v>
      </c>
      <c s="52" r="D542">
        <v>0.885416666666667</v>
      </c>
      <c s="27" r="E542">
        <v>1100</v>
      </c>
      <c s="27" r="F542">
        <v>0.05</v>
      </c>
      <c s="75" r="G542">
        <f>(0.04+668.95)-561.38</f>
        <v>107.61</v>
      </c>
      <c s="27" r="H542">
        <v>83.17</v>
      </c>
      <c s="27" r="I542">
        <v>33.69</v>
      </c>
      <c s="27" r="J542">
        <v>1.11</v>
      </c>
      <c s="27" r="K542">
        <v>30.36</v>
      </c>
      <c s="59" r="L542">
        <f>SUM(G542:K542)</f>
        <v>255.94</v>
      </c>
      <c s="79" r="M542">
        <v>296.94</v>
      </c>
      <c s="79" r="N542">
        <v>822.11</v>
      </c>
      <c s="32" r="O542">
        <f>SUMIF(Sellables!$A$2:$A$11482, $A542, Sellables!$G$2:$G$11482)</f>
        <v>83.8</v>
      </c>
      <c s="32" r="P542">
        <f>SUMIF(Skills!$A$2:$A$9999, A542, Skills!$F$2:$F$9999)</f>
        <v>0</v>
      </c>
      <c s="14" r="Q542">
        <f>((N542+O542)+P542)+AA542</f>
        <v>905.91</v>
      </c>
      <c s="23" r="R542">
        <f>((E542+F542)+L542)-M542</f>
        <v>1059.05</v>
      </c>
      <c s="70" r="S542">
        <f>Q542-R542</f>
        <v>-153.14</v>
      </c>
      <c s="29" r="T542">
        <f> (Q542/R542) - 1</f>
        <v>-0.1446012936122</v>
      </c>
      <c s="70" r="U542">
        <f>R542/X542</f>
        <v>4.07326923076923</v>
      </c>
      <c s="70" r="V542">
        <f>Q542/X542</f>
        <v>3.48426923076923</v>
      </c>
      <c t="s" s="30" r="W542">
        <v>294</v>
      </c>
      <c s="30" r="X542">
        <v>260</v>
      </c>
      <c t="s" s="30" r="Y542">
        <v>295</v>
      </c>
      <c t="s" s="30" r="Z542">
        <v>42</v>
      </c>
      <c s="30" r="AA542">
        <v>0</v>
      </c>
      <c s="30" r="AB542">
        <v>0</v>
      </c>
      <c s="30" r="AC542">
        <v>3</v>
      </c>
      <c s="30" r="AD542">
        <v>0</v>
      </c>
      <c s="30" r="AE542"/>
      <c s="8" r="AF542">
        <f>(I542+J542)/R542</f>
        <v>0.03285963835513</v>
      </c>
      <c s="28" r="AG542">
        <f>G542/$X542</f>
        <v>0.413884615384615</v>
      </c>
      <c s="28" r="AH542">
        <f>H542/$X542</f>
        <v>0.319884615384615</v>
      </c>
      <c s="28" r="AI542">
        <f>I542/$X542</f>
        <v>0.129576923076923</v>
      </c>
      <c s="28" r="AJ542">
        <f>J542/$X542</f>
        <v>0.004269230769231</v>
      </c>
      <c s="28" r="AK542">
        <f>K542/$X542</f>
        <v>0.116769230769231</v>
      </c>
      <c s="30" r="AL542">
        <v>1</v>
      </c>
    </row>
    <row r="543">
      <c s="30" r="A543">
        <v>758</v>
      </c>
      <c t="s" s="30" r="B543">
        <v>38</v>
      </c>
      <c s="62" r="C543">
        <v>41642</v>
      </c>
      <c s="52" r="D543">
        <v>0.829861111111111</v>
      </c>
      <c s="27" r="E543">
        <v>1100</v>
      </c>
      <c s="27" r="F543">
        <v>0.1</v>
      </c>
      <c s="75" r="G543">
        <f>(893.34-784.75)+0.02</f>
        <v>108.61</v>
      </c>
      <c s="27" r="H543">
        <v>83.96</v>
      </c>
      <c s="27" r="I543">
        <v>38.44</v>
      </c>
      <c s="27" r="J543">
        <v>0.76</v>
      </c>
      <c s="27" r="K543">
        <v>31.24</v>
      </c>
      <c s="59" r="L543">
        <f>SUM(G543:K543)</f>
        <v>263.01</v>
      </c>
      <c s="79" r="M543">
        <v>287.09</v>
      </c>
      <c s="79" r="N543">
        <v>767.71</v>
      </c>
      <c s="32" r="O543">
        <f>SUMIF(Sellables!$A$2:$A$11482, $A543, Sellables!$G$2:$G$11482)</f>
        <v>0.02</v>
      </c>
      <c s="32" r="P543">
        <f>SUMIF(Skills!$A$2:$A$9999, A543, Skills!$F$2:$F$9999)</f>
        <v>0</v>
      </c>
      <c s="14" r="Q543">
        <f>((N543+O543)+P543)+AA543</f>
        <v>767.73</v>
      </c>
      <c s="23" r="R543">
        <f>((E543+F543)+L543)-M543</f>
        <v>1076.02</v>
      </c>
      <c s="70" r="S543">
        <f>Q543-R543</f>
        <v>-308.29</v>
      </c>
      <c s="29" r="T543">
        <f> (Q543/R543) - 1</f>
        <v>-0.28650954443226</v>
      </c>
      <c s="70" r="U543">
        <f>R543/X543</f>
        <v>4.12268199233716</v>
      </c>
      <c s="70" r="V543">
        <f>Q543/X543</f>
        <v>2.94149425287356</v>
      </c>
      <c t="s" s="30" r="W543">
        <v>294</v>
      </c>
      <c s="30" r="X543">
        <v>261</v>
      </c>
      <c t="s" s="30" r="Y543">
        <v>295</v>
      </c>
      <c t="s" s="30" r="Z543">
        <v>42</v>
      </c>
      <c s="30" r="AA543">
        <v>0</v>
      </c>
      <c s="30" r="AB543">
        <v>0</v>
      </c>
      <c s="30" r="AC543">
        <v>1</v>
      </c>
      <c s="30" r="AD543">
        <v>0</v>
      </c>
      <c s="30" r="AE543"/>
      <c s="8" r="AF543">
        <f>(I543+J543)/R543</f>
        <v>0.036430549618037</v>
      </c>
      <c s="28" r="AG543">
        <f>G543/$X543</f>
        <v>0.416130268199234</v>
      </c>
      <c s="28" r="AH543">
        <f>H543/$X543</f>
        <v>0.321685823754789</v>
      </c>
      <c s="28" r="AI543">
        <f>I543/$X543</f>
        <v>0.14727969348659</v>
      </c>
      <c s="28" r="AJ543">
        <f>J543/$X543</f>
        <v>0.002911877394636</v>
      </c>
      <c s="28" r="AK543">
        <f>K543/$X543</f>
        <v>0.119693486590038</v>
      </c>
      <c s="30" r="AL543">
        <v>1</v>
      </c>
    </row>
    <row r="544">
      <c s="30" r="A544">
        <v>761</v>
      </c>
      <c t="s" s="30" r="B544">
        <v>38</v>
      </c>
      <c s="62" r="C544">
        <v>41642</v>
      </c>
      <c s="52" r="D544">
        <v>0.940972222222222</v>
      </c>
      <c s="27" r="E544">
        <v>1100</v>
      </c>
      <c s="27" r="F544">
        <v>0.1</v>
      </c>
      <c s="75" r="G544">
        <f>(784.25-677.10)+0.09</f>
        <v>107.24</v>
      </c>
      <c s="27" r="H544">
        <v>83.23</v>
      </c>
      <c s="27" r="I544">
        <v>51.28</v>
      </c>
      <c s="27" r="J544">
        <v>1.13</v>
      </c>
      <c s="27" r="K544">
        <v>30.99</v>
      </c>
      <c s="59" r="L544">
        <f>SUM(G544:K544)</f>
        <v>273.87</v>
      </c>
      <c s="79" r="M544">
        <v>310.95</v>
      </c>
      <c s="79" r="N544">
        <v>827.76</v>
      </c>
      <c s="32" r="O544">
        <f>SUMIF(Sellables!$A$2:$A$11482, $A544, Sellables!$G$2:$G$11482)</f>
        <v>221.0795</v>
      </c>
      <c s="32" r="P544">
        <f>SUMIF(Skills!$A$2:$A$9999, A544, Skills!$F$2:$F$9999)</f>
        <v>0</v>
      </c>
      <c s="14" r="Q544">
        <f>((N544+O544)+P544)+AA544</f>
        <v>1048.8395</v>
      </c>
      <c s="23" r="R544">
        <f>((E544+F544)+L544)-M544</f>
        <v>1063.02</v>
      </c>
      <c s="70" r="S544">
        <f>Q544-R544</f>
        <v>-14.1804999999997</v>
      </c>
      <c s="29" r="T544">
        <f> (Q544/R544) - 1</f>
        <v>-0.013339824274237</v>
      </c>
      <c s="70" r="U544">
        <f>R544/X544</f>
        <v>3.99631578947368</v>
      </c>
      <c s="70" r="V544">
        <f>Q544/X544</f>
        <v>3.94300563909774</v>
      </c>
      <c t="s" s="30" r="W544">
        <v>294</v>
      </c>
      <c s="30" r="X544">
        <v>266</v>
      </c>
      <c t="s" s="30" r="Y544">
        <v>295</v>
      </c>
      <c t="s" s="30" r="Z544">
        <v>42</v>
      </c>
      <c s="30" r="AA544">
        <v>0</v>
      </c>
      <c s="30" r="AB544">
        <v>0</v>
      </c>
      <c s="30" r="AC544">
        <v>3</v>
      </c>
      <c s="30" r="AD544">
        <v>0</v>
      </c>
      <c s="30" r="AE544"/>
      <c s="8" r="AF544">
        <f>(I544+J544)/R544</f>
        <v>0.049302929389852</v>
      </c>
      <c s="28" r="AG544">
        <f>G544/$X544</f>
        <v>0.403157894736842</v>
      </c>
      <c s="28" r="AH544">
        <f>H544/$X544</f>
        <v>0.312894736842105</v>
      </c>
      <c s="28" r="AI544">
        <f>I544/$X544</f>
        <v>0.192781954887218</v>
      </c>
      <c s="28" r="AJ544">
        <f>J544/$X544</f>
        <v>0.004248120300752</v>
      </c>
      <c s="28" r="AK544">
        <f>K544/$X544</f>
        <v>0.116503759398496</v>
      </c>
      <c s="30" r="AL544">
        <v>1</v>
      </c>
    </row>
    <row r="545">
      <c s="30" r="A545">
        <v>761</v>
      </c>
      <c t="s" s="30" r="B545">
        <v>38</v>
      </c>
      <c s="62" r="C545">
        <v>41642</v>
      </c>
      <c s="52" r="D545">
        <v>0.940972222222222</v>
      </c>
      <c s="27" r="E545">
        <v>1100</v>
      </c>
      <c s="27" r="F545">
        <v>0.1</v>
      </c>
      <c s="75" r="G545">
        <f>(784.25-677.10)+0.09</f>
        <v>107.24</v>
      </c>
      <c s="27" r="H545">
        <v>83.23</v>
      </c>
      <c s="27" r="I545">
        <v>51.28</v>
      </c>
      <c s="27" r="J545">
        <v>1.13</v>
      </c>
      <c s="27" r="K545">
        <v>30.99</v>
      </c>
      <c s="59" r="L545">
        <f>SUM(G545:K545)</f>
        <v>273.87</v>
      </c>
      <c s="79" r="M545">
        <v>310.95</v>
      </c>
      <c s="79" r="N545">
        <v>827.76</v>
      </c>
      <c s="32" r="O545">
        <f>SUMIF(Sellables!$A$2:$A$11482, $A545, Sellables!$G$2:$G$11482)</f>
        <v>221.0795</v>
      </c>
      <c s="32" r="P545">
        <f>SUMIF(Skills!$A$2:$A$9999, A545, Skills!$F$2:$F$9999)</f>
        <v>0</v>
      </c>
      <c s="14" r="Q545">
        <f>((N545+O545)+P545)+AA545</f>
        <v>1048.8395</v>
      </c>
      <c s="23" r="R545">
        <f>((E545+F545)+L545)-M545</f>
        <v>1063.02</v>
      </c>
      <c s="70" r="S545">
        <f>Q545-R545</f>
        <v>-14.1804999999997</v>
      </c>
      <c s="29" r="T545">
        <f> (Q545/R545) - 1</f>
        <v>-0.013339824274237</v>
      </c>
      <c s="70" r="U545">
        <f>R545/X545</f>
        <v>3.99631578947368</v>
      </c>
      <c s="70" r="V545">
        <f>Q545/X545</f>
        <v>3.94300563909774</v>
      </c>
      <c t="s" s="30" r="W545">
        <v>294</v>
      </c>
      <c s="30" r="X545">
        <v>266</v>
      </c>
      <c t="s" s="30" r="Y545">
        <v>295</v>
      </c>
      <c t="s" s="30" r="Z545">
        <v>42</v>
      </c>
      <c s="30" r="AA545">
        <v>0</v>
      </c>
      <c s="30" r="AB545">
        <v>0</v>
      </c>
      <c s="30" r="AC545">
        <v>3</v>
      </c>
      <c s="30" r="AD545">
        <v>0</v>
      </c>
      <c s="30" r="AE545"/>
      <c s="8" r="AF545">
        <f>(I545+J545)/R545</f>
        <v>0.049302929389852</v>
      </c>
      <c s="28" r="AG545">
        <f>G545/$X545</f>
        <v>0.403157894736842</v>
      </c>
      <c s="28" r="AH545">
        <f>H545/$X545</f>
        <v>0.312894736842105</v>
      </c>
      <c s="28" r="AI545">
        <f>I545/$X545</f>
        <v>0.192781954887218</v>
      </c>
      <c s="28" r="AJ545">
        <f>J545/$X545</f>
        <v>0.004248120300752</v>
      </c>
      <c s="28" r="AK545">
        <f>K545/$X545</f>
        <v>0.116503759398496</v>
      </c>
      <c s="30" r="AL545">
        <v>1</v>
      </c>
    </row>
    <row r="546">
      <c s="30" r="A546">
        <v>764</v>
      </c>
      <c t="s" s="30" r="B546">
        <v>38</v>
      </c>
      <c s="62" r="C546">
        <v>41643</v>
      </c>
      <c s="52" r="D546">
        <v>0.576388888888889</v>
      </c>
      <c s="27" r="E546">
        <v>1100</v>
      </c>
      <c s="27" r="F546">
        <v>0.05</v>
      </c>
      <c s="75" r="G546">
        <f>(677.10-567.48)+0.01</f>
        <v>109.63</v>
      </c>
      <c s="27" r="H546">
        <v>84.76</v>
      </c>
      <c s="27" r="I546">
        <v>49.75</v>
      </c>
      <c s="27" r="J546">
        <v>0.84</v>
      </c>
      <c s="27" r="K546">
        <v>29.61</v>
      </c>
      <c s="59" r="L546">
        <f>SUM(G546:K546)</f>
        <v>274.59</v>
      </c>
      <c s="79" r="M546">
        <v>279.61</v>
      </c>
      <c s="79" r="N546">
        <v>772.25</v>
      </c>
      <c s="32" r="O546">
        <f>SUMIF(Sellables!$A$2:$A$11482, $A546, Sellables!$G$2:$G$11482)</f>
        <v>0.06</v>
      </c>
      <c s="32" r="P546">
        <f>SUMIF(Skills!$A$2:$A$9999, A546, Skills!$F$2:$F$9999)</f>
        <v>0</v>
      </c>
      <c s="14" r="Q546">
        <f>((N546+O546)+P546)+AA546</f>
        <v>772.31</v>
      </c>
      <c s="23" r="R546">
        <f>((E546+F546)+L546)-M546</f>
        <v>1095.03</v>
      </c>
      <c s="70" r="S546">
        <f>Q546-R546</f>
        <v>-322.72</v>
      </c>
      <c s="29" r="T546">
        <f> (Q546/R546) - 1</f>
        <v>-0.294713386847849</v>
      </c>
      <c s="70" r="U546">
        <f>R546/X546</f>
        <v>4.13218867924528</v>
      </c>
      <c s="70" r="V546">
        <f>Q546/X546</f>
        <v>2.91437735849057</v>
      </c>
      <c t="s" s="30" r="W546">
        <v>294</v>
      </c>
      <c s="30" r="X546">
        <v>265</v>
      </c>
      <c t="s" s="30" r="Y546">
        <v>295</v>
      </c>
      <c t="s" s="30" r="Z546">
        <v>42</v>
      </c>
      <c s="30" r="AA546">
        <v>0</v>
      </c>
      <c s="30" r="AB546">
        <v>0</v>
      </c>
      <c s="30" r="AC546">
        <v>2</v>
      </c>
      <c s="30" r="AD546">
        <v>0</v>
      </c>
      <c s="30" r="AE546"/>
      <c s="8" r="AF546">
        <f>(I546+J546)/R546</f>
        <v>0.046199647498242</v>
      </c>
      <c s="28" r="AG546">
        <f>G546/$X546</f>
        <v>0.413698113207547</v>
      </c>
      <c s="28" r="AH546">
        <f>H546/$X546</f>
        <v>0.319849056603774</v>
      </c>
      <c s="28" r="AI546">
        <f>I546/$X546</f>
        <v>0.187735849056604</v>
      </c>
      <c s="28" r="AJ546">
        <f>J546/$X546</f>
        <v>0.003169811320755</v>
      </c>
      <c s="28" r="AK546">
        <f>K546/$X546</f>
        <v>0.111735849056604</v>
      </c>
      <c s="30" r="AL546">
        <v>1</v>
      </c>
    </row>
    <row r="547">
      <c s="30" r="A547">
        <v>765</v>
      </c>
      <c t="s" s="30" r="B547">
        <v>38</v>
      </c>
      <c s="62" r="C547">
        <v>41643</v>
      </c>
      <c s="52" r="D547">
        <v>0.680555555555556</v>
      </c>
      <c s="27" r="E547">
        <v>700</v>
      </c>
      <c s="27" r="F547">
        <v>0.05</v>
      </c>
      <c s="75" r="G547">
        <f>567.48-500.52</f>
        <v>66.96</v>
      </c>
      <c s="27" r="H547">
        <v>51.78</v>
      </c>
      <c s="27" r="I547">
        <v>6.06</v>
      </c>
      <c s="27" r="J547">
        <v>0.35</v>
      </c>
      <c s="27" r="K547">
        <v>11.71</v>
      </c>
      <c s="59" r="L547">
        <f>SUM(G547:K547)</f>
        <v>136.86</v>
      </c>
      <c s="79" r="M547">
        <v>184.87</v>
      </c>
      <c s="79" r="N547">
        <v>327.69</v>
      </c>
      <c s="32" r="O547">
        <f>SUMIF(Sellables!$A$2:$A$11482, $A547, Sellables!$G$2:$G$11482)</f>
        <v>284.0072</v>
      </c>
      <c s="32" r="P547">
        <f>SUMIF(Skills!$A$2:$A$9999, A547, Skills!$F$2:$F$9999)</f>
        <v>0</v>
      </c>
      <c s="14" r="Q547">
        <f>((N547+O547)+P547)+AA547</f>
        <v>611.6972</v>
      </c>
      <c s="23" r="R547">
        <f>((E547+F547)+L547)-M547</f>
        <v>652.04</v>
      </c>
      <c s="70" r="S547">
        <f>Q547-R547</f>
        <v>-40.3427999999999</v>
      </c>
      <c s="29" r="T547">
        <f> (Q547/R547) - 1</f>
        <v>-0.061871664315072</v>
      </c>
      <c t="str" s="70" r="U547">
        <f>R547/X547</f>
        <v>#DIV/0!:divZero</v>
      </c>
      <c t="str" s="70" r="V547">
        <f>Q547/X547</f>
        <v>#DIV/0!:divZero</v>
      </c>
      <c t="s" s="30" r="W547">
        <v>311</v>
      </c>
      <c s="30" r="X547">
        <v>0</v>
      </c>
      <c t="s" s="30" r="Y547">
        <v>228</v>
      </c>
      <c t="s" s="30" r="Z547">
        <v>65</v>
      </c>
      <c s="30" r="AA547">
        <v>0</v>
      </c>
      <c s="30" r="AB547">
        <v>0</v>
      </c>
      <c s="30" r="AC547">
        <v>10</v>
      </c>
      <c s="30" r="AD547">
        <v>1</v>
      </c>
      <c s="30" r="AE547"/>
      <c s="8" r="AF547">
        <f>(I547+J547)/R547</f>
        <v>0.009830685234035</v>
      </c>
      <c t="str" s="28" r="AG547">
        <f>G547/$X547</f>
        <v>#DIV/0!:divZero</v>
      </c>
      <c t="str" s="28" r="AH547">
        <f>H547/$X547</f>
        <v>#DIV/0!:divZero</v>
      </c>
      <c t="str" s="28" r="AI547">
        <f>I547/$X547</f>
        <v>#DIV/0!:divZero</v>
      </c>
      <c t="str" s="28" r="AJ547">
        <f>J547/$X547</f>
        <v>#DIV/0!:divZero</v>
      </c>
      <c t="str" s="28" r="AK547">
        <f>K547/$X547</f>
        <v>#DIV/0!:divZero</v>
      </c>
      <c s="30" r="AL547">
        <v>1</v>
      </c>
    </row>
    <row r="548">
      <c s="30" r="A548">
        <v>768</v>
      </c>
      <c t="s" s="30" r="B548">
        <v>38</v>
      </c>
      <c s="62" r="C548">
        <v>41643</v>
      </c>
      <c s="52" r="D548">
        <v>0.847222222222222</v>
      </c>
      <c s="27" r="E548">
        <v>1100</v>
      </c>
      <c s="27" r="F548">
        <v>153.01</v>
      </c>
      <c s="75" r="G548">
        <f>(738.67-703.29)+28.38</f>
        <v>63.76</v>
      </c>
      <c s="27" r="H548">
        <v>38.75</v>
      </c>
      <c s="27" r="I548">
        <v>25.28</v>
      </c>
      <c s="27" r="J548">
        <v>8.13</v>
      </c>
      <c s="27" r="K548">
        <v>14.74</v>
      </c>
      <c s="59" r="L548">
        <f>SUM(G548:K548)</f>
        <v>150.66</v>
      </c>
      <c s="79" r="M548">
        <v>747.14</v>
      </c>
      <c s="79" r="N548">
        <v>658.81</v>
      </c>
      <c s="32" r="O548">
        <f>SUMIF(Sellables!$A$2:$A$11482, $A548, Sellables!$G$2:$G$11482)</f>
        <v>692.991</v>
      </c>
      <c s="32" r="P548">
        <f>SUMIF(Skills!$A$2:$A$9999, A548, Skills!$F$2:$F$9999)</f>
        <v>0</v>
      </c>
      <c s="14" r="Q548">
        <f>((N548+O548)+P548)+AA548</f>
        <v>1351.801</v>
      </c>
      <c s="23" r="R548">
        <f>((E548+F548)+L548)-M548</f>
        <v>656.53</v>
      </c>
      <c s="70" r="S548">
        <f>Q548-R548</f>
        <v>695.271</v>
      </c>
      <c s="29" r="T548">
        <f> (Q548/R548) - 1</f>
        <v>1.05900872770475</v>
      </c>
      <c s="70" r="U548">
        <f>R548/X548</f>
        <v>6.76835051546392</v>
      </c>
      <c s="70" r="V548">
        <f>Q548/X548</f>
        <v>13.9360927835052</v>
      </c>
      <c t="s" s="30" r="W548">
        <v>298</v>
      </c>
      <c s="30" r="X548">
        <v>97</v>
      </c>
      <c t="s" s="30" r="Y548">
        <v>299</v>
      </c>
      <c t="s" s="30" r="Z548">
        <v>65</v>
      </c>
      <c s="30" r="AA548">
        <v>0</v>
      </c>
      <c s="30" r="AB548">
        <v>0</v>
      </c>
      <c s="30" r="AC548">
        <v>0</v>
      </c>
      <c s="30" r="AD548">
        <v>1</v>
      </c>
      <c s="30" r="AE548"/>
      <c s="8" r="AF548">
        <f>(I548+J548)/R548</f>
        <v>0.050888763651318</v>
      </c>
      <c s="28" r="AG548">
        <f>G548/$X548</f>
        <v>0.657319587628866</v>
      </c>
      <c s="28" r="AH548">
        <f>H548/$X548</f>
        <v>0.399484536082474</v>
      </c>
      <c s="28" r="AI548">
        <f>I548/$X548</f>
        <v>0.260618556701031</v>
      </c>
      <c s="28" r="AJ548">
        <f>J548/$X548</f>
        <v>0.083814432989691</v>
      </c>
      <c s="28" r="AK548">
        <f>K548/$X548</f>
        <v>0.151958762886598</v>
      </c>
      <c s="30" r="AL548">
        <v>1</v>
      </c>
    </row>
    <row r="549">
      <c s="30" r="A549">
        <v>769</v>
      </c>
      <c t="s" s="30" r="B549">
        <v>38</v>
      </c>
      <c s="62" r="C549">
        <v>41643</v>
      </c>
      <c s="52" r="D549">
        <v>0.90625</v>
      </c>
      <c s="27" r="E549">
        <v>1100</v>
      </c>
      <c s="27" r="F549">
        <v>152.59</v>
      </c>
      <c s="75" r="G549">
        <f>(32.71+703.29)-667.95</f>
        <v>68.05</v>
      </c>
      <c s="27" r="H549">
        <v>38.71</v>
      </c>
      <c s="27" r="I549">
        <v>26.22</v>
      </c>
      <c s="27" r="J549">
        <v>6.55</v>
      </c>
      <c s="27" r="K549">
        <v>13.23</v>
      </c>
      <c s="59" r="L549">
        <f>SUM(G549:K549)</f>
        <v>152.76</v>
      </c>
      <c s="79" r="M549">
        <v>766.33</v>
      </c>
      <c s="79" r="N549">
        <v>100.96</v>
      </c>
      <c s="32" r="O549">
        <f>SUMIF(Sellables!$A$2:$A$11482, $A549, Sellables!$G$2:$G$11482)</f>
        <v>902.621</v>
      </c>
      <c s="32" r="P549">
        <f>SUMIF(Skills!$A$2:$A$9999, A549, Skills!$F$2:$F$9999)</f>
        <v>0</v>
      </c>
      <c s="14" r="Q549">
        <f>((N549+O549)+P549)+AA549</f>
        <v>1003.581</v>
      </c>
      <c s="23" r="R549">
        <f>((E549+F549)+L549)-M549</f>
        <v>639.02</v>
      </c>
      <c s="70" r="S549">
        <f>Q549-R549</f>
        <v>364.561</v>
      </c>
      <c s="29" r="T549">
        <f> (Q549/R549) - 1</f>
        <v>0.570500140840663</v>
      </c>
      <c s="70" r="U549">
        <f>R549/X549</f>
        <v>6.26490196078431</v>
      </c>
      <c s="70" r="V549">
        <f>Q549/X549</f>
        <v>9.83902941176471</v>
      </c>
      <c t="s" s="30" r="W549">
        <v>298</v>
      </c>
      <c s="30" r="X549">
        <v>102</v>
      </c>
      <c t="s" s="30" r="Y549">
        <v>299</v>
      </c>
      <c t="s" s="30" r="Z549">
        <v>65</v>
      </c>
      <c s="30" r="AA549">
        <v>0</v>
      </c>
      <c s="30" r="AB549">
        <v>0</v>
      </c>
      <c s="30" r="AC549">
        <v>1</v>
      </c>
      <c s="30" r="AD549">
        <v>0</v>
      </c>
      <c s="30" r="AE549"/>
      <c s="8" r="AF549">
        <f>(I549+J549)/R549</f>
        <v>0.051281650026603</v>
      </c>
      <c s="28" r="AG549">
        <f>G549/$X549</f>
        <v>0.667156862745098</v>
      </c>
      <c s="28" r="AH549">
        <f>H549/$X549</f>
        <v>0.379509803921569</v>
      </c>
      <c s="28" r="AI549">
        <f>I549/$X549</f>
        <v>0.257058823529412</v>
      </c>
      <c s="28" r="AJ549">
        <f>J549/$X549</f>
        <v>0.06421568627451</v>
      </c>
      <c s="28" r="AK549">
        <f>K549/$X549</f>
        <v>0.129705882352941</v>
      </c>
      <c s="30" r="AL549">
        <v>1</v>
      </c>
    </row>
    <row r="550">
      <c s="30" r="A550">
        <v>770</v>
      </c>
      <c t="s" s="30" r="B550">
        <v>38</v>
      </c>
      <c s="62" r="C550">
        <v>41644</v>
      </c>
      <c s="52" r="D550">
        <v>0.003472222222222</v>
      </c>
      <c s="27" r="E550">
        <v>1100</v>
      </c>
      <c s="27" r="F550">
        <v>0.1</v>
      </c>
      <c s="75" r="G550">
        <f>667.95-560.26</f>
        <v>107.69</v>
      </c>
      <c s="27" r="H550">
        <v>83.27</v>
      </c>
      <c s="27" r="I550">
        <v>30.47</v>
      </c>
      <c s="27" r="J550">
        <v>3.76</v>
      </c>
      <c s="27" r="K550">
        <v>31.37</v>
      </c>
      <c s="59" r="L550">
        <f>SUM(G550:K550)</f>
        <v>256.56</v>
      </c>
      <c s="79" r="M550">
        <v>306.08</v>
      </c>
      <c s="79" r="N550">
        <v>901.11</v>
      </c>
      <c s="32" r="O550">
        <f>SUMIF(Sellables!$A$2:$A$11482, $A550, Sellables!$G$2:$G$11482)</f>
        <v>53.91733</v>
      </c>
      <c s="32" r="P550">
        <f>SUMIF(Skills!$A$2:$A$9999, A550, Skills!$F$2:$F$9999)</f>
        <v>0</v>
      </c>
      <c s="14" r="Q550">
        <f>((N550+O550)+P550)+AA550</f>
        <v>955.02733</v>
      </c>
      <c s="23" r="R550">
        <f>((E550+F550)+L550)-M550</f>
        <v>1050.58</v>
      </c>
      <c s="70" r="S550">
        <f>Q550-R550</f>
        <v>-95.5526699999999</v>
      </c>
      <c s="29" r="T550">
        <f> (Q550/R550) - 1</f>
        <v>-0.090952302537646</v>
      </c>
      <c s="70" r="U550">
        <f>R550/X550</f>
        <v>4.08785992217899</v>
      </c>
      <c s="70" r="V550">
        <f>Q550/X550</f>
        <v>3.71605964980545</v>
      </c>
      <c t="s" s="30" r="W550">
        <v>294</v>
      </c>
      <c s="30" r="X550">
        <v>257</v>
      </c>
      <c t="s" s="30" r="Y550">
        <v>295</v>
      </c>
      <c t="s" s="30" r="Z550">
        <v>42</v>
      </c>
      <c s="30" r="AA550">
        <v>0</v>
      </c>
      <c s="30" r="AB550">
        <v>0</v>
      </c>
      <c s="30" r="AC550">
        <v>3</v>
      </c>
      <c s="30" r="AD550">
        <v>0</v>
      </c>
      <c s="30" r="AE550"/>
      <c s="8" r="AF550">
        <f>(I550+J550)/R550</f>
        <v>0.032582002322527</v>
      </c>
      <c s="28" r="AG550">
        <f>G550/$X550</f>
        <v>0.419027237354086</v>
      </c>
      <c s="28" r="AH550">
        <f>H550/$X550</f>
        <v>0.324007782101167</v>
      </c>
      <c s="28" r="AI550">
        <f>I550/$X550</f>
        <v>0.118560311284047</v>
      </c>
      <c s="28" r="AJ550">
        <f>J550/$X550</f>
        <v>0.014630350194552</v>
      </c>
      <c s="28" r="AK550">
        <f>K550/$X550</f>
        <v>0.122062256809339</v>
      </c>
      <c s="30" r="AL550">
        <v>1</v>
      </c>
    </row>
    <row r="551">
      <c s="30" r="A551">
        <v>775</v>
      </c>
      <c t="s" s="30" r="B551">
        <v>38</v>
      </c>
      <c s="62" r="C551">
        <v>41644</v>
      </c>
      <c s="52" r="D551">
        <v>0.5625</v>
      </c>
      <c s="27" r="E551">
        <v>1100</v>
      </c>
      <c s="27" r="F551">
        <v>0.1</v>
      </c>
      <c s="75" r="G551">
        <v>107.02</v>
      </c>
      <c s="27" r="H551">
        <v>83.56</v>
      </c>
      <c s="27" r="I551">
        <v>44.94</v>
      </c>
      <c s="27" r="J551">
        <v>1.01</v>
      </c>
      <c s="27" r="K551">
        <v>33.71</v>
      </c>
      <c s="59" r="L551">
        <f>SUM(G551:K551)</f>
        <v>270.24</v>
      </c>
      <c s="79" r="M551">
        <v>306.08</v>
      </c>
      <c s="79" r="N551">
        <v>968.55</v>
      </c>
      <c s="32" r="O551">
        <f>SUMIF(Sellables!$A$2:$A$11482, $A551, Sellables!$G$2:$G$11482)</f>
        <v>75.03956</v>
      </c>
      <c s="32" r="P551">
        <f>SUMIF(Skills!$A$2:$A$9999, A551, Skills!$F$2:$F$9999)</f>
        <v>0</v>
      </c>
      <c s="14" r="Q551">
        <f>((N551+O551)+P551)+AA551</f>
        <v>1043.58956</v>
      </c>
      <c s="23" r="R551">
        <f>((E551+F551)+L551)-M551</f>
        <v>1064.26</v>
      </c>
      <c s="70" r="S551">
        <f>Q551-R551</f>
        <v>-20.6704400000001</v>
      </c>
      <c s="29" r="T551">
        <f> (Q551/R551) - 1</f>
        <v>-0.01942235919794</v>
      </c>
      <c s="70" r="U551">
        <f>R551/X551</f>
        <v>3.95635687732342</v>
      </c>
      <c s="70" r="V551">
        <f>Q551/X551</f>
        <v>3.8795150929368</v>
      </c>
      <c t="s" s="30" r="W551">
        <v>294</v>
      </c>
      <c s="30" r="X551">
        <v>269</v>
      </c>
      <c t="s" s="30" r="Y551">
        <v>295</v>
      </c>
      <c t="s" s="30" r="Z551">
        <v>42</v>
      </c>
      <c s="30" r="AA551">
        <v>0</v>
      </c>
      <c s="30" r="AB551">
        <v>0</v>
      </c>
      <c s="30" r="AC551">
        <v>2</v>
      </c>
      <c s="30" r="AD551">
        <v>0</v>
      </c>
      <c s="30" r="AE551"/>
      <c s="8" r="AF551">
        <f>(I551+J551)/R551</f>
        <v>0.0431755398117</v>
      </c>
      <c s="28" r="AG551">
        <f>G551/$X551</f>
        <v>0.397843866171004</v>
      </c>
      <c s="28" r="AH551">
        <f>H551/$X551</f>
        <v>0.310631970260223</v>
      </c>
      <c s="28" r="AI551">
        <f>I551/$X551</f>
        <v>0.167063197026022</v>
      </c>
      <c s="28" r="AJ551">
        <f>J551/$X551</f>
        <v>0.003754646840149</v>
      </c>
      <c s="28" r="AK551">
        <f>K551/$X551</f>
        <v>0.125315985130112</v>
      </c>
      <c s="30" r="AL551">
        <v>1</v>
      </c>
    </row>
    <row r="552">
      <c s="30" r="A552">
        <v>776</v>
      </c>
      <c t="s" s="30" r="B552">
        <v>38</v>
      </c>
      <c s="62" r="C552">
        <v>41644</v>
      </c>
      <c s="52" r="D552">
        <v>0.638888888888889</v>
      </c>
      <c s="27" r="E552">
        <v>1000</v>
      </c>
      <c s="27" r="F552">
        <v>0.1</v>
      </c>
      <c s="75" r="G552">
        <f>(736.75-627.73)+0.04</f>
        <v>109.06</v>
      </c>
      <c s="27" r="H552">
        <v>84.3</v>
      </c>
      <c s="27" r="I552">
        <v>42.28</v>
      </c>
      <c s="27" r="J552">
        <v>0.64</v>
      </c>
      <c s="27" r="K552">
        <v>32.48</v>
      </c>
      <c s="59" r="L552">
        <f>SUM(G552:K552)</f>
        <v>268.76</v>
      </c>
      <c s="79" r="M552">
        <v>214.2</v>
      </c>
      <c s="79" r="N552">
        <v>1017.1</v>
      </c>
      <c s="32" r="O552">
        <f>SUMIF(Sellables!$A$2:$A$11482, $A552, Sellables!$G$2:$G$11482)</f>
        <v>98.39984</v>
      </c>
      <c s="32" r="P552">
        <f>SUMIF(Skills!$A$2:$A$9999, A552, Skills!$F$2:$F$9999)</f>
        <v>0</v>
      </c>
      <c s="14" r="Q552">
        <f>((N552+O552)+P552)+AA552</f>
        <v>1115.49984</v>
      </c>
      <c s="23" r="R552">
        <f>((E552+F552)+L552)-M552</f>
        <v>1054.66</v>
      </c>
      <c s="70" r="S552">
        <f>Q552-R552</f>
        <v>60.8398399999999</v>
      </c>
      <c s="29" r="T552">
        <f> (Q552/R552) - 1</f>
        <v>0.057686685756547</v>
      </c>
      <c s="70" r="U552">
        <f>R552/X552</f>
        <v>3.89173431734317</v>
      </c>
      <c s="70" r="V552">
        <f>Q552/X552</f>
        <v>4.11623557195572</v>
      </c>
      <c t="s" s="30" r="W552">
        <v>294</v>
      </c>
      <c s="30" r="X552">
        <v>271</v>
      </c>
      <c t="s" s="30" r="Y552">
        <v>295</v>
      </c>
      <c t="s" s="30" r="Z552">
        <v>42</v>
      </c>
      <c s="30" r="AA552">
        <v>0</v>
      </c>
      <c s="30" r="AB552">
        <v>0</v>
      </c>
      <c s="30" r="AC552">
        <v>4</v>
      </c>
      <c s="30" r="AD552">
        <v>0</v>
      </c>
      <c s="30" r="AE552"/>
      <c s="8" r="AF552">
        <f>(I552+J552)/R552</f>
        <v>0.040695579618076</v>
      </c>
      <c s="28" r="AG552">
        <f>G552/$X552</f>
        <v>0.402435424354244</v>
      </c>
      <c s="28" r="AH552">
        <f>H552/$X552</f>
        <v>0.311070110701107</v>
      </c>
      <c s="28" r="AI552">
        <f>I552/$X552</f>
        <v>0.156014760147602</v>
      </c>
      <c s="28" r="AJ552">
        <f>J552/$X552</f>
        <v>0.002361623616236</v>
      </c>
      <c s="28" r="AK552">
        <f>K552/$X552</f>
        <v>0.119852398523985</v>
      </c>
      <c s="30" r="AL552">
        <v>1</v>
      </c>
    </row>
    <row r="553">
      <c s="30" r="A553">
        <v>777</v>
      </c>
      <c t="s" s="30" r="B553">
        <v>38</v>
      </c>
      <c s="62" r="C553">
        <v>41644</v>
      </c>
      <c s="52" r="D553">
        <v>0.680555555555556</v>
      </c>
      <c s="27" r="E553">
        <v>1100</v>
      </c>
      <c s="27" r="F553">
        <v>0.1</v>
      </c>
      <c s="75" r="G553">
        <f>(627.73-517.21)+0.01</f>
        <v>110.53</v>
      </c>
      <c s="27" r="H553">
        <v>85.46</v>
      </c>
      <c s="27" r="I553">
        <v>50.73</v>
      </c>
      <c s="27" r="J553">
        <v>0.84</v>
      </c>
      <c s="27" r="K553">
        <v>32.07</v>
      </c>
      <c s="59" r="L553">
        <f>SUM(G553:K553)</f>
        <v>279.63</v>
      </c>
      <c s="79" r="M553">
        <v>277.59</v>
      </c>
      <c s="79" r="N553">
        <v>1218.77</v>
      </c>
      <c s="32" r="O553">
        <f>SUMIF(Sellables!$A$2:$A$11482, $A553, Sellables!$G$2:$G$11482)</f>
        <v>33.06091</v>
      </c>
      <c s="32" r="P553">
        <f>SUMIF(Skills!$A$2:$A$9999, A553, Skills!$F$2:$F$9999)</f>
        <v>0</v>
      </c>
      <c s="14" r="Q553">
        <f>((N553+O553)+P553)+AA553</f>
        <v>1251.83091</v>
      </c>
      <c s="23" r="R553">
        <f>((E553+F553)+L553)-M553</f>
        <v>1102.14</v>
      </c>
      <c s="70" r="S553">
        <f>Q553-R553</f>
        <v>149.69091</v>
      </c>
      <c s="29" r="T553">
        <f> (Q553/R553) - 1</f>
        <v>0.135818416898035</v>
      </c>
      <c s="70" r="U553">
        <f>R553/X553</f>
        <v>4.09717472118959</v>
      </c>
      <c s="70" r="V553">
        <f>Q553/X553</f>
        <v>4.65364650557621</v>
      </c>
      <c t="s" s="30" r="W553">
        <v>294</v>
      </c>
      <c s="30" r="X553">
        <v>269</v>
      </c>
      <c t="s" s="30" r="Y553">
        <v>295</v>
      </c>
      <c t="s" s="30" r="Z553">
        <v>42</v>
      </c>
      <c s="30" r="AA553">
        <v>0</v>
      </c>
      <c s="30" r="AB553">
        <v>0</v>
      </c>
      <c s="30" r="AC553">
        <v>3</v>
      </c>
      <c s="30" r="AD553">
        <v>0</v>
      </c>
      <c s="30" r="AE553"/>
      <c s="8" r="AF553">
        <f>(I553+J553)/R553</f>
        <v>0.046790788829005</v>
      </c>
      <c s="28" r="AG553">
        <f>G553/$X553</f>
        <v>0.41089219330855</v>
      </c>
      <c s="28" r="AH553">
        <f>H553/$X553</f>
        <v>0.317695167286245</v>
      </c>
      <c s="28" r="AI553">
        <f>I553/$X553</f>
        <v>0.188587360594796</v>
      </c>
      <c s="28" r="AJ553">
        <f>J553/$X553</f>
        <v>0.003122676579926</v>
      </c>
      <c s="28" r="AK553">
        <f>K553/$X553</f>
        <v>0.119219330855019</v>
      </c>
      <c s="30" r="AL553">
        <v>1</v>
      </c>
    </row>
    <row r="554">
      <c s="30" r="A554">
        <v>779</v>
      </c>
      <c t="s" s="30" r="B554">
        <v>38</v>
      </c>
      <c s="62" r="C554">
        <v>41644</v>
      </c>
      <c s="52" r="D554">
        <v>0.878472222222222</v>
      </c>
      <c s="27" r="E554">
        <v>1100</v>
      </c>
      <c s="27" r="F554">
        <v>0.1</v>
      </c>
      <c s="75" r="G554">
        <f>897.79-787.79</f>
        <v>110</v>
      </c>
      <c s="27" r="H554">
        <v>85.06</v>
      </c>
      <c s="27" r="I554">
        <v>44.29</v>
      </c>
      <c s="27" r="J554">
        <v>1</v>
      </c>
      <c s="27" r="K554">
        <v>33.44</v>
      </c>
      <c s="59" r="L554">
        <f>SUM(G554:K554)</f>
        <v>273.79</v>
      </c>
      <c s="79" r="M554">
        <v>258.37</v>
      </c>
      <c s="79" r="N554">
        <f>1023.07+40.11</f>
        <v>1063.18</v>
      </c>
      <c s="32" r="O554">
        <f>SUMIF(Sellables!$A$2:$A$11482, $A554, Sellables!$G$2:$G$11482)</f>
        <v>84.109278</v>
      </c>
      <c s="32" r="P554">
        <f>SUMIF(Skills!$A$2:$A$9999, A554, Skills!$F$2:$F$9999)</f>
        <v>0</v>
      </c>
      <c s="14" r="Q554">
        <f>((N554+O554)+P554)+AA554</f>
        <v>1147.289278</v>
      </c>
      <c s="23" r="R554">
        <f>((E554+F554)+L554)-M554</f>
        <v>1115.52</v>
      </c>
      <c s="70" r="S554">
        <f>Q554-R554</f>
        <v>31.769278</v>
      </c>
      <c s="29" r="T554">
        <f> (Q554/R554) - 1</f>
        <v>0.028479344162364</v>
      </c>
      <c s="70" r="U554">
        <f>R554/X554</f>
        <v>4.14691449814126</v>
      </c>
      <c s="70" r="V554">
        <f>Q554/X554</f>
        <v>4.26501590334572</v>
      </c>
      <c t="s" s="30" r="W554">
        <v>294</v>
      </c>
      <c s="30" r="X554">
        <v>269</v>
      </c>
      <c t="s" s="30" r="Y554">
        <v>295</v>
      </c>
      <c t="s" s="30" r="Z554">
        <v>42</v>
      </c>
      <c s="30" r="AA554">
        <v>0</v>
      </c>
      <c s="30" r="AB554">
        <v>0</v>
      </c>
      <c s="30" r="AC554">
        <v>4</v>
      </c>
      <c s="30" r="AD554">
        <v>0</v>
      </c>
      <c s="30" r="AE554"/>
      <c s="8" r="AF554">
        <f>(I554+J554)/R554</f>
        <v>0.040599899598394</v>
      </c>
      <c s="28" r="AG554">
        <f>G554/$X554</f>
        <v>0.408921933085502</v>
      </c>
      <c s="28" r="AH554">
        <f>H554/$X554</f>
        <v>0.316208178438662</v>
      </c>
      <c s="28" r="AI554">
        <f>I554/$X554</f>
        <v>0.164646840148699</v>
      </c>
      <c s="28" r="AJ554">
        <f>J554/$X554</f>
        <v>0.003717472118959</v>
      </c>
      <c s="28" r="AK554">
        <f>K554/$X554</f>
        <v>0.124312267657993</v>
      </c>
      <c s="30" r="AL554">
        <v>1</v>
      </c>
    </row>
    <row r="555">
      <c s="30" r="A555">
        <v>782</v>
      </c>
      <c t="s" s="30" r="B555">
        <v>38</v>
      </c>
      <c s="62" r="C555">
        <v>41645</v>
      </c>
      <c s="52" r="D555">
        <v>0.90625</v>
      </c>
      <c s="27" r="E555">
        <v>1100</v>
      </c>
      <c s="27" r="F555">
        <v>0.05</v>
      </c>
      <c s="75" r="G555">
        <f>787.79-678.60</f>
        <v>109.19</v>
      </c>
      <c s="27" r="H555">
        <v>84.43</v>
      </c>
      <c s="27" r="I555">
        <v>47.68</v>
      </c>
      <c s="27" r="J555">
        <v>1.12</v>
      </c>
      <c s="27" r="K555">
        <v>32.48</v>
      </c>
      <c s="59" r="L555">
        <f>SUM(G555:K555)</f>
        <v>274.9</v>
      </c>
      <c s="79" r="M555">
        <v>269.85</v>
      </c>
      <c s="79" r="N555">
        <v>813.86</v>
      </c>
      <c s="32" r="O555">
        <f>SUMIF(Sellables!$A$2:$A$11482, $A555, Sellables!$G$2:$G$11482)</f>
        <v>0.03</v>
      </c>
      <c s="32" r="P555">
        <f>SUMIF(Skills!$A$2:$A$9999, A555, Skills!$F$2:$F$9999)</f>
        <v>0</v>
      </c>
      <c s="14" r="Q555">
        <f>((N555+O555)+P555)+AA555</f>
        <v>813.89</v>
      </c>
      <c s="23" r="R555">
        <f>((E555+F555)+L555)-M555</f>
        <v>1105.1</v>
      </c>
      <c s="70" r="S555">
        <f>Q555-R555</f>
        <v>-291.21</v>
      </c>
      <c s="29" r="T555">
        <f> (Q555/R555) - 1</f>
        <v>-0.263514614062076</v>
      </c>
      <c s="70" r="U555">
        <f>R555/X555</f>
        <v>4.17018867924528</v>
      </c>
      <c s="70" r="V555">
        <f>Q555/X555</f>
        <v>3.07128301886792</v>
      </c>
      <c t="s" s="30" r="W555">
        <v>294</v>
      </c>
      <c s="30" r="X555">
        <v>265</v>
      </c>
      <c t="s" s="30" r="Y555">
        <v>295</v>
      </c>
      <c t="s" s="30" r="Z555">
        <v>42</v>
      </c>
      <c s="30" r="AA555">
        <v>0</v>
      </c>
      <c s="30" r="AB555">
        <v>0</v>
      </c>
      <c s="30" r="AC555">
        <v>2</v>
      </c>
      <c s="30" r="AD555">
        <v>0</v>
      </c>
      <c s="30" r="AE555"/>
      <c s="8" r="AF555">
        <f>(I555+J555)/R555</f>
        <v>0.044158899647091</v>
      </c>
      <c s="28" r="AG555">
        <f>G555/$X555</f>
        <v>0.412037735849056</v>
      </c>
      <c s="28" r="AH555">
        <f>H555/$X555</f>
        <v>0.318603773584906</v>
      </c>
      <c s="28" r="AI555">
        <f>I555/$X555</f>
        <v>0.179924528301887</v>
      </c>
      <c s="28" r="AJ555">
        <f>J555/$X555</f>
        <v>0.00422641509434</v>
      </c>
      <c s="28" r="AK555">
        <f>K555/$X555</f>
        <v>0.122566037735849</v>
      </c>
      <c s="30" r="AL555">
        <v>1</v>
      </c>
    </row>
    <row r="556">
      <c s="30" r="A556">
        <v>785</v>
      </c>
      <c t="s" s="30" r="B556">
        <v>38</v>
      </c>
      <c s="62" r="C556">
        <v>41646</v>
      </c>
      <c s="52" r="D556">
        <v>0.756944444444444</v>
      </c>
      <c s="27" r="E556">
        <v>1100</v>
      </c>
      <c s="27" r="F556">
        <v>0.1</v>
      </c>
      <c s="75" r="G556">
        <f>(678.80-568.21)+0.09</f>
        <v>110.68</v>
      </c>
      <c s="27" r="H556">
        <v>85.36</v>
      </c>
      <c s="27" r="I556">
        <v>52.59</v>
      </c>
      <c s="27" r="J556">
        <v>0.73</v>
      </c>
      <c s="27" r="K556">
        <v>32.62</v>
      </c>
      <c s="59" r="L556">
        <f>SUM(G556:K556)</f>
        <v>281.98</v>
      </c>
      <c s="79" r="M556">
        <v>251.6</v>
      </c>
      <c s="79" r="N556">
        <v>880.26</v>
      </c>
      <c s="32" r="O556">
        <f>SUMIF(Sellables!$A$2:$A$11482, $A556, Sellables!$G$2:$G$11482)</f>
        <v>22.05174</v>
      </c>
      <c s="32" r="P556">
        <f>SUMIF(Skills!$A$2:$A$9999, A556, Skills!$F$2:$F$9999)</f>
        <v>0</v>
      </c>
      <c s="14" r="Q556">
        <f>((N556+O556)+P556)+AA556</f>
        <v>902.31174</v>
      </c>
      <c s="23" r="R556">
        <f>((E556+F556)+L556)-M556</f>
        <v>1130.48</v>
      </c>
      <c s="70" r="S556">
        <f>Q556-R556</f>
        <v>-228.16826</v>
      </c>
      <c s="29" r="T556">
        <f> (Q556/R556) - 1</f>
        <v>-0.201833079753733</v>
      </c>
      <c s="70" r="U556">
        <f>R556/X556</f>
        <v>4.11083636363636</v>
      </c>
      <c s="70" r="V556">
        <f>Q556/X556</f>
        <v>3.2811336</v>
      </c>
      <c t="s" s="30" r="W556">
        <v>294</v>
      </c>
      <c s="30" r="X556">
        <v>275</v>
      </c>
      <c t="s" s="30" r="Y556">
        <v>295</v>
      </c>
      <c t="s" s="30" r="Z556">
        <v>42</v>
      </c>
      <c s="30" r="AA556">
        <v>0</v>
      </c>
      <c s="30" r="AB556">
        <v>0</v>
      </c>
      <c s="30" r="AC556">
        <v>2</v>
      </c>
      <c s="30" r="AD556">
        <v>0</v>
      </c>
      <c s="30" r="AE556"/>
      <c s="8" r="AF556">
        <f>(I556+J556)/R556</f>
        <v>0.047165805675465</v>
      </c>
      <c s="28" r="AG556">
        <f>G556/$X556</f>
        <v>0.402472727272727</v>
      </c>
      <c s="28" r="AH556">
        <f>H556/$X556</f>
        <v>0.3104</v>
      </c>
      <c s="28" r="AI556">
        <f>I556/$X556</f>
        <v>0.191236363636364</v>
      </c>
      <c s="28" r="AJ556">
        <f>J556/$X556</f>
        <v>0.002654545454545</v>
      </c>
      <c s="28" r="AK556">
        <f>K556/$X556</f>
        <v>0.118618181818182</v>
      </c>
      <c s="30" r="AL556">
        <v>1</v>
      </c>
    </row>
    <row r="557">
      <c s="30" r="A557">
        <v>786</v>
      </c>
      <c t="s" s="30" r="B557">
        <v>38</v>
      </c>
      <c s="62" r="C557">
        <v>41646</v>
      </c>
      <c s="52" r="D557">
        <v>0.8125</v>
      </c>
      <c s="27" r="E557">
        <v>1100</v>
      </c>
      <c s="27" r="F557">
        <v>0.05</v>
      </c>
      <c s="75" r="G557">
        <f>(805.20-697.98)+0.08</f>
        <v>107.3</v>
      </c>
      <c s="27" r="H557">
        <v>82.9</v>
      </c>
      <c s="27" r="I557">
        <v>50.65</v>
      </c>
      <c s="27" r="J557">
        <v>0.93</v>
      </c>
      <c s="27" r="K557">
        <v>34.12</v>
      </c>
      <c s="59" r="L557">
        <f>SUM(G557:K557)</f>
        <v>275.9</v>
      </c>
      <c s="79" r="M557">
        <v>267.3</v>
      </c>
      <c s="79" r="N557">
        <v>986.16</v>
      </c>
      <c s="32" r="O557">
        <f>SUMIF(Sellables!$A$2:$A$11482, $A557, Sellables!$G$2:$G$11482)</f>
        <v>74.028144</v>
      </c>
      <c s="32" r="P557">
        <f>SUMIF(Skills!$A$2:$A$9999, A557, Skills!$F$2:$F$9999)</f>
        <v>0</v>
      </c>
      <c s="14" r="Q557">
        <f>((N557+O557)+P557)+AA557</f>
        <v>1060.188144</v>
      </c>
      <c s="23" r="R557">
        <f>((E557+F557)+L557)-M557</f>
        <v>1108.65</v>
      </c>
      <c s="70" r="S557">
        <f>Q557-R557</f>
        <v>-48.4618560000001</v>
      </c>
      <c s="29" r="T557">
        <f> (Q557/R557) - 1</f>
        <v>-0.043712493573265</v>
      </c>
      <c s="70" r="U557">
        <f>R557/X557</f>
        <v>4.13675373134328</v>
      </c>
      <c s="70" r="V557">
        <f>Q557/X557</f>
        <v>3.95592591044776</v>
      </c>
      <c t="s" s="30" r="W557">
        <v>294</v>
      </c>
      <c s="30" r="X557">
        <v>268</v>
      </c>
      <c t="s" s="30" r="Y557">
        <v>295</v>
      </c>
      <c t="s" s="30" r="Z557">
        <v>42</v>
      </c>
      <c s="30" r="AA557">
        <v>0</v>
      </c>
      <c s="30" r="AB557">
        <v>0</v>
      </c>
      <c s="30" r="AC557">
        <v>2</v>
      </c>
      <c s="30" r="AD557">
        <v>0</v>
      </c>
      <c s="30" r="AE557"/>
      <c s="8" r="AF557">
        <f>(I557+J557)/R557</f>
        <v>0.046525052992378</v>
      </c>
      <c s="28" r="AG557">
        <f>G557/$X557</f>
        <v>0.400373134328358</v>
      </c>
      <c s="28" r="AH557">
        <f>H557/$X557</f>
        <v>0.309328358208955</v>
      </c>
      <c s="28" r="AI557">
        <f>I557/$X557</f>
        <v>0.188992537313433</v>
      </c>
      <c s="28" r="AJ557">
        <f>J557/$X557</f>
        <v>0.003470149253731</v>
      </c>
      <c s="28" r="AK557">
        <f>K557/$X557</f>
        <v>0.127313432835821</v>
      </c>
      <c s="30" r="AL557">
        <v>1</v>
      </c>
    </row>
    <row r="558">
      <c s="30" r="A558">
        <v>787</v>
      </c>
      <c t="s" s="30" r="B558">
        <v>38</v>
      </c>
      <c s="62" r="C558">
        <v>41646</v>
      </c>
      <c s="52" r="D558">
        <v>0.864583333333333</v>
      </c>
      <c s="27" r="E558">
        <v>750</v>
      </c>
      <c s="27" r="F558">
        <v>0</v>
      </c>
      <c s="75" r="G558">
        <f>697.98-686.97</f>
        <v>11.01</v>
      </c>
      <c s="27" r="H558">
        <v>8.51</v>
      </c>
      <c s="27" r="I558">
        <v>6.51</v>
      </c>
      <c s="27" r="J558">
        <v>0.33</v>
      </c>
      <c s="27" r="K558">
        <v>3.15</v>
      </c>
      <c s="59" r="L558">
        <f>SUM(G558:K558)</f>
        <v>29.51</v>
      </c>
      <c s="79" r="M558">
        <v>665.52</v>
      </c>
      <c s="79" r="N558">
        <v>36.06</v>
      </c>
      <c s="32" r="O558">
        <f>SUMIF(Sellables!$A$2:$A$11482, $A558, Sellables!$G$2:$G$11482)</f>
        <v>4.2</v>
      </c>
      <c s="32" r="P558">
        <f>SUMIF(Skills!$A$2:$A$9999, A558, Skills!$F$2:$F$9999)</f>
        <v>0</v>
      </c>
      <c s="14" r="Q558">
        <f>((N558+O558)+P558)+AA558</f>
        <v>40.26</v>
      </c>
      <c s="23" r="R558">
        <f>((E558+F558)+L558)-M558</f>
        <v>113.99</v>
      </c>
      <c s="70" r="S558">
        <f>Q558-R558</f>
        <v>-73.73</v>
      </c>
      <c s="29" r="T558">
        <f> (Q558/R558) - 1</f>
        <v>-0.646811123782788</v>
      </c>
      <c s="70" r="U558">
        <f>R558/X558</f>
        <v>11.399</v>
      </c>
      <c s="70" r="V558">
        <f>Q558/X558</f>
        <v>4.026</v>
      </c>
      <c t="s" s="30" r="W558">
        <v>237</v>
      </c>
      <c s="30" r="X558">
        <v>10</v>
      </c>
      <c t="s" s="30" r="Y558">
        <v>238</v>
      </c>
      <c t="s" s="30" r="Z558">
        <v>42</v>
      </c>
      <c s="30" r="AA558">
        <v>0</v>
      </c>
      <c s="30" r="AB558">
        <v>0</v>
      </c>
      <c s="30" r="AC558">
        <v>0</v>
      </c>
      <c s="30" r="AD558">
        <v>0</v>
      </c>
      <c s="30" r="AE558"/>
      <c s="8" r="AF558">
        <f>(I558+J558)/R558</f>
        <v>0.060005263619616</v>
      </c>
      <c s="28" r="AG558">
        <f>G558/$X558</f>
        <v>1.101</v>
      </c>
      <c s="28" r="AH558">
        <f>H558/$X558</f>
        <v>0.851</v>
      </c>
      <c s="28" r="AI558">
        <f>I558/$X558</f>
        <v>0.651</v>
      </c>
      <c s="28" r="AJ558">
        <f>J558/$X558</f>
        <v>0.033</v>
      </c>
      <c s="28" r="AK558">
        <f>K558/$X558</f>
        <v>0.315</v>
      </c>
      <c s="30" r="AL558">
        <v>1</v>
      </c>
    </row>
    <row r="559">
      <c s="30" r="A559">
        <v>791</v>
      </c>
      <c t="s" s="30" r="B559">
        <v>38</v>
      </c>
      <c s="62" r="C559">
        <v>41646</v>
      </c>
      <c s="52" r="D559">
        <v>0.947916666666667</v>
      </c>
      <c s="27" r="E559">
        <v>1000</v>
      </c>
      <c s="27" r="F559">
        <v>0</v>
      </c>
      <c s="75" r="G559">
        <f>(686.97-672.16)+4.34</f>
        <v>19.1500000000001</v>
      </c>
      <c s="27" r="H559">
        <v>19.45</v>
      </c>
      <c s="27" r="I559">
        <v>10.49</v>
      </c>
      <c s="27" r="J559">
        <v>3.2</v>
      </c>
      <c s="27" r="K559">
        <v>7.37</v>
      </c>
      <c s="59" r="L559">
        <f>SUM(G559:K559)</f>
        <v>59.6600000000001</v>
      </c>
      <c s="79" r="M559">
        <v>841.85</v>
      </c>
      <c s="79" r="N559">
        <v>0</v>
      </c>
      <c s="32" r="O559">
        <f>SUMIF(Sellables!$A$2:$A$11482, $A559, Sellables!$G$2:$G$11482)</f>
        <v>0</v>
      </c>
      <c s="32" r="P559">
        <f>SUMIF(Skills!$A$2:$A$9999, A559, Skills!$F$2:$F$9999)</f>
        <v>0</v>
      </c>
      <c s="14" r="Q559">
        <f>((N559+O559)+P559)+AA559</f>
        <v>0</v>
      </c>
      <c s="23" r="R559">
        <f>((E559+F559)+L559)-M559</f>
        <v>217.81</v>
      </c>
      <c s="70" r="S559">
        <f>Q559-R559</f>
        <v>-217.81</v>
      </c>
      <c s="29" r="T559">
        <f> (Q559/R559) - 1</f>
        <v>-1</v>
      </c>
      <c t="str" s="70" r="U559">
        <f>R559/X559</f>
        <v>#DIV/0!:divZero</v>
      </c>
      <c t="str" s="70" r="V559">
        <f>Q559/X559</f>
        <v>#DIV/0!:divZero</v>
      </c>
      <c t="s" s="30" r="W559">
        <v>298</v>
      </c>
      <c s="30" r="X559">
        <v>0</v>
      </c>
      <c t="s" s="30" r="Y559">
        <v>299</v>
      </c>
      <c t="s" s="30" r="Z559">
        <v>65</v>
      </c>
      <c s="30" r="AA559">
        <v>0</v>
      </c>
      <c s="30" r="AB559">
        <v>0</v>
      </c>
      <c s="30" r="AC559">
        <v>0</v>
      </c>
      <c s="30" r="AD559">
        <v>0</v>
      </c>
      <c s="30" r="AE559"/>
      <c s="8" r="AF559">
        <f>(I559+J559)/R559</f>
        <v>0.062852945227492</v>
      </c>
      <c t="str" s="28" r="AG559">
        <f>G559/$X559</f>
        <v>#DIV/0!:divZero</v>
      </c>
      <c t="str" s="28" r="AH559">
        <f>H559/$X559</f>
        <v>#DIV/0!:divZero</v>
      </c>
      <c t="str" s="28" r="AI559">
        <f>I559/$X559</f>
        <v>#DIV/0!:divZero</v>
      </c>
      <c t="str" s="28" r="AJ559">
        <f>J559/$X559</f>
        <v>#DIV/0!:divZero</v>
      </c>
      <c t="str" s="28" r="AK559">
        <f>K559/$X559</f>
        <v>#DIV/0!:divZero</v>
      </c>
      <c s="30" r="AL559">
        <v>1</v>
      </c>
    </row>
    <row r="560">
      <c s="30" r="A560">
        <v>800</v>
      </c>
      <c t="s" s="30" r="B560">
        <v>38</v>
      </c>
      <c s="62" r="C560">
        <v>41647</v>
      </c>
      <c s="52" r="D560">
        <v>0.736111111111111</v>
      </c>
      <c s="27" r="E560">
        <v>1000</v>
      </c>
      <c s="27" r="F560">
        <v>0</v>
      </c>
      <c s="75" r="G560">
        <f>(25.75+672.16)-645.71</f>
        <v>52.1999999999999</v>
      </c>
      <c s="27" r="H560">
        <v>34.77</v>
      </c>
      <c s="27" r="I560">
        <v>24.53</v>
      </c>
      <c s="27" r="J560">
        <v>6.5</v>
      </c>
      <c s="27" r="K560">
        <v>12.14</v>
      </c>
      <c s="59" r="L560">
        <f>SUM(G560:K560)</f>
        <v>130.14</v>
      </c>
      <c s="79" r="M560">
        <v>732.5</v>
      </c>
      <c s="79" r="N560">
        <v>264.8</v>
      </c>
      <c s="32" r="O560">
        <f>SUMIF(Sellables!$A$2:$A$11482, $A560, Sellables!$G$2:$G$11482)</f>
        <v>211.27</v>
      </c>
      <c s="32" r="P560">
        <f>SUMIF(Skills!$A$2:$A$9999, A560, Skills!$F$2:$F$9999)</f>
        <v>0</v>
      </c>
      <c s="14" r="Q560">
        <f>((N560+O560)+P560)+AA560</f>
        <v>476.07</v>
      </c>
      <c s="23" r="R560">
        <f>((E560+F560)+L560)-M560</f>
        <v>397.64</v>
      </c>
      <c s="70" r="S560">
        <f>Q560-R560</f>
        <v>78.4300000000002</v>
      </c>
      <c s="29" r="T560">
        <f> (Q560/R560) - 1</f>
        <v>0.197238708379439</v>
      </c>
      <c s="70" r="U560">
        <f>R560/X560</f>
        <v>4.32217391304348</v>
      </c>
      <c s="70" r="V560">
        <f>Q560/X560</f>
        <v>5.17467391304348</v>
      </c>
      <c t="s" s="30" r="W560">
        <v>298</v>
      </c>
      <c s="30" r="X560">
        <v>92</v>
      </c>
      <c t="s" s="30" r="Y560">
        <v>299</v>
      </c>
      <c t="s" s="30" r="Z560">
        <v>65</v>
      </c>
      <c s="30" r="AA560">
        <v>0</v>
      </c>
      <c s="30" r="AB560">
        <v>0</v>
      </c>
      <c s="30" r="AC560">
        <v>1</v>
      </c>
      <c s="30" r="AD560">
        <v>0</v>
      </c>
      <c s="30" r="AE560"/>
      <c s="8" r="AF560">
        <f>(I560+J560)/R560</f>
        <v>0.078035408912584</v>
      </c>
      <c s="28" r="AG560">
        <f>G560/$X560</f>
        <v>0.567391304347825</v>
      </c>
      <c s="28" r="AH560">
        <f>H560/$X560</f>
        <v>0.377934782608696</v>
      </c>
      <c s="28" r="AI560">
        <f>I560/$X560</f>
        <v>0.266630434782609</v>
      </c>
      <c s="28" r="AJ560">
        <f>J560/$X560</f>
        <v>0.070652173913044</v>
      </c>
      <c s="28" r="AK560">
        <f>K560/$X560</f>
        <v>0.13195652173913</v>
      </c>
      <c s="30" r="AL560">
        <v>1</v>
      </c>
    </row>
    <row r="561">
      <c s="30" r="A561">
        <v>802</v>
      </c>
      <c t="s" s="30" r="B561">
        <v>38</v>
      </c>
      <c s="62" r="C561">
        <v>41647</v>
      </c>
      <c s="52" r="D561">
        <v>0.809027777777778</v>
      </c>
      <c s="27" r="E561">
        <v>750</v>
      </c>
      <c s="27" r="F561">
        <v>0</v>
      </c>
      <c s="75" r="G561">
        <f>(632.71-606.91)+25.38</f>
        <v>51.1800000000001</v>
      </c>
      <c s="27" r="H561">
        <v>33.38</v>
      </c>
      <c s="27" r="I561">
        <v>24.7</v>
      </c>
      <c s="27" r="J561">
        <v>6.4</v>
      </c>
      <c s="27" r="K561">
        <v>11.87</v>
      </c>
      <c s="59" r="L561">
        <f>SUM(G561:K561)</f>
        <v>127.53</v>
      </c>
      <c s="79" r="M561">
        <v>450.98</v>
      </c>
      <c s="79" r="N561">
        <v>2.03</v>
      </c>
      <c s="32" r="O561">
        <f>SUMIF(Sellables!$A$2:$A$11482, $A561, Sellables!$G$2:$G$11482)</f>
        <v>542.7575</v>
      </c>
      <c s="32" r="P561">
        <f>SUMIF(Skills!$A$2:$A$9999, A561, Skills!$F$2:$F$9999)</f>
        <v>0</v>
      </c>
      <c s="14" r="Q561">
        <f>((N561+O561)+P561)+AA561</f>
        <v>544.7875</v>
      </c>
      <c s="23" r="R561">
        <f>((E561+F561)+L561)-M561</f>
        <v>426.55</v>
      </c>
      <c s="70" r="S561">
        <f>Q561-R561</f>
        <v>118.2375</v>
      </c>
      <c s="29" r="T561">
        <f> (Q561/R561) - 1</f>
        <v>0.277194936115344</v>
      </c>
      <c s="70" r="U561">
        <f>R561/X561</f>
        <v>4.58655913978495</v>
      </c>
      <c s="70" r="V561">
        <f>Q561/X561</f>
        <v>5.85793010752688</v>
      </c>
      <c t="s" s="30" r="W561">
        <v>298</v>
      </c>
      <c s="30" r="X561">
        <v>93</v>
      </c>
      <c t="s" s="30" r="Y561">
        <v>299</v>
      </c>
      <c t="s" s="30" r="Z561">
        <v>65</v>
      </c>
      <c s="30" r="AA561">
        <v>0</v>
      </c>
      <c s="30" r="AB561">
        <v>0</v>
      </c>
      <c s="30" r="AC561">
        <v>1</v>
      </c>
      <c s="30" r="AD561">
        <v>0</v>
      </c>
      <c s="30" r="AE561"/>
      <c s="8" r="AF561">
        <f>(I561+J561)/R561</f>
        <v>0.072910561481655</v>
      </c>
      <c s="28" r="AG561">
        <f>G561/$X561</f>
        <v>0.550322580645162</v>
      </c>
      <c s="28" r="AH561">
        <f>H561/$X561</f>
        <v>0.358924731182796</v>
      </c>
      <c s="28" r="AI561">
        <f>I561/$X561</f>
        <v>0.265591397849462</v>
      </c>
      <c s="28" r="AJ561">
        <f>J561/$X561</f>
        <v>0.068817204301075</v>
      </c>
      <c s="28" r="AK561">
        <f>K561/$X561</f>
        <v>0.127634408602151</v>
      </c>
      <c s="30" r="AL561">
        <v>1</v>
      </c>
    </row>
    <row r="562">
      <c s="30" r="A562">
        <v>804</v>
      </c>
      <c t="s" s="30" r="B562">
        <v>38</v>
      </c>
      <c s="62" r="C562">
        <v>41647</v>
      </c>
      <c s="52" r="D562">
        <v>0.90625</v>
      </c>
      <c s="27" r="E562">
        <v>1000</v>
      </c>
      <c s="27" r="F562">
        <v>0</v>
      </c>
      <c s="75" r="G562">
        <f>(25.27+606.91)-575.96</f>
        <v>56.2199999999999</v>
      </c>
      <c s="27" r="H562">
        <v>33.91</v>
      </c>
      <c s="27" r="I562">
        <v>22.86</v>
      </c>
      <c s="27" r="J562">
        <v>5.25</v>
      </c>
      <c s="27" r="K562">
        <v>13.37</v>
      </c>
      <c s="59" r="L562">
        <f>SUM(G562:K562)</f>
        <v>131.61</v>
      </c>
      <c s="79" r="M562">
        <v>695.33</v>
      </c>
      <c s="79" r="N562">
        <v>3.1</v>
      </c>
      <c s="32" r="O562">
        <f>SUMIF(Sellables!$A$2:$A$11482, $A562, Sellables!$G$2:$G$11482)</f>
        <v>967.491</v>
      </c>
      <c s="32" r="P562">
        <f>SUMIF(Skills!$A$2:$A$9999, A562, Skills!$F$2:$F$9999)</f>
        <v>0</v>
      </c>
      <c s="14" r="Q562">
        <f>((N562+O562)+P562)+AA562</f>
        <v>970.591</v>
      </c>
      <c s="23" r="R562">
        <f>((E562+F562)+L562)-M562</f>
        <v>436.28</v>
      </c>
      <c s="70" r="S562">
        <f>Q562-R562</f>
        <v>534.311</v>
      </c>
      <c s="29" r="T562">
        <f> (Q562/R562) - 1</f>
        <v>1.22469744200972</v>
      </c>
      <c s="70" r="U562">
        <f>R562/X562</f>
        <v>4.45183673469388</v>
      </c>
      <c s="70" r="V562">
        <f>Q562/X562</f>
        <v>9.90398979591837</v>
      </c>
      <c t="s" s="30" r="W562">
        <v>298</v>
      </c>
      <c s="30" r="X562">
        <v>98</v>
      </c>
      <c t="s" s="30" r="Y562">
        <v>299</v>
      </c>
      <c t="s" s="30" r="Z562">
        <v>65</v>
      </c>
      <c s="30" r="AA562">
        <v>0</v>
      </c>
      <c s="30" r="AB562">
        <v>0</v>
      </c>
      <c s="30" r="AC562">
        <v>0</v>
      </c>
      <c s="30" r="AD562">
        <v>2</v>
      </c>
      <c s="30" r="AE562"/>
      <c s="8" r="AF562">
        <f>(I562+J562)/R562</f>
        <v>0.064431099294031</v>
      </c>
      <c s="28" r="AG562">
        <f>G562/$X562</f>
        <v>0.573673469387754</v>
      </c>
      <c s="28" r="AH562">
        <f>H562/$X562</f>
        <v>0.346020408163265</v>
      </c>
      <c s="28" r="AI562">
        <f>I562/$X562</f>
        <v>0.233265306122449</v>
      </c>
      <c s="28" r="AJ562">
        <f>J562/$X562</f>
        <v>0.053571428571429</v>
      </c>
      <c s="28" r="AK562">
        <f>K562/$X562</f>
        <v>0.136428571428571</v>
      </c>
      <c s="30" r="AL562">
        <v>1</v>
      </c>
    </row>
    <row r="563">
      <c s="30" r="A563">
        <v>805</v>
      </c>
      <c t="s" s="30" r="B563">
        <v>38</v>
      </c>
      <c s="62" r="C563">
        <v>41647</v>
      </c>
      <c s="52" r="D563">
        <v>0.9375</v>
      </c>
      <c s="27" r="E563">
        <v>1000</v>
      </c>
      <c s="27" r="F563">
        <v>0</v>
      </c>
      <c s="75" r="G563">
        <f>(23.91+575.96)-544.79</f>
        <v>55.08</v>
      </c>
      <c s="27" r="H563">
        <v>34.14</v>
      </c>
      <c s="27" r="I563">
        <v>22.39</v>
      </c>
      <c s="27" r="J563">
        <v>4.3</v>
      </c>
      <c s="27" r="K563">
        <v>12.96</v>
      </c>
      <c s="59" r="L563">
        <f>SUM(G563:K563)</f>
        <v>128.87</v>
      </c>
      <c s="79" r="M563">
        <v>689.62</v>
      </c>
      <c s="79" r="N563">
        <v>87.52</v>
      </c>
      <c s="32" r="O563">
        <f>SUMIF(Sellables!$A$2:$A$11482, $A563, Sellables!$G$2:$G$11482)</f>
        <v>396.96</v>
      </c>
      <c s="32" r="P563">
        <f>SUMIF(Skills!$A$2:$A$9999, A563, Skills!$F$2:$F$9999)</f>
        <v>0</v>
      </c>
      <c s="14" r="Q563">
        <f>((N563+O563)+P563)+AA563</f>
        <v>484.48</v>
      </c>
      <c s="23" r="R563">
        <f>((E563+F563)+L563)-M563</f>
        <v>439.25</v>
      </c>
      <c s="70" r="S563">
        <f>Q563-R563</f>
        <v>45.2299999999999</v>
      </c>
      <c s="29" r="T563">
        <f> (Q563/R563) - 1</f>
        <v>0.102970973249857</v>
      </c>
      <c s="70" r="U563">
        <f>R563/X563</f>
        <v>4.72311827956989</v>
      </c>
      <c s="70" r="V563">
        <f>Q563/X563</f>
        <v>5.2094623655914</v>
      </c>
      <c t="s" s="30" r="W563">
        <v>298</v>
      </c>
      <c s="30" r="X563">
        <v>93</v>
      </c>
      <c t="s" s="30" r="Y563">
        <v>299</v>
      </c>
      <c t="s" s="30" r="Z563">
        <v>65</v>
      </c>
      <c s="30" r="AA563">
        <v>0</v>
      </c>
      <c s="30" r="AB563">
        <v>0</v>
      </c>
      <c s="30" r="AC563">
        <v>0</v>
      </c>
      <c s="30" r="AD563">
        <v>1</v>
      </c>
      <c s="30" r="AE563"/>
      <c s="8" r="AF563">
        <f>(I563+J563)/R563</f>
        <v>0.06076266363119</v>
      </c>
      <c s="28" r="AG563">
        <f>G563/$X563</f>
        <v>0.59225806451613</v>
      </c>
      <c s="28" r="AH563">
        <f>H563/$X563</f>
        <v>0.367096774193548</v>
      </c>
      <c s="28" r="AI563">
        <f>I563/$X563</f>
        <v>0.240752688172043</v>
      </c>
      <c s="28" r="AJ563">
        <f>J563/$X563</f>
        <v>0.046236559139785</v>
      </c>
      <c s="28" r="AK563">
        <f>K563/$X563</f>
        <v>0.139354838709677</v>
      </c>
      <c s="30" r="AL563">
        <v>1</v>
      </c>
    </row>
    <row r="564">
      <c s="30" r="A564">
        <v>808</v>
      </c>
      <c t="s" s="30" r="B564">
        <v>38</v>
      </c>
      <c s="62" r="C564">
        <v>41648</v>
      </c>
      <c s="52" r="D564">
        <v>0.770833333333333</v>
      </c>
      <c s="27" r="E564">
        <v>750</v>
      </c>
      <c s="27" r="F564">
        <v>0</v>
      </c>
      <c s="75" r="G564">
        <f>(544.79-515.28)+25.51</f>
        <v>55.02</v>
      </c>
      <c s="27" r="H564">
        <v>38.78</v>
      </c>
      <c s="27" r="I564">
        <v>24.27</v>
      </c>
      <c s="27" r="J564">
        <v>5.1</v>
      </c>
      <c s="27" r="K564">
        <v>16.24</v>
      </c>
      <c s="59" r="L564">
        <f>SUM(G564:K564)</f>
        <v>139.41</v>
      </c>
      <c s="79" r="M564">
        <v>426.22</v>
      </c>
      <c s="79" r="N564">
        <v>300.68</v>
      </c>
      <c s="32" r="O564">
        <f>SUMIF(Sellables!$A$2:$A$11482, $A564, Sellables!$G$2:$G$11482)</f>
        <v>209.68</v>
      </c>
      <c s="32" r="P564">
        <f>SUMIF(Skills!$A$2:$A$9999, A564, Skills!$F$2:$F$9999)</f>
        <v>0</v>
      </c>
      <c s="14" r="Q564">
        <f>((N564+O564)+P564)+AA564</f>
        <v>510.36</v>
      </c>
      <c s="23" r="R564">
        <f>((E564+F564)+L564)-M564</f>
        <v>463.19</v>
      </c>
      <c s="70" r="S564">
        <f>Q564-R564</f>
        <v>47.1700000000001</v>
      </c>
      <c s="29" r="T564">
        <f> (Q564/R564) - 1</f>
        <v>0.101837259008183</v>
      </c>
      <c s="70" r="U564">
        <f>R564/X564</f>
        <v>4.87568421052632</v>
      </c>
      <c s="70" r="V564">
        <f>Q564/X564</f>
        <v>5.37221052631579</v>
      </c>
      <c t="s" s="30" r="W564">
        <v>298</v>
      </c>
      <c s="30" r="X564">
        <v>95</v>
      </c>
      <c t="s" s="30" r="Y564">
        <v>299</v>
      </c>
      <c t="s" s="30" r="Z564">
        <v>65</v>
      </c>
      <c s="30" r="AA564">
        <v>0</v>
      </c>
      <c s="30" r="AB564">
        <v>0</v>
      </c>
      <c s="30" r="AC564">
        <v>0</v>
      </c>
      <c s="30" r="AD564">
        <v>1</v>
      </c>
      <c s="30" r="AE564"/>
      <c s="8" r="AF564">
        <f>(I564+J564)/R564</f>
        <v>0.063408104665472</v>
      </c>
      <c s="28" r="AG564">
        <f>G564/$X564</f>
        <v>0.579157894736842</v>
      </c>
      <c s="28" r="AH564">
        <f>H564/$X564</f>
        <v>0.408210526315789</v>
      </c>
      <c s="28" r="AI564">
        <f>I564/$X564</f>
        <v>0.255473684210526</v>
      </c>
      <c s="28" r="AJ564">
        <f>J564/$X564</f>
        <v>0.053684210526316</v>
      </c>
      <c s="28" r="AK564">
        <f>K564/$X564</f>
        <v>0.170947368421053</v>
      </c>
      <c s="30" r="AL564">
        <v>1</v>
      </c>
    </row>
    <row r="565">
      <c s="30" r="A565">
        <v>811</v>
      </c>
      <c t="s" s="30" r="B565">
        <v>38</v>
      </c>
      <c s="62" r="C565">
        <v>41648</v>
      </c>
      <c s="52" r="D565">
        <v>0.864583333333333</v>
      </c>
      <c s="27" r="E565">
        <v>1100</v>
      </c>
      <c s="27" r="F565">
        <v>0.05</v>
      </c>
      <c s="75" r="G565">
        <f>(705.6-600.70)+0.06</f>
        <v>104.96</v>
      </c>
      <c s="27" r="H565">
        <v>81.11</v>
      </c>
      <c s="27" r="I565">
        <v>32.81</v>
      </c>
      <c s="27" r="J565">
        <v>2.06</v>
      </c>
      <c s="27" r="K565">
        <v>34.84</v>
      </c>
      <c s="59" r="L565">
        <f>SUM(G565:K565)</f>
        <v>255.78</v>
      </c>
      <c s="79" r="M565">
        <v>259.04</v>
      </c>
      <c s="79" r="N565">
        <v>743.89</v>
      </c>
      <c s="32" r="O565">
        <f>SUMIF(Sellables!$A$2:$A$11482, $A565, Sellables!$G$2:$G$11482)</f>
        <v>0</v>
      </c>
      <c s="32" r="P565">
        <f>SUMIF(Skills!$A$2:$A$9999, A565, Skills!$F$2:$F$9999)</f>
        <v>0</v>
      </c>
      <c s="14" r="Q565">
        <f>((N565+O565)+P565)+AA565</f>
        <v>743.89</v>
      </c>
      <c s="23" r="R565">
        <f>((E565+F565)+L565)-M565</f>
        <v>1096.79</v>
      </c>
      <c s="70" r="S565">
        <f>Q565-R565</f>
        <v>-352.9</v>
      </c>
      <c s="29" r="T565">
        <f> (Q565/R565) - 1</f>
        <v>-0.321757127617867</v>
      </c>
      <c s="70" r="U565">
        <f>R565/X565</f>
        <v>4.0925</v>
      </c>
      <c s="70" r="V565">
        <f>Q565/X565</f>
        <v>2.77570895522388</v>
      </c>
      <c t="s" s="30" r="W565">
        <v>294</v>
      </c>
      <c s="30" r="X565">
        <v>268</v>
      </c>
      <c t="s" s="30" r="Y565">
        <v>295</v>
      </c>
      <c t="s" s="30" r="Z565">
        <v>42</v>
      </c>
      <c s="30" r="AA565">
        <v>0</v>
      </c>
      <c s="30" r="AB565">
        <v>0</v>
      </c>
      <c s="30" r="AC565">
        <v>1</v>
      </c>
      <c s="30" r="AD565">
        <v>0</v>
      </c>
      <c s="30" r="AE565"/>
      <c s="8" r="AF565">
        <f>(I565+J565)/R565</f>
        <v>0.031792777104095</v>
      </c>
      <c s="28" r="AG565">
        <f>G565/$X565</f>
        <v>0.391641791044776</v>
      </c>
      <c s="28" r="AH565">
        <f>H565/$X565</f>
        <v>0.302649253731343</v>
      </c>
      <c s="28" r="AI565">
        <f>I565/$X565</f>
        <v>0.122425373134328</v>
      </c>
      <c s="28" r="AJ565">
        <f>J565/$X565</f>
        <v>0.007686567164179</v>
      </c>
      <c s="28" r="AK565">
        <f>K565/$X565</f>
        <v>0.13</v>
      </c>
      <c s="30" r="AL565">
        <v>1</v>
      </c>
    </row>
    <row r="566">
      <c s="30" r="A566">
        <v>812</v>
      </c>
      <c t="s" s="30" r="B566">
        <v>38</v>
      </c>
      <c s="62" r="C566">
        <v>41648</v>
      </c>
      <c s="52" r="D566">
        <v>0.918055555555556</v>
      </c>
      <c s="27" r="E566">
        <v>1100</v>
      </c>
      <c s="27" r="F566">
        <v>0.05</v>
      </c>
      <c s="75" r="G566">
        <f>(600.70-500.21)+0.01</f>
        <v>100.5</v>
      </c>
      <c s="27" r="H566">
        <v>77.7</v>
      </c>
      <c s="27" r="I566">
        <v>34.5</v>
      </c>
      <c s="27" r="J566">
        <v>2.24</v>
      </c>
      <c s="27" r="K566">
        <v>32.48</v>
      </c>
      <c s="59" r="L566">
        <f>SUM(G566:K566)</f>
        <v>247.42</v>
      </c>
      <c s="79" r="M566">
        <v>338.99</v>
      </c>
      <c s="79" r="N566">
        <f>1070.51+9.6</f>
        <v>1080.11</v>
      </c>
      <c s="32" r="O566">
        <f>SUMIF(Sellables!$A$2:$A$11482, $A566, Sellables!$G$2:$G$11482)</f>
        <v>0</v>
      </c>
      <c s="32" r="P566">
        <f>SUMIF(Skills!$A$2:$A$9999, A566, Skills!$F$2:$F$9999)</f>
        <v>0</v>
      </c>
      <c s="14" r="Q566">
        <f>((N566+O566)+P566)+AA566</f>
        <v>1080.11</v>
      </c>
      <c s="23" r="R566">
        <f>((E566+F566)+L566)-M566</f>
        <v>1008.48</v>
      </c>
      <c s="70" r="S566">
        <f>Q566-R566</f>
        <v>71.6299999999999</v>
      </c>
      <c s="29" r="T566">
        <f> (Q566/R566) - 1</f>
        <v>0.071027685229256</v>
      </c>
      <c s="70" r="U566">
        <f>R566/X566</f>
        <v>4.01784860557769</v>
      </c>
      <c s="70" r="V566">
        <f>Q566/X566</f>
        <v>4.30322709163347</v>
      </c>
      <c t="s" s="30" r="W566">
        <v>294</v>
      </c>
      <c s="30" r="X566">
        <v>251</v>
      </c>
      <c t="s" s="30" r="Y566">
        <v>295</v>
      </c>
      <c t="s" s="30" r="Z566">
        <v>42</v>
      </c>
      <c s="30" r="AA566">
        <v>0</v>
      </c>
      <c s="30" r="AB566">
        <v>0</v>
      </c>
      <c s="30" r="AC566">
        <v>3</v>
      </c>
      <c s="30" r="AD566">
        <v>0</v>
      </c>
      <c s="30" r="AE566"/>
      <c s="8" r="AF566">
        <f>(I566+J566)/R566</f>
        <v>0.036431064572426</v>
      </c>
      <c s="28" r="AG566">
        <f>G566/$X566</f>
        <v>0.400398406374502</v>
      </c>
      <c s="28" r="AH566">
        <f>H566/$X566</f>
        <v>0.309561752988048</v>
      </c>
      <c s="28" r="AI566">
        <f>I566/$X566</f>
        <v>0.137450199203187</v>
      </c>
      <c s="28" r="AJ566">
        <f>J566/$X566</f>
        <v>0.008924302788845</v>
      </c>
      <c s="28" r="AK566">
        <f>K566/$X566</f>
        <v>0.129402390438247</v>
      </c>
      <c s="30" r="AL566">
        <v>1</v>
      </c>
    </row>
    <row r="567">
      <c s="30" r="A567">
        <v>815</v>
      </c>
      <c t="s" s="30" r="B567">
        <v>38</v>
      </c>
      <c s="62" r="C567">
        <v>41649</v>
      </c>
      <c s="52" r="D567">
        <v>0.819444444444444</v>
      </c>
      <c s="27" r="E567">
        <v>750</v>
      </c>
      <c s="27" r="F567">
        <v>0</v>
      </c>
      <c s="75" r="G567">
        <f>(738.36-709.64)+27.48</f>
        <v>56.2</v>
      </c>
      <c s="27" r="H567">
        <v>37.75</v>
      </c>
      <c s="27" r="I567">
        <v>24.96</v>
      </c>
      <c s="27" r="J567">
        <v>5.1</v>
      </c>
      <c s="27" r="K567">
        <v>15.56</v>
      </c>
      <c s="59" r="L567">
        <f>SUM(G567:K567)</f>
        <v>139.57</v>
      </c>
      <c s="79" r="M567">
        <v>436.24</v>
      </c>
      <c s="79" r="N567">
        <v>204.92</v>
      </c>
      <c s="32" r="O567">
        <f>SUMIF(Sellables!$A$2:$A$11482, $A567, Sellables!$G$2:$G$11482)</f>
        <v>264.76</v>
      </c>
      <c s="32" r="P567">
        <f>SUMIF(Skills!$A$2:$A$9999, A567, Skills!$F$2:$F$9999)</f>
        <v>0</v>
      </c>
      <c s="14" r="Q567">
        <f>((N567+O567)+P567)+AA567</f>
        <v>469.68</v>
      </c>
      <c s="23" r="R567">
        <f>((E567+F567)+L567)-M567</f>
        <v>453.33</v>
      </c>
      <c s="70" r="S567">
        <f>Q567-R567</f>
        <v>16.3499999999999</v>
      </c>
      <c s="29" r="T567">
        <f> (Q567/R567) - 1</f>
        <v>0.036066441665012</v>
      </c>
      <c s="70" r="U567">
        <f>R567/X567</f>
        <v>4.62581632653061</v>
      </c>
      <c s="70" r="V567">
        <f>Q567/X567</f>
        <v>4.79265306122449</v>
      </c>
      <c t="s" s="30" r="W567">
        <v>298</v>
      </c>
      <c s="30" r="X567">
        <v>98</v>
      </c>
      <c t="s" s="30" r="Y567">
        <v>299</v>
      </c>
      <c t="s" s="30" r="Z567">
        <v>65</v>
      </c>
      <c s="30" r="AA567">
        <v>0</v>
      </c>
      <c s="30" r="AB567">
        <v>0</v>
      </c>
      <c s="30" r="AC567">
        <v>1</v>
      </c>
      <c s="30" r="AD567">
        <v>0</v>
      </c>
      <c s="30" r="AE567"/>
      <c s="8" r="AF567">
        <f>(I567+J567)/R567</f>
        <v>0.066309311097876</v>
      </c>
      <c s="28" r="AG567">
        <f>G567/$X567</f>
        <v>0.573469387755102</v>
      </c>
      <c s="28" r="AH567">
        <f>H567/$X567</f>
        <v>0.385204081632653</v>
      </c>
      <c s="28" r="AI567">
        <f>I567/$X567</f>
        <v>0.25469387755102</v>
      </c>
      <c s="28" r="AJ567">
        <f>J567/$X567</f>
        <v>0.052040816326531</v>
      </c>
      <c s="28" r="AK567">
        <f>K567/$X567</f>
        <v>0.158775510204082</v>
      </c>
      <c s="30" r="AL567">
        <v>1</v>
      </c>
    </row>
    <row r="568">
      <c s="30" r="A568">
        <v>816</v>
      </c>
      <c t="s" s="30" r="B568">
        <v>38</v>
      </c>
      <c s="62" r="C568">
        <v>41649</v>
      </c>
      <c s="52" r="D568">
        <v>0.9375</v>
      </c>
      <c s="27" r="E568">
        <v>750</v>
      </c>
      <c s="27" r="F568">
        <v>0</v>
      </c>
      <c s="75" r="G568">
        <f>(31.79+709.64)-678.46</f>
        <v>62.9699999999999</v>
      </c>
      <c s="27" r="H568">
        <v>40.97</v>
      </c>
      <c s="27" r="I568">
        <v>26.48</v>
      </c>
      <c s="27" r="J568">
        <v>5.1</v>
      </c>
      <c s="27" r="K568">
        <v>15.28</v>
      </c>
      <c s="59" r="L568">
        <f>SUM(G568:K568)</f>
        <v>150.8</v>
      </c>
      <c s="79" r="M568">
        <v>418.5</v>
      </c>
      <c s="79" r="N568">
        <v>81.37</v>
      </c>
      <c s="32" r="O568">
        <f>SUMIF(Sellables!$A$2:$A$11482, $A568, Sellables!$G$2:$G$11482)</f>
        <v>402.14</v>
      </c>
      <c s="32" r="P568">
        <f>SUMIF(Skills!$A$2:$A$9999, A568, Skills!$F$2:$F$9999)</f>
        <v>0</v>
      </c>
      <c s="14" r="Q568">
        <f>((N568+O568)+P568)+AA568</f>
        <v>483.51</v>
      </c>
      <c s="23" r="R568">
        <f>((E568+F568)+L568)-M568</f>
        <v>482.3</v>
      </c>
      <c s="70" r="S568">
        <f>Q568-R568</f>
        <v>1.21000000000004</v>
      </c>
      <c s="29" r="T568">
        <f> (Q568/R568) - 1</f>
        <v>0.002508811942774</v>
      </c>
      <c s="70" r="U568">
        <f>R568/X568</f>
        <v>4.92142857142857</v>
      </c>
      <c s="70" r="V568">
        <f>Q568/X568</f>
        <v>4.93377551020408</v>
      </c>
      <c t="s" s="30" r="W568">
        <v>298</v>
      </c>
      <c s="30" r="X568">
        <v>98</v>
      </c>
      <c t="s" s="30" r="Y568">
        <v>299</v>
      </c>
      <c t="s" s="30" r="Z568">
        <v>65</v>
      </c>
      <c s="30" r="AA568">
        <v>0</v>
      </c>
      <c s="30" r="AB568">
        <v>0</v>
      </c>
      <c s="30" r="AC568">
        <v>1</v>
      </c>
      <c s="30" r="AD568">
        <v>0</v>
      </c>
      <c s="30" r="AE568"/>
      <c s="8" r="AF568">
        <f>(I568+J568)/R568</f>
        <v>0.065477918308107</v>
      </c>
      <c s="28" r="AG568">
        <f>G568/$X568</f>
        <v>0.642551020408162</v>
      </c>
      <c s="28" r="AH568">
        <f>H568/$X568</f>
        <v>0.418061224489796</v>
      </c>
      <c s="28" r="AI568">
        <f>I568/$X568</f>
        <v>0.270204081632653</v>
      </c>
      <c s="28" r="AJ568">
        <f>J568/$X568</f>
        <v>0.052040816326531</v>
      </c>
      <c s="28" r="AK568">
        <f>K568/$X568</f>
        <v>0.155918367346939</v>
      </c>
      <c s="30" r="AL568">
        <v>1</v>
      </c>
    </row>
    <row r="569">
      <c s="30" r="A569">
        <v>818</v>
      </c>
      <c t="s" s="30" r="B569">
        <v>38</v>
      </c>
      <c s="62" r="C569">
        <v>41649</v>
      </c>
      <c s="52" r="D569">
        <v>0.9375</v>
      </c>
      <c s="27" r="E569">
        <v>1100</v>
      </c>
      <c s="27" r="F569">
        <v>0</v>
      </c>
      <c s="75" r="G569">
        <f>678.46-557.66</f>
        <v>120.8</v>
      </c>
      <c s="27" r="H569">
        <v>93.41</v>
      </c>
      <c s="27" r="I569">
        <v>37.25</v>
      </c>
      <c s="27" r="J569">
        <v>8.24</v>
      </c>
      <c s="27" r="K569">
        <v>36.04</v>
      </c>
      <c s="59" r="L569">
        <f>SUM(G569:K569)</f>
        <v>295.74</v>
      </c>
      <c s="79" r="M569">
        <v>96.85</v>
      </c>
      <c s="79" r="N569">
        <v>542.98</v>
      </c>
      <c s="32" r="O569">
        <f>SUMIF(Sellables!$A$2:$A$11482, $A569, Sellables!$G$2:$G$11482)</f>
        <v>497.57591</v>
      </c>
      <c s="32" r="P569">
        <f>SUMIF(Skills!$A$2:$A$9999, A569, Skills!$F$2:$F$9999)</f>
        <v>23.3</v>
      </c>
      <c s="14" r="Q569">
        <f>((N569+O569)+P569)+AA569</f>
        <v>1063.85591</v>
      </c>
      <c s="23" r="R569">
        <f>((E569+F569)+L569)-M569</f>
        <v>1298.89</v>
      </c>
      <c s="70" r="S569">
        <f>Q569-R569</f>
        <v>-235.03409</v>
      </c>
      <c s="29" r="T569">
        <f> (Q569/R569) - 1</f>
        <v>-0.180949957271209</v>
      </c>
      <c t="str" s="70" r="U569">
        <f>R569/X569</f>
        <v>#DIV/0!:divZero</v>
      </c>
      <c t="str" s="70" r="V569">
        <f>Q569/X569</f>
        <v>#DIV/0!:divZero</v>
      </c>
      <c t="s" s="30" r="W569">
        <v>301</v>
      </c>
      <c s="30" r="X569"/>
      <c t="s" s="30" r="Y569">
        <v>82</v>
      </c>
      <c t="s" s="30" r="Z569">
        <v>65</v>
      </c>
      <c s="30" r="AA569">
        <v>0</v>
      </c>
      <c s="30" r="AB569">
        <v>0</v>
      </c>
      <c s="30" r="AC569">
        <v>5</v>
      </c>
      <c s="30" r="AD569">
        <v>0</v>
      </c>
      <c s="30" r="AE569"/>
      <c s="8" r="AF569">
        <f>(I569+J569)/R569</f>
        <v>0.035022211272702</v>
      </c>
      <c t="str" s="28" r="AG569">
        <f>G569/$X569</f>
        <v>#DIV/0!:divZero</v>
      </c>
      <c t="str" s="28" r="AH569">
        <f>H569/$X569</f>
        <v>#DIV/0!:divZero</v>
      </c>
      <c t="str" s="28" r="AI569">
        <f>I569/$X569</f>
        <v>#DIV/0!:divZero</v>
      </c>
      <c t="str" s="28" r="AJ569">
        <f>J569/$X569</f>
        <v>#DIV/0!:divZero</v>
      </c>
      <c t="str" s="28" r="AK569">
        <f>K569/$X569</f>
        <v>#DIV/0!:divZero</v>
      </c>
      <c s="30" r="AL569">
        <v>1</v>
      </c>
    </row>
    <row r="570">
      <c s="30" r="A570">
        <v>819</v>
      </c>
      <c t="s" s="30" r="B570">
        <v>38</v>
      </c>
      <c s="62" r="C570">
        <v>41650</v>
      </c>
      <c s="52" r="D570">
        <v>0.583333333333333</v>
      </c>
      <c s="27" r="E570">
        <v>500</v>
      </c>
      <c s="27" r="F570">
        <v>0.05</v>
      </c>
      <c s="75" r="G570">
        <f>557.66-505.78</f>
        <v>51.88</v>
      </c>
      <c s="27" r="H570">
        <v>40.11</v>
      </c>
      <c s="27" r="I570">
        <v>2.65</v>
      </c>
      <c s="27" r="J570">
        <v>4.66</v>
      </c>
      <c s="27" r="K570">
        <v>7.82</v>
      </c>
      <c s="59" r="L570">
        <f>SUM(G570:K570)</f>
        <v>107.12</v>
      </c>
      <c s="79" r="M570">
        <v>120.8</v>
      </c>
      <c s="79" r="N570">
        <v>707.26</v>
      </c>
      <c s="32" r="O570">
        <f>SUMIF(Sellables!$A$2:$A$11482, $A570, Sellables!$G$2:$G$11482)</f>
        <v>43.990912</v>
      </c>
      <c s="32" r="P570">
        <f>SUMIF(Skills!$A$2:$A$9999, A570, Skills!$F$2:$F$9999)</f>
        <v>0</v>
      </c>
      <c s="14" r="Q570">
        <f>((N570+O570)+P570)+AA570</f>
        <v>751.250912</v>
      </c>
      <c s="23" r="R570">
        <f>((E570+F570)+L570)-M570</f>
        <v>486.37</v>
      </c>
      <c s="70" r="S570">
        <f>Q570-R570</f>
        <v>264.880912</v>
      </c>
      <c s="29" r="T570">
        <f> (Q570/R570) - 1</f>
        <v>0.544607833542364</v>
      </c>
      <c s="70" r="U570">
        <f>R570/X570</f>
        <v>4.19284482758621</v>
      </c>
      <c s="70" r="V570">
        <f>Q570/X570</f>
        <v>6.47630096551724</v>
      </c>
      <c t="s" s="30" r="W570">
        <v>66</v>
      </c>
      <c s="30" r="X570">
        <v>116</v>
      </c>
      <c t="s" s="30" r="Y570">
        <v>67</v>
      </c>
      <c t="s" s="30" r="Z570">
        <v>65</v>
      </c>
      <c s="30" r="AA570">
        <v>0</v>
      </c>
      <c s="30" r="AB570">
        <v>0</v>
      </c>
      <c s="30" r="AC570">
        <v>2</v>
      </c>
      <c s="30" r="AD570">
        <v>0</v>
      </c>
      <c s="30" r="AE570"/>
      <c s="8" r="AF570">
        <f>(I570+J570)/R570</f>
        <v>0.015029709891646</v>
      </c>
      <c s="28" r="AG570">
        <f>G570/$X570</f>
        <v>0.447241379310345</v>
      </c>
      <c s="28" r="AH570">
        <f>H570/$X570</f>
        <v>0.345775862068966</v>
      </c>
      <c s="28" r="AI570">
        <f>I570/$X570</f>
        <v>0.022844827586207</v>
      </c>
      <c s="28" r="AJ570">
        <f>J570/$X570</f>
        <v>0.040172413793103</v>
      </c>
      <c s="28" r="AK570">
        <f>K570/$X570</f>
        <v>0.067413793103448</v>
      </c>
      <c s="30" r="AL570">
        <v>1</v>
      </c>
    </row>
    <row r="571">
      <c s="30" r="A571">
        <v>820</v>
      </c>
      <c t="s" s="30" r="B571">
        <v>38</v>
      </c>
      <c s="62" r="C571">
        <v>41650</v>
      </c>
      <c s="52" r="D571">
        <v>0.625</v>
      </c>
      <c s="27" r="E571">
        <v>750</v>
      </c>
      <c s="27" r="F571">
        <v>0</v>
      </c>
      <c s="75" r="G571">
        <f>(743.84-712.29)+27</f>
        <v>58.5500000000001</v>
      </c>
      <c s="27" r="H571">
        <v>41.47</v>
      </c>
      <c s="27" r="I571">
        <v>26.26</v>
      </c>
      <c s="27" r="J571">
        <v>6.01</v>
      </c>
      <c s="27" r="K571">
        <v>14.33</v>
      </c>
      <c s="59" r="L571">
        <f>SUM(G571:K571)</f>
        <v>146.62</v>
      </c>
      <c s="79" r="M571">
        <v>427.58</v>
      </c>
      <c s="79" r="N571">
        <v>81.37</v>
      </c>
      <c s="32" r="O571">
        <f>SUMIF(Sellables!$A$2:$A$11482, $A571, Sellables!$G$2:$G$11482)</f>
        <v>405.38</v>
      </c>
      <c s="32" r="P571">
        <f>SUMIF(Skills!$A$2:$A$9999, A571, Skills!$F$2:$F$9999)</f>
        <v>0</v>
      </c>
      <c s="14" r="Q571">
        <f>((N571+O571)+P571)+AA571</f>
        <v>486.75</v>
      </c>
      <c s="23" r="R571">
        <f>((E571+F571)+L571)-M571</f>
        <v>469.04</v>
      </c>
      <c s="70" r="S571">
        <f>Q571-R571</f>
        <v>17.7099999999999</v>
      </c>
      <c s="29" r="T571">
        <f> (Q571/R571) - 1</f>
        <v>0.037757973733583</v>
      </c>
      <c s="70" r="U571">
        <f>R571/X571</f>
        <v>4.78612244897959</v>
      </c>
      <c s="70" r="V571">
        <f>Q571/X571</f>
        <v>4.96683673469388</v>
      </c>
      <c t="s" s="30" r="W571">
        <v>298</v>
      </c>
      <c s="30" r="X571">
        <v>98</v>
      </c>
      <c t="s" s="30" r="Y571">
        <v>299</v>
      </c>
      <c t="s" s="30" r="Z571">
        <v>65</v>
      </c>
      <c s="30" r="AA571">
        <v>0</v>
      </c>
      <c s="30" r="AB571">
        <v>0</v>
      </c>
      <c s="30" r="AC571">
        <v>1</v>
      </c>
      <c s="30" r="AD571">
        <v>0</v>
      </c>
      <c s="30" r="AE571"/>
      <c s="8" r="AF571">
        <f>(I571+J571)/R571</f>
        <v>0.068800102336688</v>
      </c>
      <c s="28" r="AG571">
        <f>G571/$X571</f>
        <v>0.597448979591837</v>
      </c>
      <c s="28" r="AH571">
        <f>H571/$X571</f>
        <v>0.423163265306122</v>
      </c>
      <c s="28" r="AI571">
        <f>I571/$X571</f>
        <v>0.267959183673469</v>
      </c>
      <c s="28" r="AJ571">
        <f>J571/$X571</f>
        <v>0.061326530612245</v>
      </c>
      <c s="28" r="AK571">
        <f>K571/$X571</f>
        <v>0.146224489795918</v>
      </c>
      <c s="30" r="AL571">
        <v>1</v>
      </c>
    </row>
    <row r="572">
      <c s="30" r="A572">
        <v>823</v>
      </c>
      <c t="s" s="30" r="B572">
        <v>38</v>
      </c>
      <c s="62" r="C572">
        <v>41650</v>
      </c>
      <c s="52" r="D572">
        <v>0.770833333333333</v>
      </c>
      <c s="27" r="E572">
        <v>1000</v>
      </c>
      <c s="27" r="F572">
        <v>0</v>
      </c>
      <c s="75" r="G572">
        <f>(712.29-678.17)+30.68</f>
        <v>64.8</v>
      </c>
      <c s="27" r="H572">
        <v>35.96</v>
      </c>
      <c s="27" r="I572">
        <v>24.34</v>
      </c>
      <c s="27" r="J572">
        <v>6.25</v>
      </c>
      <c s="27" r="K572">
        <v>15.69</v>
      </c>
      <c s="59" r="L572">
        <f>SUM(G572:K572)</f>
        <v>147.04</v>
      </c>
      <c s="79" r="M572">
        <v>653.24</v>
      </c>
      <c s="79" r="N572">
        <v>410.18</v>
      </c>
      <c s="32" r="O572">
        <f>SUMIF(Sellables!$A$2:$A$11482, $A572, Sellables!$G$2:$G$11482)</f>
        <v>102.38</v>
      </c>
      <c s="32" r="P572">
        <f>SUMIF(Skills!$A$2:$A$9999, A572, Skills!$F$2:$F$9999)</f>
        <v>87.75</v>
      </c>
      <c s="14" r="Q572">
        <f>((N572+O572)+P572)+AA572</f>
        <v>600.31</v>
      </c>
      <c s="23" r="R572">
        <f>((E572+F572)+L572)-M572</f>
        <v>493.8</v>
      </c>
      <c s="70" r="S572">
        <f>Q572-R572</f>
        <v>106.51</v>
      </c>
      <c s="29" r="T572">
        <f> (Q572/R572) - 1</f>
        <v>0.215694613203726</v>
      </c>
      <c s="70" r="U572">
        <f>R572/X572</f>
        <v>5.1978947368421</v>
      </c>
      <c s="70" r="V572">
        <f>Q572/X572</f>
        <v>6.31905263157895</v>
      </c>
      <c t="s" s="30" r="W572">
        <v>302</v>
      </c>
      <c s="30" r="X572">
        <v>95</v>
      </c>
      <c t="s" s="30" r="Y572">
        <v>299</v>
      </c>
      <c t="s" s="30" r="Z572">
        <v>65</v>
      </c>
      <c s="30" r="AA572">
        <v>0</v>
      </c>
      <c s="30" r="AB572">
        <v>0</v>
      </c>
      <c s="30" r="AC572">
        <v>1</v>
      </c>
      <c s="30" r="AD572">
        <v>0</v>
      </c>
      <c s="30" r="AE572"/>
      <c s="8" r="AF572">
        <f>(I572+J572)/R572</f>
        <v>0.061948157148643</v>
      </c>
      <c s="28" r="AG572">
        <f>G572/$X572</f>
        <v>0.682105263157895</v>
      </c>
      <c s="28" r="AH572">
        <f>H572/$X572</f>
        <v>0.378526315789474</v>
      </c>
      <c s="28" r="AI572">
        <f>I572/$X572</f>
        <v>0.25621052631579</v>
      </c>
      <c s="28" r="AJ572">
        <f>J572/$X572</f>
        <v>0.06578947368421</v>
      </c>
      <c s="28" r="AK572">
        <f>K572/$X572</f>
        <v>0.165157894736842</v>
      </c>
      <c s="30" r="AL572">
        <v>1</v>
      </c>
    </row>
    <row r="573">
      <c s="30" r="A573">
        <v>825</v>
      </c>
      <c t="s" s="30" r="B573">
        <v>38</v>
      </c>
      <c s="62" r="C573">
        <v>41650</v>
      </c>
      <c s="52" r="D573">
        <v>0.875</v>
      </c>
      <c s="27" r="E573">
        <v>750</v>
      </c>
      <c s="27" r="F573">
        <v>0.1</v>
      </c>
      <c s="75" r="G573">
        <f>(1.95+678.17)-623.24</f>
        <v>56.88</v>
      </c>
      <c s="27" r="H573">
        <v>61.52</v>
      </c>
      <c s="27" r="I573">
        <v>0.12</v>
      </c>
      <c s="27" r="J573">
        <f>9.42+3.88</f>
        <v>13.3</v>
      </c>
      <c s="27" r="K573">
        <v>17.94</v>
      </c>
      <c s="59" r="L573">
        <f>SUM(G573:K573)</f>
        <v>149.76</v>
      </c>
      <c s="79" r="M573">
        <v>281.18</v>
      </c>
      <c s="79" r="N573">
        <v>588.16</v>
      </c>
      <c s="32" r="O573">
        <f>SUMIF(Sellables!$A$2:$A$11482, $A573, Sellables!$G$2:$G$11482)</f>
        <v>0</v>
      </c>
      <c s="32" r="P573">
        <f>SUMIF(Skills!$A$2:$A$9999, A573, Skills!$F$2:$F$9999)</f>
        <v>67.048</v>
      </c>
      <c s="14" r="Q573">
        <f>((N573+O573)+P573)+AA573</f>
        <v>655.208</v>
      </c>
      <c s="23" r="R573">
        <f>((E573+F573)+L573)-M573</f>
        <v>618.68</v>
      </c>
      <c s="70" r="S573">
        <f>Q573-R573</f>
        <v>36.5279999999999</v>
      </c>
      <c s="29" r="T573">
        <f> (Q573/R573) - 1</f>
        <v>0.059041830995022</v>
      </c>
      <c s="70" r="U573">
        <f>R573/X573</f>
        <v>4.12453333333333</v>
      </c>
      <c s="70" r="V573">
        <f>Q573/X573</f>
        <v>4.36805333333333</v>
      </c>
      <c t="s" s="30" r="W573">
        <v>66</v>
      </c>
      <c s="30" r="X573">
        <v>150</v>
      </c>
      <c t="s" s="30" r="Y573">
        <v>67</v>
      </c>
      <c t="s" s="30" r="Z573">
        <v>65</v>
      </c>
      <c s="30" r="AA573">
        <v>0</v>
      </c>
      <c s="30" r="AB573">
        <v>0</v>
      </c>
      <c s="30" r="AC573">
        <v>1</v>
      </c>
      <c s="30" r="AD573">
        <v>0</v>
      </c>
      <c s="30" r="AE573"/>
      <c s="8" r="AF573">
        <f>(I573+J573)/R573</f>
        <v>0.02169134285899</v>
      </c>
      <c s="28" r="AG573">
        <f>G573/$X573</f>
        <v>0.3792</v>
      </c>
      <c s="28" r="AH573">
        <f>H573/$X573</f>
        <v>0.410133333333333</v>
      </c>
      <c s="28" r="AI573">
        <f>I573/$X573</f>
        <v>0.0008</v>
      </c>
      <c s="28" r="AJ573">
        <f>J573/$X573</f>
        <v>0.088666666666667</v>
      </c>
      <c s="28" r="AK573">
        <f>K573/$X573</f>
        <v>0.1196</v>
      </c>
      <c s="30" r="AL573">
        <v>1</v>
      </c>
    </row>
    <row r="574">
      <c s="30" r="A574">
        <v>827</v>
      </c>
      <c t="s" s="30" r="B574">
        <v>38</v>
      </c>
      <c s="62" r="C574">
        <v>41650</v>
      </c>
      <c s="52" r="D574">
        <v>0.975694444444444</v>
      </c>
      <c s="27" r="E574">
        <v>750</v>
      </c>
      <c s="27" r="F574">
        <v>0</v>
      </c>
      <c s="75" r="G574">
        <f>(623.94-591.45)+27.23</f>
        <v>59.72</v>
      </c>
      <c s="27" r="H574">
        <v>37.98</v>
      </c>
      <c s="27" r="I574">
        <v>22.96</v>
      </c>
      <c s="27" r="J574">
        <v>5.65</v>
      </c>
      <c s="27" r="K574">
        <v>13.51</v>
      </c>
      <c s="59" r="L574">
        <f>SUM(G574:K574)</f>
        <v>139.82</v>
      </c>
      <c s="79" r="M574">
        <v>438.72</v>
      </c>
      <c s="79" r="N574">
        <v>60.25</v>
      </c>
      <c s="32" r="O574">
        <f>SUMIF(Sellables!$A$2:$A$11482, $A574, Sellables!$G$2:$G$11482)</f>
        <v>903.901</v>
      </c>
      <c s="32" r="P574">
        <f>SUMIF(Skills!$A$2:$A$9999, A574, Skills!$F$2:$F$9999)</f>
        <v>0</v>
      </c>
      <c s="14" r="Q574">
        <f>((N574+O574)+P574)+AA574</f>
        <v>964.151</v>
      </c>
      <c s="23" r="R574">
        <f>((E574+F574)+L574)-M574</f>
        <v>451.1</v>
      </c>
      <c s="70" r="S574">
        <f>Q574-R574</f>
        <v>513.051</v>
      </c>
      <c s="29" r="T574">
        <f> (Q574/R574) - 1</f>
        <v>1.13733318554644</v>
      </c>
      <c s="70" r="U574">
        <f>R574/X574</f>
        <v>4.65051546391753</v>
      </c>
      <c s="70" r="V574">
        <f>Q574/X574</f>
        <v>9.93970103092783</v>
      </c>
      <c t="s" s="30" r="W574">
        <v>298</v>
      </c>
      <c s="30" r="X574">
        <v>97</v>
      </c>
      <c t="s" s="30" r="Y574">
        <v>299</v>
      </c>
      <c t="s" s="30" r="Z574">
        <v>65</v>
      </c>
      <c s="30" r="AA574">
        <v>0</v>
      </c>
      <c s="30" r="AB574">
        <v>0</v>
      </c>
      <c s="30" r="AC574">
        <v>1</v>
      </c>
      <c s="30" r="AD574">
        <v>0</v>
      </c>
      <c s="30" r="AE574"/>
      <c s="8" r="AF574">
        <f>(I574+J574)/R574</f>
        <v>0.063422744402572</v>
      </c>
      <c s="28" r="AG574">
        <f>G574/$X574</f>
        <v>0.615670103092784</v>
      </c>
      <c s="28" r="AH574">
        <f>H574/$X574</f>
        <v>0.391546391752577</v>
      </c>
      <c s="28" r="AI574">
        <f>I574/$X574</f>
        <v>0.236701030927835</v>
      </c>
      <c s="28" r="AJ574">
        <f>J574/$X574</f>
        <v>0.058247422680412</v>
      </c>
      <c s="28" r="AK574">
        <f>K574/$X574</f>
        <v>0.139278350515464</v>
      </c>
      <c s="30" r="AL574">
        <v>1</v>
      </c>
    </row>
    <row r="575">
      <c s="30" r="A575">
        <v>828</v>
      </c>
      <c t="s" s="30" r="B575">
        <v>38</v>
      </c>
      <c s="62" r="C575">
        <v>41651</v>
      </c>
      <c s="52" r="D575">
        <v>0.041666666666667</v>
      </c>
      <c s="27" r="E575">
        <v>700</v>
      </c>
      <c s="27" r="F575">
        <v>0</v>
      </c>
      <c s="75" r="G575">
        <f>(591.45-558.16)+29.82</f>
        <v>63.1100000000001</v>
      </c>
      <c s="27" r="H575">
        <v>39.78</v>
      </c>
      <c s="27" r="I575">
        <v>23.83</v>
      </c>
      <c s="27" r="J575">
        <v>5.55</v>
      </c>
      <c s="27" r="K575">
        <v>16.1</v>
      </c>
      <c s="59" r="L575">
        <f>SUM(G575:K575)</f>
        <v>148.37</v>
      </c>
      <c s="79" r="M575">
        <v>401.88</v>
      </c>
      <c s="79" r="N575">
        <v>103.97</v>
      </c>
      <c s="32" r="O575">
        <f>SUMIF(Sellables!$A$2:$A$11482, $A575, Sellables!$G$2:$G$11482)</f>
        <v>435.36</v>
      </c>
      <c s="32" r="P575">
        <f>SUMIF(Skills!$A$2:$A$9999, A575, Skills!$F$2:$F$9999)</f>
        <v>0</v>
      </c>
      <c s="14" r="Q575">
        <f>((N575+O575)+P575)+AA575</f>
        <v>539.33</v>
      </c>
      <c s="23" r="R575">
        <f>((E575+F575)+L575)-M575</f>
        <v>446.49</v>
      </c>
      <c s="70" r="S575">
        <f>Q575-R575</f>
        <v>92.8399999999999</v>
      </c>
      <c s="29" r="T575">
        <f> (Q575/R575) - 1</f>
        <v>0.207932988420793</v>
      </c>
      <c s="70" r="U575">
        <f>R575/X575</f>
        <v>4.51</v>
      </c>
      <c s="70" r="V575">
        <f>Q575/X575</f>
        <v>5.44777777777778</v>
      </c>
      <c t="s" s="30" r="W575">
        <v>298</v>
      </c>
      <c s="30" r="X575">
        <v>99</v>
      </c>
      <c t="s" s="30" r="Y575">
        <v>299</v>
      </c>
      <c t="s" s="30" r="Z575">
        <v>65</v>
      </c>
      <c s="30" r="AA575">
        <v>0</v>
      </c>
      <c s="30" r="AB575">
        <v>0</v>
      </c>
      <c s="30" r="AC575">
        <v>1</v>
      </c>
      <c s="30" r="AD575">
        <v>0</v>
      </c>
      <c s="30" r="AE575"/>
      <c s="8" r="AF575">
        <f>(I575+J575)/R575</f>
        <v>0.065802145624762</v>
      </c>
      <c s="28" r="AG575">
        <f>G575/$X575</f>
        <v>0.637474747474748</v>
      </c>
      <c s="28" r="AH575">
        <f>H575/$X575</f>
        <v>0.401818181818182</v>
      </c>
      <c s="28" r="AI575">
        <f>I575/$X575</f>
        <v>0.240707070707071</v>
      </c>
      <c s="28" r="AJ575">
        <f>J575/$X575</f>
        <v>0.056060606060606</v>
      </c>
      <c s="28" r="AK575">
        <f>K575/$X575</f>
        <v>0.162626262626263</v>
      </c>
      <c s="30" r="AL575">
        <v>1</v>
      </c>
    </row>
    <row r="576">
      <c s="30" r="A576">
        <v>830</v>
      </c>
      <c t="s" s="30" r="B576">
        <v>38</v>
      </c>
      <c s="62" r="C576">
        <v>41651</v>
      </c>
      <c s="52" r="D576">
        <v>0.0625</v>
      </c>
      <c s="27" r="E576">
        <v>0</v>
      </c>
      <c s="27" r="F576">
        <v>0</v>
      </c>
      <c s="75" r="G576">
        <v>45.51</v>
      </c>
      <c s="27" r="H576">
        <v>0</v>
      </c>
      <c s="27" r="I576">
        <v>0</v>
      </c>
      <c s="27" r="J576">
        <v>4.3</v>
      </c>
      <c s="27" r="K576">
        <v>0</v>
      </c>
      <c s="59" r="L576">
        <f>SUM(G576:K576)</f>
        <v>49.81</v>
      </c>
      <c s="79" r="M576">
        <v>0</v>
      </c>
      <c s="79" r="N576">
        <v>12.39</v>
      </c>
      <c s="32" r="O576">
        <f>SUMIF(Sellables!$A$2:$A$11482, $A576, Sellables!$G$2:$G$11482)</f>
        <v>95.41</v>
      </c>
      <c s="32" r="P576">
        <f>SUMIF(Skills!$A$2:$A$9999, A576, Skills!$F$2:$F$9999)</f>
        <v>0</v>
      </c>
      <c s="14" r="Q576">
        <f>((N576+O576)+P576)+AA576</f>
        <v>107.8</v>
      </c>
      <c s="23" r="R576">
        <f>((E576+F576)+L576)-M576</f>
        <v>49.81</v>
      </c>
      <c s="70" r="S576">
        <f>Q576-R576</f>
        <v>57.99</v>
      </c>
      <c s="29" r="T576">
        <f> (Q576/R576) - 1</f>
        <v>1.1642240513953</v>
      </c>
      <c s="70" r="U576">
        <f>R576/X576</f>
        <v>0.332066666666667</v>
      </c>
      <c s="70" r="V576">
        <f>Q576/X576</f>
        <v>0.718666666666667</v>
      </c>
      <c t="s" s="30" r="W576">
        <v>312</v>
      </c>
      <c s="30" r="X576">
        <v>150</v>
      </c>
      <c t="s" s="30" r="Y576">
        <v>299</v>
      </c>
      <c t="s" s="30" r="Z576">
        <v>65</v>
      </c>
      <c s="30" r="AA576">
        <v>0</v>
      </c>
      <c s="30" r="AB576">
        <v>0</v>
      </c>
      <c s="30" r="AC576">
        <v>1</v>
      </c>
      <c s="30" r="AD576">
        <v>0</v>
      </c>
      <c s="30" r="AE576"/>
      <c s="8" r="AF576">
        <f>(I576+J576)/R576</f>
        <v>0.086328046576993</v>
      </c>
      <c s="28" r="AG576">
        <f>G576/$X576</f>
        <v>0.3034</v>
      </c>
      <c s="28" r="AH576">
        <f>H576/$X576</f>
        <v>0</v>
      </c>
      <c s="28" r="AI576">
        <f>I576/$X576</f>
        <v>0</v>
      </c>
      <c s="28" r="AJ576">
        <f>J576/$X576</f>
        <v>0.028666666666667</v>
      </c>
      <c s="28" r="AK576">
        <f>K576/$X576</f>
        <v>0</v>
      </c>
      <c s="30" r="AL576">
        <v>1</v>
      </c>
    </row>
    <row r="577">
      <c s="30" r="A577">
        <v>831</v>
      </c>
      <c t="s" s="30" r="B577">
        <v>38</v>
      </c>
      <c s="62" r="C577">
        <v>41651</v>
      </c>
      <c s="52" r="D577">
        <v>0.0625</v>
      </c>
      <c s="27" r="E577">
        <v>49.2</v>
      </c>
      <c s="27" r="F577">
        <v>0</v>
      </c>
      <c s="75" r="G577">
        <v>42.07</v>
      </c>
      <c s="27" r="H577">
        <v>0</v>
      </c>
      <c s="27" r="I577">
        <v>0</v>
      </c>
      <c s="27" r="J577">
        <v>3.35</v>
      </c>
      <c s="27" r="K577">
        <v>0</v>
      </c>
      <c s="59" r="L577">
        <f>SUM(G577:K577)</f>
        <v>45.42</v>
      </c>
      <c s="79" r="M577">
        <v>50.51</v>
      </c>
      <c s="79" r="N577">
        <f>32.08</f>
        <v>32.08</v>
      </c>
      <c s="32" r="O577">
        <f>SUMIF(Sellables!$A$2:$A$11482, $A577, Sellables!$G$2:$G$11482)</f>
        <v>33.56</v>
      </c>
      <c s="32" r="P577">
        <f>SUMIF(Skills!$A$2:$A$9999, A577, Skills!$F$2:$F$9999)</f>
        <v>0</v>
      </c>
      <c s="14" r="Q577">
        <f>((N577+O577)+P577)+AA577</f>
        <v>65.64</v>
      </c>
      <c s="23" r="R577">
        <f>((E577+F577)+L577)-M577</f>
        <v>44.11</v>
      </c>
      <c s="70" r="S577">
        <f>Q577-R577</f>
        <v>21.53</v>
      </c>
      <c s="29" r="T577">
        <f> (Q577/R577) - 1</f>
        <v>0.488097936975742</v>
      </c>
      <c s="70" r="U577">
        <f>R577/X577</f>
        <v>0.239728260869565</v>
      </c>
      <c s="70" r="V577">
        <f>Q577/X577</f>
        <v>0.356739130434783</v>
      </c>
      <c t="s" s="30" r="W577">
        <v>312</v>
      </c>
      <c s="30" r="X577">
        <v>184</v>
      </c>
      <c t="s" s="30" r="Y577">
        <v>299</v>
      </c>
      <c t="s" s="30" r="Z577">
        <v>65</v>
      </c>
      <c s="30" r="AA577">
        <v>0</v>
      </c>
      <c s="30" r="AB577">
        <v>0</v>
      </c>
      <c s="30" r="AC577">
        <v>1</v>
      </c>
      <c s="30" r="AD577">
        <v>0</v>
      </c>
      <c s="30" r="AE577"/>
      <c s="8" r="AF577">
        <f>(I577+J577)/R577</f>
        <v>0.075946497392881</v>
      </c>
      <c s="28" r="AG577">
        <f>G577/$X577</f>
        <v>0.228641304347826</v>
      </c>
      <c s="28" r="AH577">
        <f>H577/$X577</f>
        <v>0</v>
      </c>
      <c s="28" r="AI577">
        <f>I577/$X577</f>
        <v>0</v>
      </c>
      <c s="28" r="AJ577">
        <f>J577/$X577</f>
        <v>0.01820652173913</v>
      </c>
      <c s="28" r="AK577">
        <f>K577/$X577</f>
        <v>0</v>
      </c>
      <c s="30" r="AL577">
        <v>1</v>
      </c>
    </row>
    <row r="578">
      <c s="30" r="A578">
        <v>836</v>
      </c>
      <c t="s" s="30" r="B578">
        <v>38</v>
      </c>
      <c s="62" r="C578">
        <v>41651</v>
      </c>
      <c s="52" r="D578">
        <v>0.729166666666667</v>
      </c>
      <c s="27" r="E578">
        <v>700</v>
      </c>
      <c s="27" r="F578">
        <v>0</v>
      </c>
      <c s="75" r="G578">
        <f>(44.24+558.61)-538.69</f>
        <v>64.16</v>
      </c>
      <c s="27" r="H578">
        <v>23.27</v>
      </c>
      <c s="27" r="I578">
        <v>0</v>
      </c>
      <c s="27" r="J578">
        <v>9.75</v>
      </c>
      <c s="27" r="K578">
        <v>10.14</v>
      </c>
      <c s="59" r="L578">
        <f>SUM(G578:K578)</f>
        <v>107.32</v>
      </c>
      <c s="79" r="M578">
        <v>565.87</v>
      </c>
      <c s="79" r="N578">
        <v>212.35</v>
      </c>
      <c s="32" r="O578">
        <f>SUMIF(Sellables!$A$2:$A$11482, $A578, Sellables!$G$2:$G$11482)</f>
        <v>3.63</v>
      </c>
      <c s="32" r="P578">
        <f>SUMIF(Skills!$A$2:$A$9999, A578, Skills!$F$2:$F$9999)</f>
        <v>0</v>
      </c>
      <c s="14" r="Q578">
        <f>((N578+O578)+P578)+AA578</f>
        <v>215.98</v>
      </c>
      <c s="23" r="R578">
        <f>((E578+F578)+L578)-M578</f>
        <v>241.45</v>
      </c>
      <c s="70" r="S578">
        <f>Q578-R578</f>
        <v>-25.4699999999999</v>
      </c>
      <c s="29" r="T578">
        <f> (Q578/R578) - 1</f>
        <v>-0.105487678608407</v>
      </c>
      <c t="str" s="70" r="U578">
        <f>R578/X578</f>
        <v>#DIV/0!:divZero</v>
      </c>
      <c t="str" s="70" r="V578">
        <f>Q578/X578</f>
        <v>#DIV/0!:divZero</v>
      </c>
      <c t="s" s="30" r="W578">
        <v>159</v>
      </c>
      <c s="30" r="X578">
        <v>0</v>
      </c>
      <c t="s" s="30" r="Y578">
        <v>67</v>
      </c>
      <c t="s" s="30" r="Z578">
        <v>65</v>
      </c>
      <c s="30" r="AA578">
        <v>0</v>
      </c>
      <c s="30" r="AB578">
        <v>1</v>
      </c>
      <c s="30" r="AC578">
        <v>1</v>
      </c>
      <c s="30" r="AD578">
        <v>0</v>
      </c>
      <c s="30" r="AE578"/>
      <c s="8" r="AF578">
        <f>(I578+J578)/R578</f>
        <v>0.040381031269414</v>
      </c>
      <c t="str" s="28" r="AG578">
        <f>G578/$X578</f>
        <v>#DIV/0!:divZero</v>
      </c>
      <c t="str" s="28" r="AH578">
        <f>H578/$X578</f>
        <v>#DIV/0!:divZero</v>
      </c>
      <c t="str" s="28" r="AI578">
        <f>I578/$X578</f>
        <v>#DIV/0!:divZero</v>
      </c>
      <c t="str" s="28" r="AJ578">
        <f>J578/$X578</f>
        <v>#DIV/0!:divZero</v>
      </c>
      <c t="str" s="28" r="AK578">
        <f>K578/$X578</f>
        <v>#DIV/0!:divZero</v>
      </c>
      <c s="30" r="AL578">
        <v>1</v>
      </c>
    </row>
    <row r="579">
      <c s="30" r="A579">
        <v>837</v>
      </c>
      <c t="s" s="30" r="B579">
        <v>38</v>
      </c>
      <c s="62" r="C579">
        <v>41651</v>
      </c>
      <c s="52" r="D579">
        <v>0.802083333333333</v>
      </c>
      <c s="27" r="E579">
        <v>750</v>
      </c>
      <c s="27" r="F579">
        <v>0</v>
      </c>
      <c s="75" r="G579">
        <f>(33.52+538.69)-507.04</f>
        <v>65.17</v>
      </c>
      <c s="27" r="H579">
        <v>37.82</v>
      </c>
      <c s="27" r="I579">
        <v>25.82</v>
      </c>
      <c s="27" r="J579">
        <v>6.6</v>
      </c>
      <c s="27" r="K579">
        <v>16.51</v>
      </c>
      <c s="59" r="L579">
        <f>SUM(G579:K579)</f>
        <v>151.92</v>
      </c>
      <c s="79" r="M579">
        <v>418.38</v>
      </c>
      <c s="79" r="N579">
        <v>394.16</v>
      </c>
      <c s="32" r="O579">
        <f>SUMIF(Sellables!$A$2:$A$11482, $A579, Sellables!$G$2:$G$11482)</f>
        <v>124.14</v>
      </c>
      <c s="32" r="P579">
        <f>SUMIF(Skills!$A$2:$A$9999, A579, Skills!$F$2:$F$9999)</f>
        <v>0</v>
      </c>
      <c s="14" r="Q579">
        <f>((N579+O579)+P579)+AA579</f>
        <v>518.3</v>
      </c>
      <c s="23" r="R579">
        <f>((E579+F579)+L579)-M579</f>
        <v>483.54</v>
      </c>
      <c s="70" r="S579">
        <f>Q579-R579</f>
        <v>34.7600000000001</v>
      </c>
      <c s="29" r="T579">
        <f> (Q579/R579) - 1</f>
        <v>0.071886503701866</v>
      </c>
      <c s="70" r="U579">
        <f>R579/X579</f>
        <v>4.78752475247525</v>
      </c>
      <c s="70" r="V579">
        <f>Q579/X579</f>
        <v>5.13168316831683</v>
      </c>
      <c t="s" s="30" r="W579">
        <v>302</v>
      </c>
      <c s="30" r="X579">
        <v>101</v>
      </c>
      <c t="s" s="30" r="Y579">
        <v>299</v>
      </c>
      <c t="s" s="30" r="Z579">
        <v>65</v>
      </c>
      <c s="30" r="AA579">
        <v>0</v>
      </c>
      <c s="30" r="AB579">
        <v>0</v>
      </c>
      <c s="30" r="AC579">
        <v>0</v>
      </c>
      <c s="30" r="AD579">
        <v>1</v>
      </c>
      <c s="30" r="AE579"/>
      <c s="8" r="AF579">
        <f>(I579+J579)/R579</f>
        <v>0.067047193613765</v>
      </c>
      <c s="28" r="AG579">
        <f>G579/$X579</f>
        <v>0.645247524752475</v>
      </c>
      <c s="28" r="AH579">
        <f>H579/$X579</f>
        <v>0.374455445544554</v>
      </c>
      <c s="28" r="AI579">
        <f>I579/$X579</f>
        <v>0.255643564356436</v>
      </c>
      <c s="28" r="AJ579">
        <f>J579/$X579</f>
        <v>0.065346534653465</v>
      </c>
      <c s="28" r="AK579">
        <f>K579/$X579</f>
        <v>0.163465346534653</v>
      </c>
      <c s="30" r="AL579">
        <v>1</v>
      </c>
    </row>
    <row r="580">
      <c s="30" r="A580">
        <v>840</v>
      </c>
      <c t="s" s="30" r="B580">
        <v>38</v>
      </c>
      <c s="62" r="C580">
        <v>41651</v>
      </c>
      <c s="52" r="D580">
        <v>0.96875</v>
      </c>
      <c s="27" r="E580">
        <v>750</v>
      </c>
      <c s="27" r="F580">
        <v>0</v>
      </c>
      <c s="75" r="G580">
        <f>(507.04-478.38)+38.94</f>
        <v>67.6</v>
      </c>
      <c s="27" r="H580">
        <v>34.24</v>
      </c>
      <c s="27" r="I580">
        <v>30.88</v>
      </c>
      <c s="27" r="J580">
        <v>8.3</v>
      </c>
      <c s="27" r="K580">
        <v>15.56</v>
      </c>
      <c s="59" r="L580">
        <f>SUM(G580:K580)</f>
        <v>156.58</v>
      </c>
      <c s="79" r="M580">
        <v>447.7</v>
      </c>
      <c s="79" r="N580">
        <v>266.16</v>
      </c>
      <c s="32" r="O580">
        <f>SUMIF(Sellables!$A$2:$A$11482, $A580, Sellables!$G$2:$G$11482)</f>
        <v>211.19</v>
      </c>
      <c s="32" r="P580">
        <f>SUMIF(Skills!$A$2:$A$9999, A580, Skills!$F$2:$F$9999)</f>
        <v>0</v>
      </c>
      <c s="14" r="Q580">
        <f>((N580+O580)+P580)+AA580</f>
        <v>477.35</v>
      </c>
      <c s="23" r="R580">
        <f>((E580+F580)+L580)-M580</f>
        <v>458.88</v>
      </c>
      <c s="70" r="S580">
        <f>Q580-R580</f>
        <v>18.47</v>
      </c>
      <c s="29" r="T580">
        <f> (Q580/R580) - 1</f>
        <v>0.040250174337517</v>
      </c>
      <c s="70" r="U580">
        <f>R580/X580</f>
        <v>4.49882352941176</v>
      </c>
      <c s="70" r="V580">
        <f>Q580/X580</f>
        <v>4.67990196078431</v>
      </c>
      <c t="s" s="30" r="W580">
        <v>302</v>
      </c>
      <c s="30" r="X580">
        <v>102</v>
      </c>
      <c t="s" s="30" r="Y580">
        <v>299</v>
      </c>
      <c t="s" s="30" r="Z580">
        <v>65</v>
      </c>
      <c s="30" r="AA580">
        <v>0</v>
      </c>
      <c s="30" r="AB580">
        <v>0</v>
      </c>
      <c s="30" r="AC580">
        <v>0</v>
      </c>
      <c s="30" r="AD580">
        <v>1</v>
      </c>
      <c s="30" r="AE580"/>
      <c s="8" r="AF580">
        <f>(I580+J580)/R580</f>
        <v>0.08538179916318</v>
      </c>
      <c s="28" r="AG580">
        <f>G580/$X580</f>
        <v>0.662745098039216</v>
      </c>
      <c s="28" r="AH580">
        <f>H580/$X580</f>
        <v>0.335686274509804</v>
      </c>
      <c s="28" r="AI580">
        <f>I580/$X580</f>
        <v>0.302745098039216</v>
      </c>
      <c s="28" r="AJ580">
        <f>J580/$X580</f>
        <v>0.081372549019608</v>
      </c>
      <c s="28" r="AK580">
        <f>K580/$X580</f>
        <v>0.152549019607843</v>
      </c>
      <c s="30" r="AL580">
        <v>1</v>
      </c>
    </row>
    <row r="581">
      <c s="30" r="A581"/>
      <c s="30" r="B581"/>
      <c s="30" r="C581"/>
      <c s="30" r="D581"/>
      <c s="16" r="E581"/>
      <c s="16" r="F581"/>
      <c s="16" r="G581"/>
      <c s="16" r="H581"/>
      <c s="16" r="I581"/>
      <c s="16" r="J581"/>
      <c s="16" r="K581"/>
      <c s="80" r="L581"/>
      <c s="79" r="M581"/>
      <c s="79" r="N581"/>
      <c s="79" r="O581"/>
      <c s="79" r="P581"/>
      <c s="17" r="Q581"/>
      <c s="17" r="R581"/>
      <c s="7" r="S581"/>
      <c s="7" r="T581"/>
      <c s="7" r="U581"/>
      <c s="7" r="V581"/>
      <c s="30" r="W581"/>
      <c s="30" r="X581"/>
      <c s="30" r="Y581"/>
      <c s="30" r="Z581"/>
      <c s="30" r="AA581"/>
      <c s="30" r="AB581"/>
      <c s="30" r="AC581"/>
      <c s="30" r="AD581"/>
      <c s="30" r="AE581"/>
      <c s="10" r="AF581"/>
      <c s="10" r="AG581"/>
      <c s="10" r="AH581"/>
      <c s="10" r="AI581"/>
      <c s="10" r="AJ581"/>
      <c s="10" r="AK581"/>
      <c s="30" r="AL581"/>
    </row>
    <row r="582">
      <c s="30" r="A582"/>
      <c s="30" r="B582"/>
      <c s="30" r="C582"/>
      <c s="30" r="D582"/>
      <c s="16" r="E582"/>
      <c s="16" r="F582"/>
      <c s="16" r="G582"/>
      <c s="16" r="H582"/>
      <c s="16" r="I582"/>
      <c s="16" r="J582"/>
      <c s="16" r="K582"/>
      <c s="80" r="L582"/>
      <c s="79" r="M582"/>
      <c s="79" r="N582"/>
      <c s="79" r="O582"/>
      <c s="79" r="P582"/>
      <c s="17" r="Q582"/>
      <c s="17" r="R582"/>
      <c s="7" r="S582"/>
      <c s="7" r="T582"/>
      <c s="7" r="U582"/>
      <c s="7" r="V582"/>
      <c s="30" r="W582"/>
      <c s="30" r="X582"/>
      <c s="30" r="Y582"/>
      <c s="30" r="Z582"/>
      <c s="30" r="AA582"/>
      <c s="30" r="AB582"/>
      <c s="30" r="AC582"/>
      <c s="30" r="AD582"/>
      <c s="30" r="AE582"/>
      <c s="10" r="AF582"/>
      <c s="10" r="AG582"/>
      <c s="10" r="AH582"/>
      <c s="10" r="AI582"/>
      <c s="10" r="AJ582"/>
      <c s="10" r="AK582"/>
      <c s="30" r="AL582"/>
    </row>
    <row r="583">
      <c s="30" r="A583"/>
      <c s="30" r="B583"/>
      <c s="30" r="C583"/>
      <c s="30" r="D583"/>
      <c s="16" r="E583"/>
      <c s="16" r="F583"/>
      <c s="16" r="G583"/>
      <c s="16" r="H583"/>
      <c s="16" r="I583"/>
      <c s="16" r="J583"/>
      <c s="16" r="K583"/>
      <c s="80" r="L583"/>
      <c s="79" r="M583"/>
      <c s="79" r="N583"/>
      <c s="79" r="O583"/>
      <c s="79" r="P583"/>
      <c s="17" r="Q583"/>
      <c s="17" r="R583"/>
      <c s="7" r="S583"/>
      <c s="7" r="T583"/>
      <c s="7" r="U583"/>
      <c s="7" r="V583"/>
      <c s="30" r="W583"/>
      <c s="30" r="X583"/>
      <c s="30" r="Y583"/>
      <c s="30" r="Z583"/>
      <c s="30" r="AA583"/>
      <c s="30" r="AB583"/>
      <c s="30" r="AC583"/>
      <c s="30" r="AD583"/>
      <c s="30" r="AE583"/>
      <c s="10" r="AF583"/>
      <c s="10" r="AG583"/>
      <c s="10" r="AH583"/>
      <c s="10" r="AI583"/>
      <c s="10" r="AJ583"/>
      <c s="10" r="AK583"/>
      <c s="30" r="AL583"/>
    </row>
    <row r="584">
      <c s="30" r="A584"/>
      <c s="30" r="B584"/>
      <c s="30" r="C584"/>
      <c s="30" r="D584"/>
      <c s="16" r="E584"/>
      <c s="16" r="F584"/>
      <c s="16" r="G584"/>
      <c s="16" r="H584"/>
      <c s="16" r="I584"/>
      <c s="16" r="J584"/>
      <c s="16" r="K584"/>
      <c s="80" r="L584"/>
      <c s="79" r="M584"/>
      <c s="79" r="N584"/>
      <c s="79" r="O584"/>
      <c s="79" r="P584"/>
      <c s="17" r="Q584"/>
      <c s="17" r="R584"/>
      <c s="7" r="S584"/>
      <c s="7" r="T584"/>
      <c s="7" r="U584"/>
      <c s="7" r="V584"/>
      <c s="30" r="W584"/>
      <c s="30" r="X584"/>
      <c s="30" r="Y584"/>
      <c s="30" r="Z584"/>
      <c s="30" r="AA584"/>
      <c s="30" r="AB584"/>
      <c s="30" r="AC584"/>
      <c s="30" r="AD584"/>
      <c s="30" r="AE584"/>
      <c s="10" r="AF584"/>
      <c s="10" r="AG584"/>
      <c s="10" r="AH584"/>
      <c s="10" r="AI584"/>
      <c s="10" r="AJ584"/>
      <c s="10" r="AK584"/>
      <c s="30" r="AL584"/>
    </row>
    <row r="585">
      <c s="30" r="A585"/>
      <c s="30" r="B585"/>
      <c s="30" r="C585"/>
      <c s="30" r="D585"/>
      <c s="16" r="E585"/>
      <c s="16" r="F585"/>
      <c s="16" r="G585"/>
      <c s="16" r="H585"/>
      <c s="16" r="I585"/>
      <c s="16" r="J585"/>
      <c s="16" r="K585"/>
      <c s="80" r="L585"/>
      <c s="79" r="M585"/>
      <c s="79" r="N585"/>
      <c s="79" r="O585"/>
      <c s="79" r="P585"/>
      <c s="17" r="Q585"/>
      <c s="17" r="R585"/>
      <c s="7" r="S585"/>
      <c s="7" r="T585"/>
      <c s="7" r="U585"/>
      <c s="7" r="V585"/>
      <c s="30" r="W585"/>
      <c s="30" r="X585"/>
      <c s="30" r="Y585"/>
      <c s="30" r="Z585"/>
      <c s="30" r="AA585"/>
      <c s="30" r="AB585"/>
      <c s="30" r="AC585"/>
      <c s="30" r="AD585"/>
      <c s="30" r="AE585"/>
      <c s="10" r="AF585"/>
      <c s="10" r="AG585"/>
      <c s="10" r="AH585"/>
      <c s="10" r="AI585"/>
      <c s="10" r="AJ585"/>
      <c s="10" r="AK585"/>
      <c s="30" r="AL585"/>
    </row>
    <row r="586">
      <c s="30" r="A586"/>
      <c s="30" r="B586"/>
      <c s="30" r="C586"/>
      <c s="30" r="D586"/>
      <c s="16" r="E586"/>
      <c s="16" r="F586"/>
      <c s="16" r="G586"/>
      <c s="16" r="H586"/>
      <c s="16" r="I586"/>
      <c s="16" r="J586"/>
      <c s="16" r="K586"/>
      <c s="80" r="L586"/>
      <c s="79" r="M586"/>
      <c s="79" r="N586"/>
      <c s="79" r="O586"/>
      <c s="79" r="P586"/>
      <c s="17" r="Q586"/>
      <c s="17" r="R586"/>
      <c s="7" r="S586"/>
      <c s="7" r="T586"/>
      <c s="7" r="U586"/>
      <c s="7" r="V586"/>
      <c s="30" r="W586"/>
      <c s="30" r="X586"/>
      <c s="30" r="Y586"/>
      <c s="30" r="Z586"/>
      <c s="30" r="AA586"/>
      <c s="30" r="AB586"/>
      <c s="30" r="AC586"/>
      <c s="30" r="AD586"/>
      <c s="30" r="AE586"/>
      <c s="10" r="AF586"/>
      <c s="10" r="AG586"/>
      <c s="10" r="AH586"/>
      <c s="10" r="AI586"/>
      <c s="10" r="AJ586"/>
      <c s="10" r="AK586"/>
      <c s="30" r="AL586"/>
    </row>
    <row r="587">
      <c s="30" r="A587"/>
      <c s="30" r="B587"/>
      <c s="30" r="C587"/>
      <c s="30" r="D587"/>
      <c s="16" r="E587"/>
      <c s="16" r="F587"/>
      <c s="16" r="G587"/>
      <c s="16" r="H587"/>
      <c s="16" r="I587"/>
      <c s="16" r="J587"/>
      <c s="16" r="K587"/>
      <c s="80" r="L587"/>
      <c s="79" r="M587"/>
      <c s="79" r="N587"/>
      <c s="79" r="O587"/>
      <c s="79" r="P587"/>
      <c s="17" r="Q587"/>
      <c s="17" r="R587"/>
      <c s="7" r="S587"/>
      <c s="7" r="T587"/>
      <c s="7" r="U587"/>
      <c s="7" r="V587"/>
      <c s="30" r="W587"/>
      <c s="30" r="X587"/>
      <c s="30" r="Y587"/>
      <c s="30" r="Z587"/>
      <c s="30" r="AA587"/>
      <c s="30" r="AB587"/>
      <c s="30" r="AC587"/>
      <c s="30" r="AD587"/>
      <c s="30" r="AE587"/>
      <c s="10" r="AF587"/>
      <c s="10" r="AG587"/>
      <c s="10" r="AH587"/>
      <c s="10" r="AI587"/>
      <c s="10" r="AJ587"/>
      <c s="10" r="AK587"/>
      <c s="30" r="AL587"/>
    </row>
    <row r="588">
      <c s="30" r="A588"/>
      <c s="30" r="B588"/>
      <c s="30" r="C588"/>
      <c s="30" r="D588"/>
      <c s="16" r="E588"/>
      <c s="16" r="F588"/>
      <c s="16" r="G588"/>
      <c s="16" r="H588"/>
      <c s="16" r="I588"/>
      <c s="16" r="J588"/>
      <c s="16" r="K588"/>
      <c s="80" r="L588"/>
      <c s="79" r="M588"/>
      <c s="79" r="N588"/>
      <c s="79" r="O588"/>
      <c s="79" r="P588"/>
      <c s="17" r="Q588"/>
      <c s="17" r="R588"/>
      <c s="7" r="S588"/>
      <c s="7" r="T588"/>
      <c s="7" r="U588"/>
      <c s="7" r="V588"/>
      <c s="30" r="W588"/>
      <c s="30" r="X588"/>
      <c s="30" r="Y588"/>
      <c s="30" r="Z588"/>
      <c s="30" r="AA588"/>
      <c s="30" r="AB588"/>
      <c s="30" r="AC588"/>
      <c s="30" r="AD588"/>
      <c s="30" r="AE588"/>
      <c s="10" r="AF588"/>
      <c s="10" r="AG588"/>
      <c s="10" r="AH588"/>
      <c s="10" r="AI588"/>
      <c s="10" r="AJ588"/>
      <c s="10" r="AK588"/>
      <c s="30" r="AL588"/>
    </row>
    <row r="589">
      <c s="30" r="A589"/>
      <c s="30" r="B589"/>
      <c s="30" r="C589"/>
      <c s="30" r="D589"/>
      <c s="16" r="E589"/>
      <c s="16" r="F589"/>
      <c s="16" r="G589"/>
      <c s="16" r="H589"/>
      <c s="16" r="I589"/>
      <c s="16" r="J589"/>
      <c s="16" r="K589"/>
      <c s="80" r="L589"/>
      <c s="79" r="M589"/>
      <c s="79" r="N589"/>
      <c s="79" r="O589"/>
      <c s="79" r="P589"/>
      <c s="17" r="Q589"/>
      <c s="17" r="R589"/>
      <c s="7" r="S589"/>
      <c s="7" r="T589"/>
      <c s="7" r="U589"/>
      <c s="7" r="V589"/>
      <c s="30" r="W589"/>
      <c s="30" r="X589"/>
      <c s="30" r="Y589"/>
      <c s="30" r="Z589"/>
      <c s="30" r="AA589"/>
      <c s="30" r="AB589"/>
      <c s="30" r="AC589"/>
      <c s="30" r="AD589"/>
      <c s="30" r="AE589"/>
      <c s="10" r="AF589"/>
      <c s="10" r="AG589"/>
      <c s="10" r="AH589"/>
      <c s="10" r="AI589"/>
      <c s="10" r="AJ589"/>
      <c s="10" r="AK589"/>
      <c s="30" r="AL589"/>
    </row>
    <row r="590">
      <c s="30" r="A590"/>
      <c s="30" r="B590"/>
      <c s="30" r="C590"/>
      <c s="30" r="D590"/>
      <c s="16" r="E590"/>
      <c s="16" r="F590"/>
      <c s="16" r="G590"/>
      <c s="16" r="H590"/>
      <c s="16" r="I590"/>
      <c s="16" r="J590"/>
      <c s="16" r="K590"/>
      <c s="80" r="L590"/>
      <c s="79" r="M590"/>
      <c s="79" r="N590"/>
      <c s="79" r="O590"/>
      <c s="79" r="P590"/>
      <c s="17" r="Q590"/>
      <c s="17" r="R590"/>
      <c s="7" r="S590"/>
      <c s="7" r="T590"/>
      <c s="7" r="U590"/>
      <c s="7" r="V590"/>
      <c s="30" r="W590"/>
      <c s="30" r="X590"/>
      <c s="30" r="Y590"/>
      <c s="30" r="Z590"/>
      <c s="30" r="AA590"/>
      <c s="30" r="AB590"/>
      <c s="30" r="AC590"/>
      <c s="30" r="AD590"/>
      <c s="30" r="AE590"/>
      <c s="10" r="AF590"/>
      <c s="10" r="AG590"/>
      <c s="10" r="AH590"/>
      <c s="10" r="AI590"/>
      <c s="10" r="AJ590"/>
      <c s="10" r="AK590"/>
      <c s="30" r="AL590"/>
    </row>
    <row r="591">
      <c s="30" r="A591"/>
      <c s="30" r="B591"/>
      <c s="30" r="C591"/>
      <c s="30" r="D591"/>
      <c s="16" r="E591"/>
      <c s="16" r="F591"/>
      <c s="16" r="G591"/>
      <c s="16" r="H591"/>
      <c s="16" r="I591"/>
      <c s="16" r="J591"/>
      <c s="16" r="K591"/>
      <c s="80" r="L591"/>
      <c s="79" r="M591"/>
      <c s="79" r="N591"/>
      <c s="79" r="O591"/>
      <c s="79" r="P591"/>
      <c s="17" r="Q591"/>
      <c s="17" r="R591"/>
      <c s="7" r="S591"/>
      <c s="7" r="T591"/>
      <c s="7" r="U591"/>
      <c s="7" r="V591"/>
      <c s="30" r="W591"/>
      <c s="30" r="X591"/>
      <c s="30" r="Y591"/>
      <c s="30" r="Z591"/>
      <c s="30" r="AA591"/>
      <c s="30" r="AB591"/>
      <c s="30" r="AC591"/>
      <c s="30" r="AD591"/>
      <c s="30" r="AE591"/>
      <c s="10" r="AF591"/>
      <c s="10" r="AG591"/>
      <c s="10" r="AH591"/>
      <c s="10" r="AI591"/>
      <c s="10" r="AJ591"/>
      <c s="10" r="AK591"/>
      <c s="30" r="AL591"/>
    </row>
    <row r="592">
      <c s="30" r="A592"/>
      <c s="30" r="B592"/>
      <c s="30" r="C592"/>
      <c s="30" r="D592"/>
      <c s="16" r="E592"/>
      <c s="16" r="F592"/>
      <c s="16" r="G592"/>
      <c s="16" r="H592"/>
      <c s="16" r="I592"/>
      <c s="16" r="J592"/>
      <c s="16" r="K592"/>
      <c s="80" r="L592"/>
      <c s="79" r="M592"/>
      <c s="79" r="N592"/>
      <c s="79" r="O592"/>
      <c s="79" r="P592"/>
      <c s="17" r="Q592"/>
      <c s="17" r="R592"/>
      <c s="7" r="S592"/>
      <c s="7" r="T592"/>
      <c s="7" r="U592"/>
      <c s="7" r="V592"/>
      <c s="30" r="W592"/>
      <c s="30" r="X592"/>
      <c s="30" r="Y592"/>
      <c s="30" r="Z592"/>
      <c s="30" r="AA592"/>
      <c s="30" r="AB592"/>
      <c s="30" r="AC592"/>
      <c s="30" r="AD592"/>
      <c s="30" r="AE592"/>
      <c s="10" r="AF592"/>
      <c s="10" r="AG592"/>
      <c s="10" r="AH592"/>
      <c s="10" r="AI592"/>
      <c s="10" r="AJ592"/>
      <c s="10" r="AK592"/>
      <c s="30" r="AL592"/>
    </row>
    <row r="593">
      <c s="30" r="A593"/>
      <c s="30" r="B593"/>
      <c s="30" r="C593"/>
      <c s="30" r="D593"/>
      <c s="16" r="E593"/>
      <c s="16" r="F593"/>
      <c s="16" r="G593"/>
      <c s="16" r="H593"/>
      <c s="16" r="I593"/>
      <c s="16" r="J593"/>
      <c s="16" r="K593"/>
      <c s="80" r="L593"/>
      <c s="79" r="M593"/>
      <c s="79" r="N593"/>
      <c s="79" r="O593"/>
      <c s="79" r="P593"/>
      <c s="17" r="Q593"/>
      <c s="17" r="R593"/>
      <c s="7" r="S593"/>
      <c s="7" r="T593"/>
      <c s="7" r="U593"/>
      <c s="7" r="V593"/>
      <c s="30" r="W593"/>
      <c s="30" r="X593"/>
      <c s="30" r="Y593"/>
      <c s="30" r="Z593"/>
      <c s="30" r="AA593"/>
      <c s="30" r="AB593"/>
      <c s="30" r="AC593"/>
      <c s="30" r="AD593"/>
      <c s="30" r="AE593"/>
      <c s="10" r="AF593"/>
      <c s="10" r="AG593"/>
      <c s="10" r="AH593"/>
      <c s="10" r="AI593"/>
      <c s="10" r="AJ593"/>
      <c s="10" r="AK593"/>
      <c s="30" r="AL593"/>
    </row>
    <row r="594">
      <c s="30" r="A594"/>
      <c s="30" r="B594"/>
      <c s="30" r="C594"/>
      <c s="30" r="D594"/>
      <c s="16" r="E594"/>
      <c s="16" r="F594"/>
      <c s="16" r="G594"/>
      <c s="16" r="H594"/>
      <c s="16" r="I594"/>
      <c s="16" r="J594"/>
      <c s="16" r="K594"/>
      <c s="80" r="L594"/>
      <c s="79" r="M594"/>
      <c s="79" r="N594"/>
      <c s="79" r="O594"/>
      <c s="79" r="P594"/>
      <c s="17" r="Q594"/>
      <c s="17" r="R594"/>
      <c s="7" r="S594"/>
      <c s="7" r="T594"/>
      <c s="7" r="U594"/>
      <c s="7" r="V594"/>
      <c s="30" r="W594"/>
      <c s="30" r="X594"/>
      <c s="30" r="Y594"/>
      <c s="30" r="Z594"/>
      <c s="30" r="AA594"/>
      <c s="30" r="AB594"/>
      <c s="30" r="AC594"/>
      <c s="30" r="AD594"/>
      <c s="30" r="AE594"/>
      <c s="10" r="AF594"/>
      <c s="10" r="AG594"/>
      <c s="10" r="AH594"/>
      <c s="10" r="AI594"/>
      <c s="10" r="AJ594"/>
      <c s="10" r="AK594"/>
      <c s="30" r="AL594"/>
    </row>
    <row r="595">
      <c s="30" r="A595"/>
      <c s="30" r="B595"/>
      <c s="30" r="C595"/>
      <c s="30" r="D595"/>
      <c s="16" r="E595"/>
      <c s="16" r="F595"/>
      <c s="16" r="G595"/>
      <c s="16" r="H595"/>
      <c s="16" r="I595"/>
      <c s="16" r="J595"/>
      <c s="16" r="K595"/>
      <c s="80" r="L595"/>
      <c s="79" r="M595"/>
      <c s="79" r="N595"/>
      <c s="79" r="O595"/>
      <c s="79" r="P595"/>
      <c s="17" r="Q595"/>
      <c s="17" r="R595"/>
      <c s="7" r="S595"/>
      <c s="7" r="T595"/>
      <c s="7" r="U595"/>
      <c s="7" r="V595"/>
      <c s="30" r="W595"/>
      <c s="30" r="X595"/>
      <c s="30" r="Y595"/>
      <c s="30" r="Z595"/>
      <c s="30" r="AA595"/>
      <c s="30" r="AB595"/>
      <c s="30" r="AC595"/>
      <c s="30" r="AD595"/>
      <c s="30" r="AE595"/>
      <c s="10" r="AF595"/>
      <c s="10" r="AG595"/>
      <c s="10" r="AH595"/>
      <c s="10" r="AI595"/>
      <c s="10" r="AJ595"/>
      <c s="10" r="AK595"/>
      <c s="30" r="AL595"/>
    </row>
    <row r="596">
      <c s="30" r="A596"/>
      <c s="30" r="B596"/>
      <c s="30" r="C596"/>
      <c s="30" r="D596"/>
      <c s="16" r="E596"/>
      <c s="16" r="F596"/>
      <c s="16" r="G596"/>
      <c s="16" r="H596"/>
      <c s="16" r="I596"/>
      <c s="16" r="J596"/>
      <c s="16" r="K596"/>
      <c s="80" r="L596"/>
      <c s="79" r="M596"/>
      <c s="79" r="N596"/>
      <c s="79" r="O596"/>
      <c s="79" r="P596"/>
      <c s="17" r="Q596"/>
      <c s="17" r="R596"/>
      <c s="7" r="S596"/>
      <c s="7" r="T596"/>
      <c s="7" r="U596"/>
      <c s="7" r="V596"/>
      <c s="30" r="W596"/>
      <c s="30" r="X596"/>
      <c s="30" r="Y596"/>
      <c s="30" r="Z596"/>
      <c s="30" r="AA596"/>
      <c s="30" r="AB596"/>
      <c s="30" r="AC596"/>
      <c s="30" r="AD596"/>
      <c s="30" r="AE596"/>
      <c s="10" r="AF596"/>
      <c s="10" r="AG596"/>
      <c s="10" r="AH596"/>
      <c s="10" r="AI596"/>
      <c s="10" r="AJ596"/>
      <c s="10" r="AK596"/>
      <c s="30" r="AL596"/>
    </row>
    <row r="597">
      <c s="30" r="A597"/>
      <c s="30" r="B597"/>
      <c s="30" r="C597"/>
      <c s="30" r="D597"/>
      <c s="16" r="E597"/>
      <c s="16" r="F597"/>
      <c s="16" r="G597"/>
      <c s="16" r="H597"/>
      <c s="16" r="I597"/>
      <c s="16" r="J597"/>
      <c s="16" r="K597"/>
      <c s="80" r="L597"/>
      <c s="79" r="M597"/>
      <c s="79" r="N597"/>
      <c s="79" r="O597"/>
      <c s="79" r="P597"/>
      <c s="17" r="Q597"/>
      <c s="17" r="R597"/>
      <c s="7" r="S597"/>
      <c s="7" r="T597"/>
      <c s="7" r="U597"/>
      <c s="7" r="V597"/>
      <c s="30" r="W597"/>
      <c s="30" r="X597"/>
      <c s="30" r="Y597"/>
      <c s="30" r="Z597"/>
      <c s="30" r="AA597"/>
      <c s="30" r="AB597"/>
      <c s="30" r="AC597"/>
      <c s="30" r="AD597"/>
      <c s="30" r="AE597"/>
      <c s="10" r="AF597"/>
      <c s="10" r="AG597"/>
      <c s="10" r="AH597"/>
      <c s="10" r="AI597"/>
      <c s="10" r="AJ597"/>
      <c s="10" r="AK597"/>
      <c s="30" r="AL597"/>
    </row>
    <row r="598">
      <c s="30" r="A598"/>
      <c s="30" r="B598"/>
      <c s="30" r="C598"/>
      <c s="30" r="D598"/>
      <c s="16" r="E598"/>
      <c s="16" r="F598"/>
      <c s="16" r="G598"/>
      <c s="16" r="H598"/>
      <c s="16" r="I598"/>
      <c s="16" r="J598"/>
      <c s="16" r="K598"/>
      <c s="80" r="L598"/>
      <c s="79" r="M598"/>
      <c s="79" r="N598"/>
      <c s="79" r="O598"/>
      <c s="79" r="P598"/>
      <c s="17" r="Q598"/>
      <c s="17" r="R598"/>
      <c s="7" r="S598"/>
      <c s="7" r="T598"/>
      <c s="7" r="U598"/>
      <c s="7" r="V598"/>
      <c s="30" r="W598"/>
      <c s="30" r="X598"/>
      <c s="30" r="Y598"/>
      <c s="30" r="Z598"/>
      <c s="30" r="AA598"/>
      <c s="30" r="AB598"/>
      <c s="30" r="AC598"/>
      <c s="30" r="AD598"/>
      <c s="30" r="AE598"/>
      <c s="10" r="AF598"/>
      <c s="10" r="AG598"/>
      <c s="10" r="AH598"/>
      <c s="10" r="AI598"/>
      <c s="10" r="AJ598"/>
      <c s="10" r="AK598"/>
      <c s="30" r="AL598"/>
    </row>
    <row r="599">
      <c s="30" r="A599"/>
      <c s="30" r="B599"/>
      <c s="30" r="C599"/>
      <c s="30" r="D599"/>
      <c s="16" r="E599"/>
      <c s="16" r="F599"/>
      <c s="16" r="G599"/>
      <c s="16" r="H599"/>
      <c s="16" r="I599"/>
      <c s="16" r="J599"/>
      <c s="16" r="K599"/>
      <c s="80" r="L599"/>
      <c s="79" r="M599"/>
      <c s="79" r="N599"/>
      <c s="79" r="O599"/>
      <c s="79" r="P599"/>
      <c s="17" r="Q599"/>
      <c s="17" r="R599"/>
      <c s="7" r="S599"/>
      <c s="7" r="T599"/>
      <c s="7" r="U599"/>
      <c s="7" r="V599"/>
      <c s="30" r="W599"/>
      <c s="30" r="X599"/>
      <c s="30" r="Y599"/>
      <c s="30" r="Z599"/>
      <c s="30" r="AA599"/>
      <c s="30" r="AB599"/>
      <c s="30" r="AC599"/>
      <c s="30" r="AD599"/>
      <c s="30" r="AE599"/>
      <c s="10" r="AF599"/>
      <c s="10" r="AG599"/>
      <c s="10" r="AH599"/>
      <c s="10" r="AI599"/>
      <c s="10" r="AJ599"/>
      <c s="10" r="AK599"/>
      <c s="30" r="AL599"/>
    </row>
    <row r="600">
      <c s="30" r="A600"/>
      <c s="30" r="B600"/>
      <c s="30" r="C600"/>
      <c s="30" r="D600"/>
      <c s="16" r="E600"/>
      <c s="16" r="F600"/>
      <c s="16" r="G600"/>
      <c s="16" r="H600"/>
      <c s="16" r="I600"/>
      <c s="16" r="J600"/>
      <c s="16" r="K600"/>
      <c s="80" r="L600"/>
      <c s="79" r="M600"/>
      <c s="79" r="N600"/>
      <c s="79" r="O600"/>
      <c s="79" r="P600"/>
      <c s="17" r="Q600"/>
      <c s="17" r="R600"/>
      <c s="7" r="S600"/>
      <c s="7" r="T600"/>
      <c s="7" r="U600"/>
      <c s="7" r="V600"/>
      <c s="30" r="W600"/>
      <c s="30" r="X600"/>
      <c s="30" r="Y600"/>
      <c s="30" r="Z600"/>
      <c s="30" r="AA600"/>
      <c s="30" r="AB600"/>
      <c s="30" r="AC600"/>
      <c s="30" r="AD600"/>
      <c s="30" r="AE600"/>
      <c s="10" r="AF600"/>
      <c s="10" r="AG600"/>
      <c s="10" r="AH600"/>
      <c s="10" r="AI600"/>
      <c s="10" r="AJ600"/>
      <c s="10" r="AK600"/>
      <c s="30" r="AL600"/>
    </row>
    <row r="601">
      <c s="30" r="A601"/>
      <c s="30" r="B601"/>
      <c s="30" r="C601"/>
      <c s="30" r="D601"/>
      <c s="16" r="E601"/>
      <c s="16" r="F601"/>
      <c s="16" r="G601"/>
      <c s="16" r="H601"/>
      <c s="16" r="I601"/>
      <c s="16" r="J601"/>
      <c s="16" r="K601"/>
      <c s="80" r="L601"/>
      <c s="79" r="M601"/>
      <c s="79" r="N601"/>
      <c s="79" r="O601"/>
      <c s="79" r="P601"/>
      <c s="17" r="Q601"/>
      <c s="17" r="R601"/>
      <c s="7" r="S601"/>
      <c s="7" r="T601"/>
      <c s="7" r="U601"/>
      <c s="7" r="V601"/>
      <c s="30" r="W601"/>
      <c s="30" r="X601"/>
      <c s="30" r="Y601"/>
      <c s="30" r="Z601"/>
      <c s="30" r="AA601"/>
      <c s="30" r="AB601"/>
      <c s="30" r="AC601"/>
      <c s="30" r="AD601"/>
      <c s="30" r="AE601"/>
      <c s="10" r="AF601"/>
      <c s="10" r="AG601"/>
      <c s="10" r="AH601"/>
      <c s="10" r="AI601"/>
      <c s="10" r="AJ601"/>
      <c s="10" r="AK601"/>
      <c s="30" r="AL601"/>
    </row>
    <row r="602">
      <c s="30" r="A602"/>
      <c s="30" r="B602"/>
      <c s="30" r="C602"/>
      <c s="30" r="D602"/>
      <c s="16" r="E602"/>
      <c s="16" r="F602"/>
      <c s="16" r="G602"/>
      <c s="16" r="H602"/>
      <c s="16" r="I602"/>
      <c s="16" r="J602"/>
      <c s="16" r="K602"/>
      <c s="80" r="L602"/>
      <c s="79" r="M602"/>
      <c s="79" r="N602"/>
      <c s="79" r="O602"/>
      <c s="79" r="P602"/>
      <c s="17" r="Q602"/>
      <c s="17" r="R602"/>
      <c s="7" r="S602"/>
      <c s="7" r="T602"/>
      <c s="7" r="U602"/>
      <c s="7" r="V602"/>
      <c s="30" r="W602"/>
      <c s="30" r="X602"/>
      <c s="30" r="Y602"/>
      <c s="30" r="Z602"/>
      <c s="30" r="AA602"/>
      <c s="30" r="AB602"/>
      <c s="30" r="AC602"/>
      <c s="30" r="AD602"/>
      <c s="30" r="AE602"/>
      <c s="10" r="AF602"/>
      <c s="10" r="AG602"/>
      <c s="10" r="AH602"/>
      <c s="10" r="AI602"/>
      <c s="10" r="AJ602"/>
      <c s="10" r="AK602"/>
      <c s="30" r="AL602"/>
    </row>
    <row r="603">
      <c s="30" r="A603"/>
      <c s="30" r="B603"/>
      <c s="30" r="C603"/>
      <c s="30" r="D603"/>
      <c s="16" r="E603"/>
      <c s="16" r="F603"/>
      <c s="16" r="G603"/>
      <c s="16" r="H603"/>
      <c s="16" r="I603"/>
      <c s="16" r="J603"/>
      <c s="16" r="K603"/>
      <c s="80" r="L603"/>
      <c s="79" r="M603"/>
      <c s="79" r="N603"/>
      <c s="79" r="O603"/>
      <c s="79" r="P603"/>
      <c s="17" r="Q603"/>
      <c s="17" r="R603"/>
      <c s="7" r="S603"/>
      <c s="7" r="T603"/>
      <c s="7" r="U603"/>
      <c s="7" r="V603"/>
      <c s="30" r="W603"/>
      <c s="30" r="X603"/>
      <c s="30" r="Y603"/>
      <c s="30" r="Z603"/>
      <c s="30" r="AA603"/>
      <c s="30" r="AB603"/>
      <c s="30" r="AC603"/>
      <c s="30" r="AD603"/>
      <c s="30" r="AE603"/>
      <c s="10" r="AF603"/>
      <c s="10" r="AG603"/>
      <c s="10" r="AH603"/>
      <c s="10" r="AI603"/>
      <c s="10" r="AJ603"/>
      <c s="10" r="AK603"/>
      <c s="30" r="AL603"/>
    </row>
    <row r="604">
      <c s="30" r="A604"/>
      <c s="30" r="B604"/>
      <c s="30" r="C604"/>
      <c s="30" r="D604"/>
      <c s="16" r="E604"/>
      <c s="16" r="F604"/>
      <c s="16" r="G604"/>
      <c s="16" r="H604"/>
      <c s="16" r="I604"/>
      <c s="16" r="J604"/>
      <c s="16" r="K604"/>
      <c s="80" r="L604"/>
      <c s="79" r="M604"/>
      <c s="79" r="N604"/>
      <c s="79" r="O604"/>
      <c s="79" r="P604"/>
      <c s="17" r="Q604"/>
      <c s="17" r="R604"/>
      <c s="7" r="S604"/>
      <c s="7" r="T604"/>
      <c s="7" r="U604"/>
      <c s="7" r="V604"/>
      <c s="30" r="W604"/>
      <c s="30" r="X604"/>
      <c s="30" r="Y604"/>
      <c s="30" r="Z604"/>
      <c s="30" r="AA604"/>
      <c s="30" r="AB604"/>
      <c s="30" r="AC604"/>
      <c s="30" r="AD604"/>
      <c s="30" r="AE604"/>
      <c s="10" r="AF604"/>
      <c s="10" r="AG604"/>
      <c s="10" r="AH604"/>
      <c s="10" r="AI604"/>
      <c s="10" r="AJ604"/>
      <c s="10" r="AK604"/>
      <c s="30" r="AL604"/>
    </row>
    <row r="605">
      <c s="30" r="A605"/>
      <c s="30" r="B605"/>
      <c s="30" r="C605"/>
      <c s="30" r="D605"/>
      <c s="16" r="E605"/>
      <c s="16" r="F605"/>
      <c s="16" r="G605"/>
      <c s="16" r="H605"/>
      <c s="16" r="I605"/>
      <c s="16" r="J605"/>
      <c s="16" r="K605"/>
      <c s="80" r="L605"/>
      <c s="79" r="M605"/>
      <c s="79" r="N605"/>
      <c s="79" r="O605"/>
      <c s="79" r="P605"/>
      <c s="17" r="Q605"/>
      <c s="17" r="R605"/>
      <c s="7" r="S605"/>
      <c s="7" r="T605"/>
      <c s="7" r="U605"/>
      <c s="7" r="V605"/>
      <c s="30" r="W605"/>
      <c s="30" r="X605"/>
      <c s="30" r="Y605"/>
      <c s="30" r="Z605"/>
      <c s="30" r="AA605"/>
      <c s="30" r="AB605"/>
      <c s="30" r="AC605"/>
      <c s="30" r="AD605"/>
      <c s="30" r="AE605"/>
      <c s="10" r="AF605"/>
      <c s="10" r="AG605"/>
      <c s="10" r="AH605"/>
      <c s="10" r="AI605"/>
      <c s="10" r="AJ605"/>
      <c s="10" r="AK605"/>
      <c s="30" r="AL605"/>
    </row>
    <row r="606">
      <c s="30" r="A606"/>
      <c s="30" r="B606"/>
      <c s="30" r="C606"/>
      <c s="30" r="D606"/>
      <c s="16" r="E606"/>
      <c s="16" r="F606"/>
      <c s="16" r="G606"/>
      <c s="16" r="H606"/>
      <c s="16" r="I606"/>
      <c s="16" r="J606"/>
      <c s="16" r="K606"/>
      <c s="80" r="L606"/>
      <c s="79" r="M606"/>
      <c s="79" r="N606"/>
      <c s="79" r="O606"/>
      <c s="79" r="P606"/>
      <c s="17" r="Q606"/>
      <c s="17" r="R606"/>
      <c s="7" r="S606"/>
      <c s="7" r="T606"/>
      <c s="7" r="U606"/>
      <c s="7" r="V606"/>
      <c s="30" r="W606"/>
      <c s="30" r="X606"/>
      <c s="30" r="Y606"/>
      <c s="30" r="Z606"/>
      <c s="30" r="AA606"/>
      <c s="30" r="AB606"/>
      <c s="30" r="AC606"/>
      <c s="30" r="AD606"/>
      <c s="30" r="AE606"/>
      <c s="10" r="AF606"/>
      <c s="10" r="AG606"/>
      <c s="10" r="AH606"/>
      <c s="10" r="AI606"/>
      <c s="10" r="AJ606"/>
      <c s="10" r="AK606"/>
      <c s="30" r="AL606"/>
    </row>
    <row r="607">
      <c s="30" r="A607"/>
      <c s="30" r="B607"/>
      <c s="30" r="C607"/>
      <c s="30" r="D607"/>
      <c s="16" r="E607"/>
      <c s="16" r="F607"/>
      <c s="16" r="G607"/>
      <c s="16" r="H607"/>
      <c s="16" r="I607"/>
      <c s="16" r="J607"/>
      <c s="16" r="K607"/>
      <c s="80" r="L607"/>
      <c s="79" r="M607"/>
      <c s="79" r="N607"/>
      <c s="79" r="O607"/>
      <c s="79" r="P607"/>
      <c s="17" r="Q607"/>
      <c s="17" r="R607"/>
      <c s="7" r="S607"/>
      <c s="7" r="T607"/>
      <c s="7" r="U607"/>
      <c s="7" r="V607"/>
      <c s="30" r="W607"/>
      <c s="30" r="X607"/>
      <c s="30" r="Y607"/>
      <c s="30" r="Z607"/>
      <c s="30" r="AA607"/>
      <c s="30" r="AB607"/>
      <c s="30" r="AC607"/>
      <c s="30" r="AD607"/>
      <c s="30" r="AE607"/>
      <c s="10" r="AF607"/>
      <c s="10" r="AG607"/>
      <c s="10" r="AH607"/>
      <c s="10" r="AI607"/>
      <c s="10" r="AJ607"/>
      <c s="10" r="AK607"/>
      <c s="30" r="AL607"/>
    </row>
    <row r="608">
      <c s="30" r="A608"/>
      <c s="30" r="B608"/>
      <c s="30" r="C608"/>
      <c s="30" r="D608"/>
      <c s="16" r="E608"/>
      <c s="16" r="F608"/>
      <c s="16" r="G608"/>
      <c s="16" r="H608"/>
      <c s="16" r="I608"/>
      <c s="16" r="J608"/>
      <c s="16" r="K608"/>
      <c s="80" r="L608"/>
      <c s="79" r="M608"/>
      <c s="79" r="N608"/>
      <c s="79" r="O608"/>
      <c s="79" r="P608"/>
      <c s="17" r="Q608"/>
      <c s="17" r="R608"/>
      <c s="7" r="S608"/>
      <c s="7" r="T608"/>
      <c s="7" r="U608"/>
      <c s="7" r="V608"/>
      <c s="30" r="W608"/>
      <c s="30" r="X608"/>
      <c s="30" r="Y608"/>
      <c s="30" r="Z608"/>
      <c s="30" r="AA608"/>
      <c s="30" r="AB608"/>
      <c s="30" r="AC608"/>
      <c s="30" r="AD608"/>
      <c s="30" r="AE608"/>
      <c s="10" r="AF608"/>
      <c s="10" r="AG608"/>
      <c s="10" r="AH608"/>
      <c s="10" r="AI608"/>
      <c s="10" r="AJ608"/>
      <c s="10" r="AK608"/>
      <c s="30" r="AL608"/>
    </row>
    <row r="609">
      <c s="30" r="A609"/>
      <c s="30" r="B609"/>
      <c s="30" r="C609"/>
      <c s="30" r="D609"/>
      <c s="16" r="E609"/>
      <c s="16" r="F609"/>
      <c s="16" r="G609"/>
      <c s="16" r="H609"/>
      <c s="16" r="I609"/>
      <c s="16" r="J609"/>
      <c s="16" r="K609"/>
      <c s="80" r="L609"/>
      <c s="79" r="M609"/>
      <c s="79" r="N609"/>
      <c s="79" r="O609"/>
      <c s="79" r="P609"/>
      <c s="17" r="Q609"/>
      <c s="17" r="R609"/>
      <c s="7" r="S609"/>
      <c s="7" r="T609"/>
      <c s="7" r="U609"/>
      <c s="7" r="V609"/>
      <c s="30" r="W609"/>
      <c s="30" r="X609"/>
      <c s="30" r="Y609"/>
      <c s="30" r="Z609"/>
      <c s="30" r="AA609"/>
      <c s="30" r="AB609"/>
      <c s="30" r="AC609"/>
      <c s="30" r="AD609"/>
      <c s="30" r="AE609"/>
      <c s="10" r="AF609"/>
      <c s="10" r="AG609"/>
      <c s="10" r="AH609"/>
      <c s="10" r="AI609"/>
      <c s="10" r="AJ609"/>
      <c s="10" r="AK609"/>
      <c s="30" r="AL609"/>
    </row>
    <row r="610">
      <c s="30" r="A610"/>
      <c s="30" r="B610"/>
      <c s="30" r="C610"/>
      <c s="30" r="D610"/>
      <c s="16" r="E610"/>
      <c s="16" r="F610"/>
      <c s="16" r="G610"/>
      <c s="16" r="H610"/>
      <c s="16" r="I610"/>
      <c s="16" r="J610"/>
      <c s="16" r="K610"/>
      <c s="80" r="L610"/>
      <c s="79" r="M610"/>
      <c s="79" r="N610"/>
      <c s="79" r="O610"/>
      <c s="79" r="P610"/>
      <c s="17" r="Q610"/>
      <c s="17" r="R610"/>
      <c s="7" r="S610"/>
      <c s="7" r="T610"/>
      <c s="7" r="U610"/>
      <c s="7" r="V610"/>
      <c s="30" r="W610"/>
      <c s="30" r="X610"/>
      <c s="30" r="Y610"/>
      <c s="30" r="Z610"/>
      <c s="30" r="AA610"/>
      <c s="30" r="AB610"/>
      <c s="30" r="AC610"/>
      <c s="30" r="AD610"/>
      <c s="30" r="AE610"/>
      <c s="10" r="AF610"/>
      <c s="10" r="AG610"/>
      <c s="10" r="AH610"/>
      <c s="10" r="AI610"/>
      <c s="10" r="AJ610"/>
      <c s="10" r="AK610"/>
      <c s="30" r="AL610"/>
    </row>
    <row r="611">
      <c s="30" r="A611"/>
      <c s="30" r="B611"/>
      <c s="30" r="C611"/>
      <c s="30" r="D611"/>
      <c s="16" r="E611"/>
      <c s="16" r="F611"/>
      <c s="16" r="G611"/>
      <c s="16" r="H611"/>
      <c s="16" r="I611"/>
      <c s="16" r="J611"/>
      <c s="16" r="K611"/>
      <c s="80" r="L611"/>
      <c s="79" r="M611"/>
      <c s="79" r="N611"/>
      <c s="79" r="O611"/>
      <c s="79" r="P611"/>
      <c s="17" r="Q611"/>
      <c s="17" r="R611"/>
      <c s="7" r="S611"/>
      <c s="7" r="T611"/>
      <c s="7" r="U611"/>
      <c s="7" r="V611"/>
      <c s="30" r="W611"/>
      <c s="30" r="X611"/>
      <c s="30" r="Y611"/>
      <c s="30" r="Z611"/>
      <c s="30" r="AA611"/>
      <c s="30" r="AB611"/>
      <c s="30" r="AC611"/>
      <c s="30" r="AD611"/>
      <c s="30" r="AE611"/>
      <c s="10" r="AF611"/>
      <c s="10" r="AG611"/>
      <c s="10" r="AH611"/>
      <c s="10" r="AI611"/>
      <c s="10" r="AJ611"/>
      <c s="10" r="AK611"/>
      <c s="30" r="AL611"/>
    </row>
    <row r="612">
      <c s="30" r="A612"/>
      <c s="30" r="B612"/>
      <c s="30" r="C612"/>
      <c s="30" r="D612"/>
      <c s="16" r="E612"/>
      <c s="16" r="F612"/>
      <c s="16" r="G612"/>
      <c s="16" r="H612"/>
      <c s="16" r="I612"/>
      <c s="16" r="J612"/>
      <c s="16" r="K612"/>
      <c s="80" r="L612"/>
      <c s="79" r="M612"/>
      <c s="79" r="N612"/>
      <c s="79" r="O612"/>
      <c s="79" r="P612"/>
      <c s="17" r="Q612"/>
      <c s="17" r="R612"/>
      <c s="7" r="S612"/>
      <c s="7" r="T612"/>
      <c s="7" r="U612"/>
      <c s="7" r="V612"/>
      <c s="30" r="W612"/>
      <c s="30" r="X612"/>
      <c s="30" r="Y612"/>
      <c s="30" r="Z612"/>
      <c s="30" r="AA612"/>
      <c s="30" r="AB612"/>
      <c s="30" r="AC612"/>
      <c s="30" r="AD612"/>
      <c s="30" r="AE612"/>
      <c s="10" r="AF612"/>
      <c s="10" r="AG612"/>
      <c s="10" r="AH612"/>
      <c s="10" r="AI612"/>
      <c s="10" r="AJ612"/>
      <c s="10" r="AK612"/>
      <c s="30" r="AL612"/>
    </row>
    <row r="613">
      <c s="30" r="A613"/>
      <c s="30" r="B613"/>
      <c s="30" r="C613"/>
      <c s="30" r="D613"/>
      <c s="16" r="E613"/>
      <c s="16" r="F613"/>
      <c s="16" r="G613"/>
      <c s="16" r="H613"/>
      <c s="16" r="I613"/>
      <c s="16" r="J613"/>
      <c s="16" r="K613"/>
      <c s="80" r="L613"/>
      <c s="79" r="M613"/>
      <c s="79" r="N613"/>
      <c s="79" r="O613"/>
      <c s="79" r="P613"/>
      <c s="17" r="Q613"/>
      <c s="17" r="R613"/>
      <c s="7" r="S613"/>
      <c s="7" r="T613"/>
      <c s="7" r="U613"/>
      <c s="7" r="V613"/>
      <c s="30" r="W613"/>
      <c s="30" r="X613"/>
      <c s="30" r="Y613"/>
      <c s="30" r="Z613"/>
      <c s="30" r="AA613"/>
      <c s="30" r="AB613"/>
      <c s="30" r="AC613"/>
      <c s="30" r="AD613"/>
      <c s="30" r="AE613"/>
      <c s="10" r="AF613"/>
      <c s="10" r="AG613"/>
      <c s="10" r="AH613"/>
      <c s="10" r="AI613"/>
      <c s="10" r="AJ613"/>
      <c s="10" r="AK613"/>
      <c s="30" r="AL613"/>
    </row>
    <row r="614">
      <c s="30" r="A614"/>
      <c s="30" r="B614"/>
      <c s="30" r="C614"/>
      <c s="30" r="D614"/>
      <c s="16" r="E614"/>
      <c s="16" r="F614"/>
      <c s="16" r="G614"/>
      <c s="16" r="H614"/>
      <c s="16" r="I614"/>
      <c s="16" r="J614"/>
      <c s="16" r="K614"/>
      <c s="80" r="L614"/>
      <c s="79" r="M614"/>
      <c s="79" r="N614"/>
      <c s="79" r="O614"/>
      <c s="79" r="P614"/>
      <c s="17" r="Q614"/>
      <c s="17" r="R614"/>
      <c s="7" r="S614"/>
      <c s="7" r="T614"/>
      <c s="7" r="U614"/>
      <c s="7" r="V614"/>
      <c s="30" r="W614"/>
      <c s="30" r="X614"/>
      <c s="30" r="Y614"/>
      <c s="30" r="Z614"/>
      <c s="30" r="AA614"/>
      <c s="30" r="AB614"/>
      <c s="30" r="AC614"/>
      <c s="30" r="AD614"/>
      <c s="30" r="AE614"/>
      <c s="10" r="AF614"/>
      <c s="10" r="AG614"/>
      <c s="10" r="AH614"/>
      <c s="10" r="AI614"/>
      <c s="10" r="AJ614"/>
      <c s="10" r="AK614"/>
      <c s="30" r="AL614"/>
    </row>
    <row r="615">
      <c s="30" r="A615"/>
      <c s="30" r="B615"/>
      <c s="30" r="C615"/>
      <c s="30" r="D615"/>
      <c s="16" r="E615"/>
      <c s="16" r="F615"/>
      <c s="16" r="G615"/>
      <c s="16" r="H615"/>
      <c s="16" r="I615"/>
      <c s="16" r="J615"/>
      <c s="16" r="K615"/>
      <c s="80" r="L615"/>
      <c s="79" r="M615"/>
      <c s="79" r="N615"/>
      <c s="79" r="O615"/>
      <c s="79" r="P615"/>
      <c s="17" r="Q615"/>
      <c s="17" r="R615"/>
      <c s="7" r="S615"/>
      <c s="7" r="T615"/>
      <c s="7" r="U615"/>
      <c s="7" r="V615"/>
      <c s="30" r="W615"/>
      <c s="30" r="X615"/>
      <c s="30" r="Y615"/>
      <c s="30" r="Z615"/>
      <c s="30" r="AA615"/>
      <c s="30" r="AB615"/>
      <c s="30" r="AC615"/>
      <c s="30" r="AD615"/>
      <c s="30" r="AE615"/>
      <c s="10" r="AF615"/>
      <c s="10" r="AG615"/>
      <c s="10" r="AH615"/>
      <c s="10" r="AI615"/>
      <c s="10" r="AJ615"/>
      <c s="10" r="AK615"/>
      <c s="30" r="AL615"/>
    </row>
    <row r="616">
      <c s="30" r="A616"/>
      <c s="30" r="B616"/>
      <c s="30" r="C616"/>
      <c s="30" r="D616"/>
      <c s="16" r="E616"/>
      <c s="16" r="F616"/>
      <c s="16" r="G616"/>
      <c s="16" r="H616"/>
      <c s="16" r="I616"/>
      <c s="16" r="J616"/>
      <c s="16" r="K616"/>
      <c s="80" r="L616"/>
      <c s="79" r="M616"/>
      <c s="79" r="N616"/>
      <c s="79" r="O616"/>
      <c s="79" r="P616"/>
      <c s="17" r="Q616"/>
      <c s="17" r="R616"/>
      <c s="7" r="S616"/>
      <c s="7" r="T616"/>
      <c s="7" r="U616"/>
      <c s="7" r="V616"/>
      <c s="30" r="W616"/>
      <c s="30" r="X616"/>
      <c s="30" r="Y616"/>
      <c s="30" r="Z616"/>
      <c s="30" r="AA616"/>
      <c s="30" r="AB616"/>
      <c s="30" r="AC616"/>
      <c s="30" r="AD616"/>
      <c s="30" r="AE616"/>
      <c s="10" r="AF616"/>
      <c s="10" r="AG616"/>
      <c s="10" r="AH616"/>
      <c s="10" r="AI616"/>
      <c s="10" r="AJ616"/>
      <c s="10" r="AK616"/>
      <c s="30" r="AL616"/>
    </row>
    <row r="617">
      <c s="30" r="A617"/>
      <c s="30" r="B617"/>
      <c s="30" r="C617"/>
      <c s="30" r="D617"/>
      <c s="16" r="E617"/>
      <c s="16" r="F617"/>
      <c s="16" r="G617"/>
      <c s="16" r="H617"/>
      <c s="16" r="I617"/>
      <c s="16" r="J617"/>
      <c s="16" r="K617"/>
      <c s="80" r="L617"/>
      <c s="79" r="M617"/>
      <c s="79" r="N617"/>
      <c s="79" r="O617"/>
      <c s="79" r="P617"/>
      <c s="17" r="Q617"/>
      <c s="17" r="R617"/>
      <c s="7" r="S617"/>
      <c s="7" r="T617"/>
      <c s="7" r="U617"/>
      <c s="7" r="V617"/>
      <c s="30" r="W617"/>
      <c s="30" r="X617"/>
      <c s="30" r="Y617"/>
      <c s="30" r="Z617"/>
      <c s="30" r="AA617"/>
      <c s="30" r="AB617"/>
      <c s="30" r="AC617"/>
      <c s="30" r="AD617"/>
      <c s="30" r="AE617"/>
      <c s="10" r="AF617"/>
      <c s="10" r="AG617"/>
      <c s="10" r="AH617"/>
      <c s="10" r="AI617"/>
      <c s="10" r="AJ617"/>
      <c s="10" r="AK617"/>
      <c s="30" r="AL617"/>
    </row>
    <row r="618">
      <c s="30" r="A618"/>
      <c s="30" r="B618"/>
      <c s="30" r="C618"/>
      <c s="30" r="D618"/>
      <c s="16" r="E618"/>
      <c s="16" r="F618"/>
      <c s="16" r="G618"/>
      <c s="16" r="H618"/>
      <c s="16" r="I618"/>
      <c s="16" r="J618"/>
      <c s="16" r="K618"/>
      <c s="80" r="L618"/>
      <c s="79" r="M618"/>
      <c s="79" r="N618"/>
      <c s="79" r="O618"/>
      <c s="79" r="P618"/>
      <c s="17" r="Q618"/>
      <c s="17" r="R618"/>
      <c s="7" r="S618"/>
      <c s="7" r="T618"/>
      <c s="7" r="U618"/>
      <c s="7" r="V618"/>
      <c s="30" r="W618"/>
      <c s="30" r="X618"/>
      <c s="30" r="Y618"/>
      <c s="30" r="Z618"/>
      <c s="30" r="AA618"/>
      <c s="30" r="AB618"/>
      <c s="30" r="AC618"/>
      <c s="30" r="AD618"/>
      <c s="30" r="AE618"/>
      <c s="10" r="AF618"/>
      <c s="10" r="AG618"/>
      <c s="10" r="AH618"/>
      <c s="10" r="AI618"/>
      <c s="10" r="AJ618"/>
      <c s="10" r="AK618"/>
      <c s="30" r="AL618"/>
    </row>
    <row r="619">
      <c s="30" r="A619"/>
      <c s="30" r="B619"/>
      <c s="30" r="C619"/>
      <c s="30" r="D619"/>
      <c s="16" r="E619"/>
      <c s="16" r="F619"/>
      <c s="16" r="G619"/>
      <c s="16" r="H619"/>
      <c s="16" r="I619"/>
      <c s="16" r="J619"/>
      <c s="16" r="K619"/>
      <c s="80" r="L619"/>
      <c s="79" r="M619"/>
      <c s="79" r="N619"/>
      <c s="79" r="O619"/>
      <c s="79" r="P619"/>
      <c s="17" r="Q619"/>
      <c s="17" r="R619"/>
      <c s="7" r="S619"/>
      <c s="7" r="T619"/>
      <c s="7" r="U619"/>
      <c s="7" r="V619"/>
      <c s="30" r="W619"/>
      <c s="30" r="X619"/>
      <c s="30" r="Y619"/>
      <c s="30" r="Z619"/>
      <c s="30" r="AA619"/>
      <c s="30" r="AB619"/>
      <c s="30" r="AC619"/>
      <c s="30" r="AD619"/>
      <c s="30" r="AE619"/>
      <c s="10" r="AF619"/>
      <c s="10" r="AG619"/>
      <c s="10" r="AH619"/>
      <c s="10" r="AI619"/>
      <c s="10" r="AJ619"/>
      <c s="10" r="AK619"/>
      <c s="30" r="AL619"/>
    </row>
    <row r="620">
      <c s="30" r="A620"/>
      <c s="30" r="B620"/>
      <c s="30" r="C620"/>
      <c s="30" r="D620"/>
      <c s="16" r="E620"/>
      <c s="16" r="F620"/>
      <c s="16" r="G620"/>
      <c s="16" r="H620"/>
      <c s="16" r="I620"/>
      <c s="16" r="J620"/>
      <c s="16" r="K620"/>
      <c s="80" r="L620"/>
      <c s="79" r="M620"/>
      <c s="79" r="N620"/>
      <c s="79" r="O620"/>
      <c s="79" r="P620"/>
      <c s="17" r="Q620"/>
      <c s="17" r="R620"/>
      <c s="7" r="S620"/>
      <c s="7" r="T620"/>
      <c s="7" r="U620"/>
      <c s="7" r="V620"/>
      <c s="30" r="W620"/>
      <c s="30" r="X620"/>
      <c s="30" r="Y620"/>
      <c s="30" r="Z620"/>
      <c s="30" r="AA620"/>
      <c s="30" r="AB620"/>
      <c s="30" r="AC620"/>
      <c s="30" r="AD620"/>
      <c s="30" r="AE620"/>
      <c s="10" r="AF620"/>
      <c s="10" r="AG620"/>
      <c s="10" r="AH620"/>
      <c s="10" r="AI620"/>
      <c s="10" r="AJ620"/>
      <c s="10" r="AK620"/>
      <c s="30" r="AL620"/>
    </row>
    <row r="621">
      <c s="30" r="A621"/>
      <c s="30" r="B621"/>
      <c s="30" r="C621"/>
      <c s="30" r="D621"/>
      <c s="16" r="E621"/>
      <c s="16" r="F621"/>
      <c s="16" r="G621"/>
      <c s="16" r="H621"/>
      <c s="16" r="I621"/>
      <c s="16" r="J621"/>
      <c s="16" r="K621"/>
      <c s="80" r="L621"/>
      <c s="79" r="M621"/>
      <c s="79" r="N621"/>
      <c s="79" r="O621"/>
      <c s="79" r="P621"/>
      <c s="17" r="Q621"/>
      <c s="17" r="R621"/>
      <c s="7" r="S621"/>
      <c s="7" r="T621"/>
      <c s="7" r="U621"/>
      <c s="7" r="V621"/>
      <c s="30" r="W621"/>
      <c s="30" r="X621"/>
      <c s="30" r="Y621"/>
      <c s="30" r="Z621"/>
      <c s="30" r="AA621"/>
      <c s="30" r="AB621"/>
      <c s="30" r="AC621"/>
      <c s="30" r="AD621"/>
      <c s="30" r="AE621"/>
      <c s="10" r="AF621"/>
      <c s="10" r="AG621"/>
      <c s="10" r="AH621"/>
      <c s="10" r="AI621"/>
      <c s="10" r="AJ621"/>
      <c s="10" r="AK621"/>
      <c s="30" r="AL621"/>
    </row>
    <row r="622">
      <c s="30" r="A622"/>
      <c s="30" r="B622"/>
      <c s="30" r="C622"/>
      <c s="30" r="D622"/>
      <c s="16" r="E622"/>
      <c s="16" r="F622"/>
      <c s="16" r="G622"/>
      <c s="16" r="H622"/>
      <c s="16" r="I622"/>
      <c s="16" r="J622"/>
      <c s="16" r="K622"/>
      <c s="80" r="L622"/>
      <c s="79" r="M622"/>
      <c s="79" r="N622"/>
      <c s="79" r="O622"/>
      <c s="79" r="P622"/>
      <c s="17" r="Q622"/>
      <c s="17" r="R622"/>
      <c s="7" r="S622"/>
      <c s="7" r="T622"/>
      <c s="7" r="U622"/>
      <c s="7" r="V622"/>
      <c s="30" r="W622"/>
      <c s="30" r="X622"/>
      <c s="30" r="Y622"/>
      <c s="30" r="Z622"/>
      <c s="30" r="AA622"/>
      <c s="30" r="AB622"/>
      <c s="30" r="AC622"/>
      <c s="30" r="AD622"/>
      <c s="30" r="AE622"/>
      <c s="10" r="AF622"/>
      <c s="10" r="AG622"/>
      <c s="10" r="AH622"/>
      <c s="10" r="AI622"/>
      <c s="10" r="AJ622"/>
      <c s="10" r="AK622"/>
      <c s="30" r="AL622"/>
    </row>
    <row r="623">
      <c s="30" r="A623"/>
      <c s="30" r="B623"/>
      <c s="30" r="C623"/>
      <c s="30" r="D623"/>
      <c s="16" r="E623"/>
      <c s="16" r="F623"/>
      <c s="16" r="G623"/>
      <c s="16" r="H623"/>
      <c s="16" r="I623"/>
      <c s="16" r="J623"/>
      <c s="16" r="K623"/>
      <c s="80" r="L623"/>
      <c s="79" r="M623"/>
      <c s="79" r="N623"/>
      <c s="79" r="O623"/>
      <c s="79" r="P623"/>
      <c s="17" r="Q623"/>
      <c s="17" r="R623"/>
      <c s="7" r="S623"/>
      <c s="7" r="T623"/>
      <c s="7" r="U623"/>
      <c s="7" r="V623"/>
      <c s="30" r="W623"/>
      <c s="30" r="X623"/>
      <c s="30" r="Y623"/>
      <c s="30" r="Z623"/>
      <c s="30" r="AA623"/>
      <c s="30" r="AB623"/>
      <c s="30" r="AC623"/>
      <c s="30" r="AD623"/>
      <c s="30" r="AE623"/>
      <c s="10" r="AF623"/>
      <c s="10" r="AG623"/>
      <c s="10" r="AH623"/>
      <c s="10" r="AI623"/>
      <c s="10" r="AJ623"/>
      <c s="10" r="AK623"/>
      <c s="30" r="AL623"/>
    </row>
    <row r="624">
      <c s="30" r="A624"/>
      <c s="30" r="B624"/>
      <c s="30" r="C624"/>
      <c s="30" r="D624"/>
      <c s="16" r="E624"/>
      <c s="16" r="F624"/>
      <c s="16" r="G624"/>
      <c s="16" r="H624"/>
      <c s="16" r="I624"/>
      <c s="16" r="J624"/>
      <c s="16" r="K624"/>
      <c s="80" r="L624"/>
      <c s="79" r="M624"/>
      <c s="79" r="N624"/>
      <c s="79" r="O624"/>
      <c s="79" r="P624"/>
      <c s="17" r="Q624"/>
      <c s="17" r="R624"/>
      <c s="7" r="S624"/>
      <c s="7" r="T624"/>
      <c s="7" r="U624"/>
      <c s="7" r="V624"/>
      <c s="30" r="W624"/>
      <c s="30" r="X624"/>
      <c s="30" r="Y624"/>
      <c s="30" r="Z624"/>
      <c s="30" r="AA624"/>
      <c s="30" r="AB624"/>
      <c s="30" r="AC624"/>
      <c s="30" r="AD624"/>
      <c s="30" r="AE624"/>
      <c s="10" r="AF624"/>
      <c s="10" r="AG624"/>
      <c s="10" r="AH624"/>
      <c s="10" r="AI624"/>
      <c s="10" r="AJ624"/>
      <c s="10" r="AK624"/>
      <c s="30" r="AL624"/>
    </row>
    <row r="625">
      <c s="30" r="A625"/>
      <c s="30" r="B625"/>
      <c s="30" r="C625"/>
      <c s="30" r="D625"/>
      <c s="16" r="E625"/>
      <c s="16" r="F625"/>
      <c s="16" r="G625"/>
      <c s="16" r="H625"/>
      <c s="16" r="I625"/>
      <c s="16" r="J625"/>
      <c s="16" r="K625"/>
      <c s="80" r="L625"/>
      <c s="79" r="M625"/>
      <c s="79" r="N625"/>
      <c s="79" r="O625"/>
      <c s="79" r="P625"/>
      <c s="17" r="Q625"/>
      <c s="17" r="R625"/>
      <c s="7" r="S625"/>
      <c s="7" r="T625"/>
      <c s="7" r="U625"/>
      <c s="7" r="V625"/>
      <c s="30" r="W625"/>
      <c s="30" r="X625"/>
      <c s="30" r="Y625"/>
      <c s="30" r="Z625"/>
      <c s="30" r="AA625"/>
      <c s="30" r="AB625"/>
      <c s="30" r="AC625"/>
      <c s="30" r="AD625"/>
      <c s="30" r="AE625"/>
      <c s="10" r="AF625"/>
      <c s="10" r="AG625"/>
      <c s="10" r="AH625"/>
      <c s="10" r="AI625"/>
      <c s="10" r="AJ625"/>
      <c s="10" r="AK625"/>
      <c s="30" r="AL625"/>
    </row>
    <row r="626">
      <c s="30" r="A626"/>
      <c s="30" r="B626"/>
      <c s="30" r="C626"/>
      <c s="30" r="D626"/>
      <c s="16" r="E626"/>
      <c s="16" r="F626"/>
      <c s="16" r="G626"/>
      <c s="16" r="H626"/>
      <c s="16" r="I626"/>
      <c s="16" r="J626"/>
      <c s="16" r="K626"/>
      <c s="80" r="L626"/>
      <c s="79" r="M626"/>
      <c s="79" r="N626"/>
      <c s="79" r="O626"/>
      <c s="79" r="P626"/>
      <c s="17" r="Q626"/>
      <c s="17" r="R626"/>
      <c s="7" r="S626"/>
      <c s="7" r="T626"/>
      <c s="7" r="U626"/>
      <c s="7" r="V626"/>
      <c s="30" r="W626"/>
      <c s="30" r="X626"/>
      <c s="30" r="Y626"/>
      <c s="30" r="Z626"/>
      <c s="30" r="AA626"/>
      <c s="30" r="AB626"/>
      <c s="30" r="AC626"/>
      <c s="30" r="AD626"/>
      <c s="30" r="AE626"/>
      <c s="10" r="AF626"/>
      <c s="10" r="AG626"/>
      <c s="10" r="AH626"/>
      <c s="10" r="AI626"/>
      <c s="10" r="AJ626"/>
      <c s="10" r="AK626"/>
      <c s="30" r="AL626"/>
    </row>
    <row r="627">
      <c s="30" r="A627"/>
      <c s="30" r="B627"/>
      <c s="30" r="C627"/>
      <c s="30" r="D627"/>
      <c s="16" r="E627"/>
      <c s="16" r="F627"/>
      <c s="16" r="G627"/>
      <c s="16" r="H627"/>
      <c s="16" r="I627"/>
      <c s="16" r="J627"/>
      <c s="16" r="K627"/>
      <c s="80" r="L627"/>
      <c s="79" r="M627"/>
      <c s="79" r="N627"/>
      <c s="79" r="O627"/>
      <c s="79" r="P627"/>
      <c s="17" r="Q627"/>
      <c s="17" r="R627"/>
      <c s="7" r="S627"/>
      <c s="7" r="T627"/>
      <c s="7" r="U627"/>
      <c s="7" r="V627"/>
      <c s="30" r="W627"/>
      <c s="30" r="X627"/>
      <c s="30" r="Y627"/>
      <c s="30" r="Z627"/>
      <c s="30" r="AA627"/>
      <c s="30" r="AB627"/>
      <c s="30" r="AC627"/>
      <c s="30" r="AD627"/>
      <c s="30" r="AE627"/>
      <c s="10" r="AF627"/>
      <c s="10" r="AG627"/>
      <c s="10" r="AH627"/>
      <c s="10" r="AI627"/>
      <c s="10" r="AJ627"/>
      <c s="10" r="AK627"/>
      <c s="30" r="AL627"/>
    </row>
    <row r="628">
      <c s="30" r="A628"/>
      <c s="30" r="B628"/>
      <c s="30" r="C628"/>
      <c s="30" r="D628"/>
      <c s="16" r="E628"/>
      <c s="16" r="F628"/>
      <c s="16" r="G628"/>
      <c s="16" r="H628"/>
      <c s="16" r="I628"/>
      <c s="16" r="J628"/>
      <c s="16" r="K628"/>
      <c s="80" r="L628"/>
      <c s="79" r="M628"/>
      <c s="79" r="N628"/>
      <c s="79" r="O628"/>
      <c s="79" r="P628"/>
      <c s="17" r="Q628"/>
      <c s="17" r="R628"/>
      <c s="7" r="S628"/>
      <c s="7" r="T628"/>
      <c s="7" r="U628"/>
      <c s="7" r="V628"/>
      <c s="30" r="W628"/>
      <c s="30" r="X628"/>
      <c s="30" r="Y628"/>
      <c s="30" r="Z628"/>
      <c s="30" r="AA628"/>
      <c s="30" r="AB628"/>
      <c s="30" r="AC628"/>
      <c s="30" r="AD628"/>
      <c s="30" r="AE628"/>
      <c s="10" r="AF628"/>
      <c s="10" r="AG628"/>
      <c s="10" r="AH628"/>
      <c s="10" r="AI628"/>
      <c s="10" r="AJ628"/>
      <c s="10" r="AK628"/>
      <c s="30" r="AL628"/>
    </row>
    <row r="629">
      <c s="30" r="A629"/>
      <c s="30" r="B629"/>
      <c s="30" r="C629"/>
      <c s="30" r="D629"/>
      <c s="16" r="E629"/>
      <c s="16" r="F629"/>
      <c s="16" r="G629"/>
      <c s="16" r="H629"/>
      <c s="16" r="I629"/>
      <c s="16" r="J629"/>
      <c s="16" r="K629"/>
      <c s="80" r="L629"/>
      <c s="79" r="M629"/>
      <c s="79" r="N629"/>
      <c s="79" r="O629"/>
      <c s="79" r="P629"/>
      <c s="17" r="Q629"/>
      <c s="17" r="R629"/>
      <c s="7" r="S629"/>
      <c s="7" r="T629"/>
      <c s="7" r="U629"/>
      <c s="7" r="V629"/>
      <c s="30" r="W629"/>
      <c s="30" r="X629"/>
      <c s="30" r="Y629"/>
      <c s="30" r="Z629"/>
      <c s="30" r="AA629"/>
      <c s="30" r="AB629"/>
      <c s="30" r="AC629"/>
      <c s="30" r="AD629"/>
      <c s="30" r="AE629"/>
      <c s="10" r="AF629"/>
      <c s="10" r="AG629"/>
      <c s="10" r="AH629"/>
      <c s="10" r="AI629"/>
      <c s="10" r="AJ629"/>
      <c s="10" r="AK629"/>
      <c s="30" r="AL629"/>
    </row>
    <row r="630">
      <c s="30" r="A630"/>
      <c s="30" r="B630"/>
      <c s="30" r="C630"/>
      <c s="30" r="D630"/>
      <c s="16" r="E630"/>
      <c s="16" r="F630"/>
      <c s="16" r="G630"/>
      <c s="16" r="H630"/>
      <c s="16" r="I630"/>
      <c s="16" r="J630"/>
      <c s="16" r="K630"/>
      <c s="80" r="L630"/>
      <c s="79" r="M630"/>
      <c s="79" r="N630"/>
      <c s="79" r="O630"/>
      <c s="79" r="P630"/>
      <c s="17" r="Q630"/>
      <c s="17" r="R630"/>
      <c s="7" r="S630"/>
      <c s="7" r="T630"/>
      <c s="7" r="U630"/>
      <c s="7" r="V630"/>
      <c s="30" r="W630"/>
      <c s="30" r="X630"/>
      <c s="30" r="Y630"/>
      <c s="30" r="Z630"/>
      <c s="30" r="AA630"/>
      <c s="30" r="AB630"/>
      <c s="30" r="AC630"/>
      <c s="30" r="AD630"/>
      <c s="30" r="AE630"/>
      <c s="10" r="AF630"/>
      <c s="10" r="AG630"/>
      <c s="10" r="AH630"/>
      <c s="10" r="AI630"/>
      <c s="10" r="AJ630"/>
      <c s="10" r="AK630"/>
      <c s="30" r="AL630"/>
    </row>
    <row r="631">
      <c s="30" r="A631"/>
      <c s="30" r="B631"/>
      <c s="30" r="C631"/>
      <c s="30" r="D631"/>
      <c s="16" r="E631"/>
      <c s="16" r="F631"/>
      <c s="16" r="G631"/>
      <c s="16" r="H631"/>
      <c s="16" r="I631"/>
      <c s="16" r="J631"/>
      <c s="16" r="K631"/>
      <c s="80" r="L631"/>
      <c s="79" r="M631"/>
      <c s="79" r="N631"/>
      <c s="79" r="O631"/>
      <c s="79" r="P631"/>
      <c s="17" r="Q631"/>
      <c s="17" r="R631"/>
      <c s="7" r="S631"/>
      <c s="7" r="T631"/>
      <c s="7" r="U631"/>
      <c s="7" r="V631"/>
      <c s="30" r="W631"/>
      <c s="30" r="X631"/>
      <c s="30" r="Y631"/>
      <c s="30" r="Z631"/>
      <c s="30" r="AA631"/>
      <c s="30" r="AB631"/>
      <c s="30" r="AC631"/>
      <c s="30" r="AD631"/>
      <c s="30" r="AE631"/>
      <c s="10" r="AF631"/>
      <c s="10" r="AG631"/>
      <c s="10" r="AH631"/>
      <c s="10" r="AI631"/>
      <c s="10" r="AJ631"/>
      <c s="10" r="AK631"/>
      <c s="30" r="AL631"/>
    </row>
    <row r="632">
      <c s="30" r="A632"/>
      <c s="30" r="B632"/>
      <c s="30" r="C632"/>
      <c s="30" r="D632"/>
      <c s="16" r="E632"/>
      <c s="16" r="F632"/>
      <c s="16" r="G632"/>
      <c s="16" r="H632"/>
      <c s="16" r="I632"/>
      <c s="16" r="J632"/>
      <c s="16" r="K632"/>
      <c s="80" r="L632"/>
      <c s="79" r="M632"/>
      <c s="79" r="N632"/>
      <c s="79" r="O632"/>
      <c s="79" r="P632"/>
      <c s="17" r="Q632"/>
      <c s="17" r="R632"/>
      <c s="7" r="S632"/>
      <c s="7" r="T632"/>
      <c s="7" r="U632"/>
      <c s="7" r="V632"/>
      <c s="30" r="W632"/>
      <c s="30" r="X632"/>
      <c s="30" r="Y632"/>
      <c s="30" r="Z632"/>
      <c s="30" r="AA632"/>
      <c s="30" r="AB632"/>
      <c s="30" r="AC632"/>
      <c s="30" r="AD632"/>
      <c s="30" r="AE632"/>
      <c s="10" r="AF632"/>
      <c s="10" r="AG632"/>
      <c s="10" r="AH632"/>
      <c s="10" r="AI632"/>
      <c s="10" r="AJ632"/>
      <c s="10" r="AK632"/>
      <c s="30" r="AL632"/>
    </row>
    <row r="633">
      <c s="30" r="A633"/>
      <c s="30" r="B633"/>
      <c s="30" r="C633"/>
      <c s="30" r="D633"/>
      <c s="16" r="E633"/>
      <c s="16" r="F633"/>
      <c s="16" r="G633"/>
      <c s="16" r="H633"/>
      <c s="16" r="I633"/>
      <c s="16" r="J633"/>
      <c s="16" r="K633"/>
      <c s="80" r="L633"/>
      <c s="79" r="M633"/>
      <c s="79" r="N633"/>
      <c s="79" r="O633"/>
      <c s="79" r="P633"/>
      <c s="17" r="Q633"/>
      <c s="17" r="R633"/>
      <c s="7" r="S633"/>
      <c s="7" r="T633"/>
      <c s="7" r="U633"/>
      <c s="7" r="V633"/>
      <c s="30" r="W633"/>
      <c s="30" r="X633"/>
      <c s="30" r="Y633"/>
      <c s="30" r="Z633"/>
      <c s="30" r="AA633"/>
      <c s="30" r="AB633"/>
      <c s="30" r="AC633"/>
      <c s="30" r="AD633"/>
      <c s="30" r="AE633"/>
      <c s="10" r="AF633"/>
      <c s="10" r="AG633"/>
      <c s="10" r="AH633"/>
      <c s="10" r="AI633"/>
      <c s="10" r="AJ633"/>
      <c s="10" r="AK633"/>
      <c s="30" r="AL633"/>
    </row>
    <row r="634">
      <c s="30" r="A634"/>
      <c s="30" r="B634"/>
      <c s="30" r="C634"/>
      <c s="30" r="D634"/>
      <c s="16" r="E634"/>
      <c s="16" r="F634"/>
      <c s="16" r="G634"/>
      <c s="16" r="H634"/>
      <c s="16" r="I634"/>
      <c s="16" r="J634"/>
      <c s="16" r="K634"/>
      <c s="80" r="L634"/>
      <c s="79" r="M634"/>
      <c s="79" r="N634"/>
      <c s="79" r="O634"/>
      <c s="79" r="P634"/>
      <c s="17" r="Q634"/>
      <c s="17" r="R634"/>
      <c s="7" r="S634"/>
      <c s="7" r="T634"/>
      <c s="7" r="U634"/>
      <c s="7" r="V634"/>
      <c s="30" r="W634"/>
      <c s="30" r="X634"/>
      <c s="30" r="Y634"/>
      <c s="30" r="Z634"/>
      <c s="30" r="AA634"/>
      <c s="30" r="AB634"/>
      <c s="30" r="AC634"/>
      <c s="30" r="AD634"/>
      <c s="30" r="AE634"/>
      <c s="10" r="AF634"/>
      <c s="10" r="AG634"/>
      <c s="10" r="AH634"/>
      <c s="10" r="AI634"/>
      <c s="10" r="AJ634"/>
      <c s="10" r="AK634"/>
      <c s="30" r="AL634"/>
    </row>
    <row r="635">
      <c s="30" r="A635"/>
      <c s="30" r="B635"/>
      <c s="30" r="C635"/>
      <c s="30" r="D635"/>
      <c s="16" r="E635"/>
      <c s="16" r="F635"/>
      <c s="16" r="G635"/>
      <c s="16" r="H635"/>
      <c s="16" r="I635"/>
      <c s="16" r="J635"/>
      <c s="16" r="K635"/>
      <c s="80" r="L635"/>
      <c s="79" r="M635"/>
      <c s="79" r="N635"/>
      <c s="79" r="O635"/>
      <c s="79" r="P635"/>
      <c s="17" r="Q635"/>
      <c s="17" r="R635"/>
      <c s="7" r="S635"/>
      <c s="7" r="T635"/>
      <c s="7" r="U635"/>
      <c s="7" r="V635"/>
      <c s="30" r="W635"/>
      <c s="30" r="X635"/>
      <c s="30" r="Y635"/>
      <c s="30" r="Z635"/>
      <c s="30" r="AA635"/>
      <c s="30" r="AB635"/>
      <c s="30" r="AC635"/>
      <c s="30" r="AD635"/>
      <c s="30" r="AE635"/>
      <c s="10" r="AF635"/>
      <c s="10" r="AG635"/>
      <c s="10" r="AH635"/>
      <c s="10" r="AI635"/>
      <c s="10" r="AJ635"/>
      <c s="10" r="AK635"/>
      <c s="30" r="AL635"/>
    </row>
    <row r="636">
      <c s="30" r="A636"/>
      <c s="30" r="B636"/>
      <c s="30" r="C636"/>
      <c s="30" r="D636"/>
      <c s="16" r="E636"/>
      <c s="16" r="F636"/>
      <c s="16" r="G636"/>
      <c s="16" r="H636"/>
      <c s="16" r="I636"/>
      <c s="16" r="J636"/>
      <c s="16" r="K636"/>
      <c s="80" r="L636"/>
      <c s="79" r="M636"/>
      <c s="79" r="N636"/>
      <c s="79" r="O636"/>
      <c s="79" r="P636"/>
      <c s="17" r="Q636"/>
      <c s="17" r="R636"/>
      <c s="7" r="S636"/>
      <c s="7" r="T636"/>
      <c s="7" r="U636"/>
      <c s="7" r="V636"/>
      <c s="30" r="W636"/>
      <c s="30" r="X636"/>
      <c s="30" r="Y636"/>
      <c s="30" r="Z636"/>
      <c s="30" r="AA636"/>
      <c s="30" r="AB636"/>
      <c s="30" r="AC636"/>
      <c s="30" r="AD636"/>
      <c s="30" r="AE636"/>
      <c s="10" r="AF636"/>
      <c s="10" r="AG636"/>
      <c s="10" r="AH636"/>
      <c s="10" r="AI636"/>
      <c s="10" r="AJ636"/>
      <c s="10" r="AK636"/>
      <c s="30" r="AL636"/>
    </row>
    <row r="637">
      <c s="30" r="A637"/>
      <c s="30" r="B637"/>
      <c s="30" r="C637"/>
      <c s="30" r="D637"/>
      <c s="16" r="E637"/>
      <c s="16" r="F637"/>
      <c s="16" r="G637"/>
      <c s="16" r="H637"/>
      <c s="16" r="I637"/>
      <c s="16" r="J637"/>
      <c s="16" r="K637"/>
      <c s="80" r="L637"/>
      <c s="79" r="M637"/>
      <c s="79" r="N637"/>
      <c s="79" r="O637"/>
      <c s="79" r="P637"/>
      <c s="17" r="Q637"/>
      <c s="17" r="R637"/>
      <c s="7" r="S637"/>
      <c s="7" r="T637"/>
      <c s="7" r="U637"/>
      <c s="7" r="V637"/>
      <c s="30" r="W637"/>
      <c s="30" r="X637"/>
      <c s="30" r="Y637"/>
      <c s="30" r="Z637"/>
      <c s="30" r="AA637"/>
      <c s="30" r="AB637"/>
      <c s="30" r="AC637"/>
      <c s="30" r="AD637"/>
      <c s="30" r="AE637"/>
      <c s="10" r="AF637"/>
      <c s="10" r="AG637"/>
      <c s="10" r="AH637"/>
      <c s="10" r="AI637"/>
      <c s="10" r="AJ637"/>
      <c s="10" r="AK637"/>
      <c s="30" r="AL637"/>
    </row>
    <row r="638">
      <c s="30" r="A638"/>
      <c s="30" r="B638"/>
      <c s="30" r="C638"/>
      <c s="30" r="D638"/>
      <c s="16" r="E638"/>
      <c s="16" r="F638"/>
      <c s="16" r="G638"/>
      <c s="16" r="H638"/>
      <c s="16" r="I638"/>
      <c s="16" r="J638"/>
      <c s="16" r="K638"/>
      <c s="80" r="L638"/>
      <c s="79" r="M638"/>
      <c s="79" r="N638"/>
      <c s="79" r="O638"/>
      <c s="79" r="P638"/>
      <c s="17" r="Q638"/>
      <c s="17" r="R638"/>
      <c s="7" r="S638"/>
      <c s="7" r="T638"/>
      <c s="7" r="U638"/>
      <c s="7" r="V638"/>
      <c s="30" r="W638"/>
      <c s="30" r="X638"/>
      <c s="30" r="Y638"/>
      <c s="30" r="Z638"/>
      <c s="30" r="AA638"/>
      <c s="30" r="AB638"/>
      <c s="30" r="AC638"/>
      <c s="30" r="AD638"/>
      <c s="30" r="AE638"/>
      <c s="10" r="AF638"/>
      <c s="10" r="AG638"/>
      <c s="10" r="AH638"/>
      <c s="10" r="AI638"/>
      <c s="10" r="AJ638"/>
      <c s="10" r="AK638"/>
      <c s="30" r="AL638"/>
    </row>
    <row r="639">
      <c s="30" r="A639"/>
      <c s="30" r="B639"/>
      <c s="30" r="C639"/>
      <c s="30" r="D639"/>
      <c s="16" r="E639"/>
      <c s="16" r="F639"/>
      <c s="16" r="G639"/>
      <c s="16" r="H639"/>
      <c s="16" r="I639"/>
      <c s="16" r="J639"/>
      <c s="16" r="K639"/>
      <c s="80" r="L639"/>
      <c s="79" r="M639"/>
      <c s="79" r="N639"/>
      <c s="79" r="O639"/>
      <c s="79" r="P639"/>
      <c s="17" r="Q639"/>
      <c s="17" r="R639"/>
      <c s="7" r="S639"/>
      <c s="7" r="T639"/>
      <c s="7" r="U639"/>
      <c s="7" r="V639"/>
      <c s="30" r="W639"/>
      <c s="30" r="X639"/>
      <c s="30" r="Y639"/>
      <c s="30" r="Z639"/>
      <c s="30" r="AA639"/>
      <c s="30" r="AB639"/>
      <c s="30" r="AC639"/>
      <c s="30" r="AD639"/>
      <c s="30" r="AE639"/>
      <c s="10" r="AF639"/>
      <c s="10" r="AG639"/>
      <c s="10" r="AH639"/>
      <c s="10" r="AI639"/>
      <c s="10" r="AJ639"/>
      <c s="10" r="AK639"/>
      <c s="30" r="AL639"/>
    </row>
    <row r="640">
      <c s="30" r="A640"/>
      <c s="30" r="B640"/>
      <c s="30" r="C640"/>
      <c s="30" r="D640"/>
      <c s="16" r="E640"/>
      <c s="16" r="F640"/>
      <c s="16" r="G640"/>
      <c s="16" r="H640"/>
      <c s="16" r="I640"/>
      <c s="16" r="J640"/>
      <c s="16" r="K640"/>
      <c s="80" r="L640"/>
      <c s="79" r="M640"/>
      <c s="79" r="N640"/>
      <c s="79" r="O640"/>
      <c s="79" r="P640"/>
      <c s="17" r="Q640"/>
      <c s="17" r="R640"/>
      <c s="7" r="S640"/>
      <c s="7" r="T640"/>
      <c s="7" r="U640"/>
      <c s="7" r="V640"/>
      <c s="30" r="W640"/>
      <c s="30" r="X640"/>
      <c s="30" r="Y640"/>
      <c s="30" r="Z640"/>
      <c s="30" r="AA640"/>
      <c s="30" r="AB640"/>
      <c s="30" r="AC640"/>
      <c s="30" r="AD640"/>
      <c s="30" r="AE640"/>
      <c s="10" r="AF640"/>
      <c s="10" r="AG640"/>
      <c s="10" r="AH640"/>
      <c s="10" r="AI640"/>
      <c s="10" r="AJ640"/>
      <c s="10" r="AK640"/>
      <c s="30" r="AL640"/>
    </row>
    <row r="641">
      <c s="30" r="A641"/>
      <c s="30" r="B641"/>
      <c s="30" r="C641"/>
      <c s="30" r="D641"/>
      <c s="16" r="E641"/>
      <c s="16" r="F641"/>
      <c s="16" r="G641"/>
      <c s="16" r="H641"/>
      <c s="16" r="I641"/>
      <c s="16" r="J641"/>
      <c s="16" r="K641"/>
      <c s="80" r="L641"/>
      <c s="79" r="M641"/>
      <c s="79" r="N641"/>
      <c s="79" r="O641"/>
      <c s="79" r="P641"/>
      <c s="17" r="Q641"/>
      <c s="17" r="R641"/>
      <c s="7" r="S641"/>
      <c s="7" r="T641"/>
      <c s="7" r="U641"/>
      <c s="7" r="V641"/>
      <c s="30" r="W641"/>
      <c s="30" r="X641"/>
      <c s="30" r="Y641"/>
      <c s="30" r="Z641"/>
      <c s="30" r="AA641"/>
      <c s="30" r="AB641"/>
      <c s="30" r="AC641"/>
      <c s="30" r="AD641"/>
      <c s="30" r="AE641"/>
      <c s="10" r="AF641"/>
      <c s="10" r="AG641"/>
      <c s="10" r="AH641"/>
      <c s="10" r="AI641"/>
      <c s="10" r="AJ641"/>
      <c s="10" r="AK641"/>
      <c s="30" r="AL641"/>
    </row>
    <row r="642">
      <c s="30" r="A642"/>
      <c s="30" r="B642"/>
      <c s="30" r="C642"/>
      <c s="30" r="D642"/>
      <c s="16" r="E642"/>
      <c s="16" r="F642"/>
      <c s="16" r="G642"/>
      <c s="16" r="H642"/>
      <c s="16" r="I642"/>
      <c s="16" r="J642"/>
      <c s="16" r="K642"/>
      <c s="80" r="L642"/>
      <c s="79" r="M642"/>
      <c s="79" r="N642"/>
      <c s="79" r="O642"/>
      <c s="79" r="P642"/>
      <c s="17" r="Q642"/>
      <c s="17" r="R642"/>
      <c s="7" r="S642"/>
      <c s="7" r="T642"/>
      <c s="7" r="U642"/>
      <c s="7" r="V642"/>
      <c s="30" r="W642"/>
      <c s="30" r="X642"/>
      <c s="30" r="Y642"/>
      <c s="30" r="Z642"/>
      <c s="30" r="AA642"/>
      <c s="30" r="AB642"/>
      <c s="30" r="AC642"/>
      <c s="30" r="AD642"/>
      <c s="30" r="AE642"/>
      <c s="10" r="AF642"/>
      <c s="10" r="AG642"/>
      <c s="10" r="AH642"/>
      <c s="10" r="AI642"/>
      <c s="10" r="AJ642"/>
      <c s="10" r="AK642"/>
      <c s="30" r="AL642"/>
    </row>
    <row r="643">
      <c s="30" r="A643"/>
      <c s="30" r="B643"/>
      <c s="30" r="C643"/>
      <c s="30" r="D643"/>
      <c s="16" r="E643"/>
      <c s="16" r="F643"/>
      <c s="16" r="G643"/>
      <c s="16" r="H643"/>
      <c s="16" r="I643"/>
      <c s="16" r="J643"/>
      <c s="16" r="K643"/>
      <c s="80" r="L643"/>
      <c s="79" r="M643"/>
      <c s="79" r="N643"/>
      <c s="79" r="O643"/>
      <c s="79" r="P643"/>
      <c s="17" r="Q643"/>
      <c s="17" r="R643"/>
      <c s="7" r="S643"/>
      <c s="7" r="T643"/>
      <c s="7" r="U643"/>
      <c s="7" r="V643"/>
      <c s="30" r="W643"/>
      <c s="30" r="X643"/>
      <c s="30" r="Y643"/>
      <c s="30" r="Z643"/>
      <c s="30" r="AA643"/>
      <c s="30" r="AB643"/>
      <c s="30" r="AC643"/>
      <c s="30" r="AD643"/>
      <c s="30" r="AE643"/>
      <c s="10" r="AF643"/>
      <c s="10" r="AG643"/>
      <c s="10" r="AH643"/>
      <c s="10" r="AI643"/>
      <c s="10" r="AJ643"/>
      <c s="10" r="AK643"/>
      <c s="30" r="AL643"/>
    </row>
    <row r="644">
      <c s="30" r="A644"/>
      <c s="30" r="B644"/>
      <c s="30" r="C644"/>
      <c s="30" r="D644"/>
      <c s="16" r="E644"/>
      <c s="16" r="F644"/>
      <c s="16" r="G644"/>
      <c s="16" r="H644"/>
      <c s="16" r="I644"/>
      <c s="16" r="J644"/>
      <c s="16" r="K644"/>
      <c s="80" r="L644"/>
      <c s="79" r="M644"/>
      <c s="79" r="N644"/>
      <c s="79" r="O644"/>
      <c s="79" r="P644"/>
      <c s="17" r="Q644"/>
      <c s="17" r="R644"/>
      <c s="7" r="S644"/>
      <c s="7" r="T644"/>
      <c s="7" r="U644"/>
      <c s="7" r="V644"/>
      <c s="30" r="W644"/>
      <c s="30" r="X644"/>
      <c s="30" r="Y644"/>
      <c s="30" r="Z644"/>
      <c s="30" r="AA644"/>
      <c s="30" r="AB644"/>
      <c s="30" r="AC644"/>
      <c s="30" r="AD644"/>
      <c s="30" r="AE644"/>
      <c s="10" r="AF644"/>
      <c s="10" r="AG644"/>
      <c s="10" r="AH644"/>
      <c s="10" r="AI644"/>
      <c s="10" r="AJ644"/>
      <c s="10" r="AK644"/>
      <c s="30" r="AL644"/>
    </row>
    <row r="645">
      <c s="30" r="A645"/>
      <c s="30" r="B645"/>
      <c s="30" r="C645"/>
      <c s="30" r="D645"/>
      <c s="16" r="E645"/>
      <c s="16" r="F645"/>
      <c s="16" r="G645"/>
      <c s="16" r="H645"/>
      <c s="16" r="I645"/>
      <c s="16" r="J645"/>
      <c s="16" r="K645"/>
      <c s="80" r="L645"/>
      <c s="79" r="M645"/>
      <c s="79" r="N645"/>
      <c s="79" r="O645"/>
      <c s="79" r="P645"/>
      <c s="17" r="Q645"/>
      <c s="17" r="R645"/>
      <c s="7" r="S645"/>
      <c s="7" r="T645"/>
      <c s="7" r="U645"/>
      <c s="7" r="V645"/>
      <c s="30" r="W645"/>
      <c s="30" r="X645"/>
      <c s="30" r="Y645"/>
      <c s="30" r="Z645"/>
      <c s="30" r="AA645"/>
      <c s="30" r="AB645"/>
      <c s="30" r="AC645"/>
      <c s="30" r="AD645"/>
      <c s="30" r="AE645"/>
      <c s="10" r="AF645"/>
      <c s="10" r="AG645"/>
      <c s="10" r="AH645"/>
      <c s="10" r="AI645"/>
      <c s="10" r="AJ645"/>
      <c s="10" r="AK645"/>
      <c s="30" r="AL645"/>
    </row>
    <row r="646">
      <c s="30" r="A646"/>
      <c s="30" r="B646"/>
      <c s="30" r="C646"/>
      <c s="30" r="D646"/>
      <c s="16" r="E646"/>
      <c s="16" r="F646"/>
      <c s="16" r="G646"/>
      <c s="16" r="H646"/>
      <c s="16" r="I646"/>
      <c s="16" r="J646"/>
      <c s="16" r="K646"/>
      <c s="80" r="L646"/>
      <c s="79" r="M646"/>
      <c s="79" r="N646"/>
      <c s="79" r="O646"/>
      <c s="79" r="P646"/>
      <c s="17" r="Q646"/>
      <c s="17" r="R646"/>
      <c s="7" r="S646"/>
      <c s="7" r="T646"/>
      <c s="7" r="U646"/>
      <c s="7" r="V646"/>
      <c s="30" r="W646"/>
      <c s="30" r="X646"/>
      <c s="30" r="Y646"/>
      <c s="30" r="Z646"/>
      <c s="30" r="AA646"/>
      <c s="30" r="AB646"/>
      <c s="30" r="AC646"/>
      <c s="30" r="AD646"/>
      <c s="30" r="AE646"/>
      <c s="10" r="AF646"/>
      <c s="10" r="AG646"/>
      <c s="10" r="AH646"/>
      <c s="10" r="AI646"/>
      <c s="10" r="AJ646"/>
      <c s="10" r="AK646"/>
      <c s="30" r="AL646"/>
    </row>
    <row r="647">
      <c s="30" r="A647"/>
      <c s="30" r="B647"/>
      <c s="30" r="C647"/>
      <c s="30" r="D647"/>
      <c s="16" r="E647"/>
      <c s="16" r="F647"/>
      <c s="16" r="G647"/>
      <c s="16" r="H647"/>
      <c s="16" r="I647"/>
      <c s="16" r="J647"/>
      <c s="16" r="K647"/>
      <c s="80" r="L647"/>
      <c s="79" r="M647"/>
      <c s="79" r="N647"/>
      <c s="79" r="O647"/>
      <c s="79" r="P647"/>
      <c s="17" r="Q647"/>
      <c s="17" r="R647"/>
      <c s="7" r="S647"/>
      <c s="7" r="T647"/>
      <c s="7" r="U647"/>
      <c s="7" r="V647"/>
      <c s="30" r="W647"/>
      <c s="30" r="X647"/>
      <c s="30" r="Y647"/>
      <c s="30" r="Z647"/>
      <c s="30" r="AA647"/>
      <c s="30" r="AB647"/>
      <c s="30" r="AC647"/>
      <c s="30" r="AD647"/>
      <c s="30" r="AE647"/>
      <c s="10" r="AF647"/>
      <c s="10" r="AG647"/>
      <c s="10" r="AH647"/>
      <c s="10" r="AI647"/>
      <c s="10" r="AJ647"/>
      <c s="10" r="AK647"/>
      <c s="30" r="AL647"/>
    </row>
    <row r="648">
      <c s="30" r="A648"/>
      <c s="30" r="B648"/>
      <c s="30" r="C648"/>
      <c s="30" r="D648"/>
      <c s="16" r="E648"/>
      <c s="16" r="F648"/>
      <c s="16" r="G648"/>
      <c s="16" r="H648"/>
      <c s="16" r="I648"/>
      <c s="16" r="J648"/>
      <c s="16" r="K648"/>
      <c s="80" r="L648"/>
      <c s="79" r="M648"/>
      <c s="79" r="N648"/>
      <c s="79" r="O648"/>
      <c s="79" r="P648"/>
      <c s="17" r="Q648"/>
      <c s="17" r="R648"/>
      <c s="7" r="S648"/>
      <c s="7" r="T648"/>
      <c s="7" r="U648"/>
      <c s="7" r="V648"/>
      <c s="30" r="W648"/>
      <c s="30" r="X648"/>
      <c s="30" r="Y648"/>
      <c s="30" r="Z648"/>
      <c s="30" r="AA648"/>
      <c s="30" r="AB648"/>
      <c s="30" r="AC648"/>
      <c s="30" r="AD648"/>
      <c s="30" r="AE648"/>
      <c s="10" r="AF648"/>
      <c s="10" r="AG648"/>
      <c s="10" r="AH648"/>
      <c s="10" r="AI648"/>
      <c s="10" r="AJ648"/>
      <c s="10" r="AK648"/>
      <c s="30" r="AL648"/>
    </row>
    <row r="649">
      <c s="30" r="A649"/>
      <c s="30" r="B649"/>
      <c s="30" r="C649"/>
      <c s="30" r="D649"/>
      <c s="16" r="E649"/>
      <c s="16" r="F649"/>
      <c s="16" r="G649"/>
      <c s="16" r="H649"/>
      <c s="16" r="I649"/>
      <c s="16" r="J649"/>
      <c s="16" r="K649"/>
      <c s="80" r="L649"/>
      <c s="79" r="M649"/>
      <c s="79" r="N649"/>
      <c s="79" r="O649"/>
      <c s="79" r="P649"/>
      <c s="17" r="Q649"/>
      <c s="17" r="R649"/>
      <c s="7" r="S649"/>
      <c s="7" r="T649"/>
      <c s="7" r="U649"/>
      <c s="7" r="V649"/>
      <c s="30" r="W649"/>
      <c s="30" r="X649"/>
      <c s="30" r="Y649"/>
      <c s="30" r="Z649"/>
      <c s="30" r="AA649"/>
      <c s="30" r="AB649"/>
      <c s="30" r="AC649"/>
      <c s="30" r="AD649"/>
      <c s="30" r="AE649"/>
      <c s="10" r="AF649"/>
      <c s="10" r="AG649"/>
      <c s="10" r="AH649"/>
      <c s="10" r="AI649"/>
      <c s="10" r="AJ649"/>
      <c s="10" r="AK649"/>
      <c s="30" r="AL649"/>
    </row>
    <row r="650">
      <c s="30" r="A650"/>
      <c s="30" r="B650"/>
      <c s="30" r="C650"/>
      <c s="30" r="D650"/>
      <c s="16" r="E650"/>
      <c s="16" r="F650"/>
      <c s="16" r="G650"/>
      <c s="16" r="H650"/>
      <c s="16" r="I650"/>
      <c s="16" r="J650"/>
      <c s="16" r="K650"/>
      <c s="80" r="L650"/>
      <c s="79" r="M650"/>
      <c s="79" r="N650"/>
      <c s="79" r="O650"/>
      <c s="79" r="P650"/>
      <c s="17" r="Q650"/>
      <c s="17" r="R650"/>
      <c s="7" r="S650"/>
      <c s="7" r="T650"/>
      <c s="7" r="U650"/>
      <c s="7" r="V650"/>
      <c s="30" r="W650"/>
      <c s="30" r="X650"/>
      <c s="30" r="Y650"/>
      <c s="30" r="Z650"/>
      <c s="30" r="AA650"/>
      <c s="30" r="AB650"/>
      <c s="30" r="AC650"/>
      <c s="30" r="AD650"/>
      <c s="30" r="AE650"/>
      <c s="10" r="AF650"/>
      <c s="10" r="AG650"/>
      <c s="10" r="AH650"/>
      <c s="10" r="AI650"/>
      <c s="10" r="AJ650"/>
      <c s="10" r="AK650"/>
      <c s="30" r="AL650"/>
    </row>
    <row r="651">
      <c s="30" r="A651"/>
      <c s="30" r="B651"/>
      <c s="30" r="C651"/>
      <c s="30" r="D651"/>
      <c s="16" r="E651"/>
      <c s="16" r="F651"/>
      <c s="16" r="G651"/>
      <c s="16" r="H651"/>
      <c s="16" r="I651"/>
      <c s="16" r="J651"/>
      <c s="16" r="K651"/>
      <c s="80" r="L651"/>
      <c s="79" r="M651"/>
      <c s="79" r="N651"/>
      <c s="79" r="O651"/>
      <c s="79" r="P651"/>
      <c s="17" r="Q651"/>
      <c s="17" r="R651"/>
      <c s="7" r="S651"/>
      <c s="7" r="T651"/>
      <c s="7" r="U651"/>
      <c s="7" r="V651"/>
      <c s="30" r="W651"/>
      <c s="30" r="X651"/>
      <c s="30" r="Y651"/>
      <c s="30" r="Z651"/>
      <c s="30" r="AA651"/>
      <c s="30" r="AB651"/>
      <c s="30" r="AC651"/>
      <c s="30" r="AD651"/>
      <c s="30" r="AE651"/>
      <c s="10" r="AF651"/>
      <c s="10" r="AG651"/>
      <c s="10" r="AH651"/>
      <c s="10" r="AI651"/>
      <c s="10" r="AJ651"/>
      <c s="10" r="AK651"/>
      <c s="30" r="AL651"/>
    </row>
    <row r="652">
      <c s="30" r="A652"/>
      <c s="30" r="B652"/>
      <c s="30" r="C652"/>
      <c s="30" r="D652"/>
      <c s="16" r="E652"/>
      <c s="16" r="F652"/>
      <c s="16" r="G652"/>
      <c s="16" r="H652"/>
      <c s="16" r="I652"/>
      <c s="16" r="J652"/>
      <c s="16" r="K652"/>
      <c s="80" r="L652"/>
      <c s="79" r="M652"/>
      <c s="79" r="N652"/>
      <c s="79" r="O652"/>
      <c s="79" r="P652"/>
      <c s="17" r="Q652"/>
      <c s="17" r="R652"/>
      <c s="7" r="S652"/>
      <c s="7" r="T652"/>
      <c s="7" r="U652"/>
      <c s="7" r="V652"/>
      <c s="30" r="W652"/>
      <c s="30" r="X652"/>
      <c s="30" r="Y652"/>
      <c s="30" r="Z652"/>
      <c s="30" r="AA652"/>
      <c s="30" r="AB652"/>
      <c s="30" r="AC652"/>
      <c s="30" r="AD652"/>
      <c s="30" r="AE652"/>
      <c s="10" r="AF652"/>
      <c s="10" r="AG652"/>
      <c s="10" r="AH652"/>
      <c s="10" r="AI652"/>
      <c s="10" r="AJ652"/>
      <c s="10" r="AK652"/>
      <c s="30" r="AL652"/>
    </row>
    <row r="653">
      <c s="30" r="A653"/>
      <c s="30" r="B653"/>
      <c s="30" r="C653"/>
      <c s="30" r="D653"/>
      <c s="16" r="E653"/>
      <c s="16" r="F653"/>
      <c s="16" r="G653"/>
      <c s="16" r="H653"/>
      <c s="16" r="I653"/>
      <c s="16" r="J653"/>
      <c s="16" r="K653"/>
      <c s="80" r="L653"/>
      <c s="79" r="M653"/>
      <c s="79" r="N653"/>
      <c s="79" r="O653"/>
      <c s="79" r="P653"/>
      <c s="17" r="Q653"/>
      <c s="17" r="R653"/>
      <c s="7" r="S653"/>
      <c s="7" r="T653"/>
      <c s="7" r="U653"/>
      <c s="7" r="V653"/>
      <c s="30" r="W653"/>
      <c s="30" r="X653"/>
      <c s="30" r="Y653"/>
      <c s="30" r="Z653"/>
      <c s="30" r="AA653"/>
      <c s="30" r="AB653"/>
      <c s="30" r="AC653"/>
      <c s="30" r="AD653"/>
      <c s="30" r="AE653"/>
      <c s="10" r="AF653"/>
      <c s="10" r="AG653"/>
      <c s="10" r="AH653"/>
      <c s="10" r="AI653"/>
      <c s="10" r="AJ653"/>
      <c s="10" r="AK653"/>
      <c s="30" r="AL653"/>
    </row>
    <row r="654">
      <c s="30" r="A654"/>
      <c s="30" r="B654"/>
      <c s="30" r="C654"/>
      <c s="30" r="D654"/>
      <c s="16" r="E654"/>
      <c s="16" r="F654"/>
      <c s="16" r="G654"/>
      <c s="16" r="H654"/>
      <c s="16" r="I654"/>
      <c s="16" r="J654"/>
      <c s="16" r="K654"/>
      <c s="80" r="L654"/>
      <c s="79" r="M654"/>
      <c s="79" r="N654"/>
      <c s="79" r="O654"/>
      <c s="79" r="P654"/>
      <c s="17" r="Q654"/>
      <c s="17" r="R654"/>
      <c s="7" r="S654"/>
      <c s="7" r="T654"/>
      <c s="7" r="U654"/>
      <c s="7" r="V654"/>
      <c s="30" r="W654"/>
      <c s="30" r="X654"/>
      <c s="30" r="Y654"/>
      <c s="30" r="Z654"/>
      <c s="30" r="AA654"/>
      <c s="30" r="AB654"/>
      <c s="30" r="AC654"/>
      <c s="30" r="AD654"/>
      <c s="30" r="AE654"/>
      <c s="10" r="AF654"/>
      <c s="10" r="AG654"/>
      <c s="10" r="AH654"/>
      <c s="10" r="AI654"/>
      <c s="10" r="AJ654"/>
      <c s="10" r="AK654"/>
      <c s="30" r="AL654"/>
    </row>
    <row r="655">
      <c s="30" r="A655"/>
      <c s="30" r="B655"/>
      <c s="30" r="C655"/>
      <c s="30" r="D655"/>
      <c s="16" r="E655"/>
      <c s="16" r="F655"/>
      <c s="16" r="G655"/>
      <c s="16" r="H655"/>
      <c s="16" r="I655"/>
      <c s="16" r="J655"/>
      <c s="16" r="K655"/>
      <c s="80" r="L655"/>
      <c s="79" r="M655"/>
      <c s="79" r="N655"/>
      <c s="79" r="O655"/>
      <c s="79" r="P655"/>
      <c s="17" r="Q655"/>
      <c s="17" r="R655"/>
      <c s="7" r="S655"/>
      <c s="7" r="T655"/>
      <c s="7" r="U655"/>
      <c s="7" r="V655"/>
      <c s="30" r="W655"/>
      <c s="30" r="X655"/>
      <c s="30" r="Y655"/>
      <c s="30" r="Z655"/>
      <c s="30" r="AA655"/>
      <c s="30" r="AB655"/>
      <c s="30" r="AC655"/>
      <c s="30" r="AD655"/>
      <c s="30" r="AE655"/>
      <c s="10" r="AF655"/>
      <c s="10" r="AG655"/>
      <c s="10" r="AH655"/>
      <c s="10" r="AI655"/>
      <c s="10" r="AJ655"/>
      <c s="10" r="AK655"/>
      <c s="30" r="AL655"/>
    </row>
    <row r="656">
      <c s="30" r="A656"/>
      <c s="30" r="B656"/>
      <c s="30" r="C656"/>
      <c s="30" r="D656"/>
      <c s="16" r="E656"/>
      <c s="16" r="F656"/>
      <c s="16" r="G656"/>
      <c s="16" r="H656"/>
      <c s="16" r="I656"/>
      <c s="16" r="J656"/>
      <c s="16" r="K656"/>
      <c s="80" r="L656"/>
      <c s="79" r="M656"/>
      <c s="79" r="N656"/>
      <c s="79" r="O656"/>
      <c s="79" r="P656"/>
      <c s="17" r="Q656"/>
      <c s="17" r="R656"/>
      <c s="7" r="S656"/>
      <c s="7" r="T656"/>
      <c s="7" r="U656"/>
      <c s="7" r="V656"/>
      <c s="30" r="W656"/>
      <c s="30" r="X656"/>
      <c s="30" r="Y656"/>
      <c s="30" r="Z656"/>
      <c s="30" r="AA656"/>
      <c s="30" r="AB656"/>
      <c s="30" r="AC656"/>
      <c s="30" r="AD656"/>
      <c s="30" r="AE656"/>
      <c s="10" r="AF656"/>
      <c s="10" r="AG656"/>
      <c s="10" r="AH656"/>
      <c s="10" r="AI656"/>
      <c s="10" r="AJ656"/>
      <c s="10" r="AK656"/>
      <c s="30" r="AL656"/>
    </row>
    <row r="657">
      <c s="30" r="A657"/>
      <c s="30" r="B657"/>
      <c s="30" r="C657"/>
      <c s="30" r="D657"/>
      <c s="16" r="E657"/>
      <c s="16" r="F657"/>
      <c s="16" r="G657"/>
      <c s="16" r="H657"/>
      <c s="16" r="I657"/>
      <c s="16" r="J657"/>
      <c s="16" r="K657"/>
      <c s="80" r="L657"/>
      <c s="79" r="M657"/>
      <c s="79" r="N657"/>
      <c s="79" r="O657"/>
      <c s="79" r="P657"/>
      <c s="17" r="Q657"/>
      <c s="17" r="R657"/>
      <c s="7" r="S657"/>
      <c s="7" r="T657"/>
      <c s="7" r="U657"/>
      <c s="7" r="V657"/>
      <c s="30" r="W657"/>
      <c s="30" r="X657"/>
      <c s="30" r="Y657"/>
      <c s="30" r="Z657"/>
      <c s="30" r="AA657"/>
      <c s="30" r="AB657"/>
      <c s="30" r="AC657"/>
      <c s="30" r="AD657"/>
      <c s="30" r="AE657"/>
      <c s="10" r="AF657"/>
      <c s="10" r="AG657"/>
      <c s="10" r="AH657"/>
      <c s="10" r="AI657"/>
      <c s="10" r="AJ657"/>
      <c s="10" r="AK657"/>
      <c s="30" r="AL657"/>
    </row>
    <row r="658">
      <c s="30" r="A658"/>
      <c s="30" r="B658"/>
      <c s="30" r="C658"/>
      <c s="30" r="D658"/>
      <c s="16" r="E658"/>
      <c s="16" r="F658"/>
      <c s="16" r="G658"/>
      <c s="16" r="H658"/>
      <c s="16" r="I658"/>
      <c s="16" r="J658"/>
      <c s="16" r="K658"/>
      <c s="80" r="L658"/>
      <c s="79" r="M658"/>
      <c s="79" r="N658"/>
      <c s="79" r="O658"/>
      <c s="79" r="P658"/>
      <c s="17" r="Q658"/>
      <c s="17" r="R658"/>
      <c s="7" r="S658"/>
      <c s="7" r="T658"/>
      <c s="7" r="U658"/>
      <c s="7" r="V658"/>
      <c s="30" r="W658"/>
      <c s="30" r="X658"/>
      <c s="30" r="Y658"/>
      <c s="30" r="Z658"/>
      <c s="30" r="AA658"/>
      <c s="30" r="AB658"/>
      <c s="30" r="AC658"/>
      <c s="30" r="AD658"/>
      <c s="30" r="AE658"/>
      <c s="10" r="AF658"/>
      <c s="10" r="AG658"/>
      <c s="10" r="AH658"/>
      <c s="10" r="AI658"/>
      <c s="10" r="AJ658"/>
      <c s="10" r="AK658"/>
      <c s="30" r="AL658"/>
    </row>
    <row r="659">
      <c s="30" r="A659"/>
      <c s="30" r="B659"/>
      <c s="30" r="C659"/>
      <c s="30" r="D659"/>
      <c s="16" r="E659"/>
      <c s="16" r="F659"/>
      <c s="16" r="G659"/>
      <c s="16" r="H659"/>
      <c s="16" r="I659"/>
      <c s="16" r="J659"/>
      <c s="16" r="K659"/>
      <c s="80" r="L659"/>
      <c s="79" r="M659"/>
      <c s="79" r="N659"/>
      <c s="79" r="O659"/>
      <c s="79" r="P659"/>
      <c s="17" r="Q659"/>
      <c s="17" r="R659"/>
      <c s="7" r="S659"/>
      <c s="7" r="T659"/>
      <c s="7" r="U659"/>
      <c s="7" r="V659"/>
      <c s="30" r="W659"/>
      <c s="30" r="X659"/>
      <c s="30" r="Y659"/>
      <c s="30" r="Z659"/>
      <c s="30" r="AA659"/>
      <c s="30" r="AB659"/>
      <c s="30" r="AC659"/>
      <c s="30" r="AD659"/>
      <c s="30" r="AE659"/>
      <c s="10" r="AF659"/>
      <c s="10" r="AG659"/>
      <c s="10" r="AH659"/>
      <c s="10" r="AI659"/>
      <c s="10" r="AJ659"/>
      <c s="10" r="AK659"/>
      <c s="30" r="AL659"/>
    </row>
    <row r="660">
      <c s="30" r="A660"/>
      <c s="30" r="B660"/>
      <c s="30" r="C660"/>
      <c s="30" r="D660"/>
      <c s="16" r="E660"/>
      <c s="16" r="F660"/>
      <c s="16" r="G660"/>
      <c s="16" r="H660"/>
      <c s="16" r="I660"/>
      <c s="16" r="J660"/>
      <c s="16" r="K660"/>
      <c s="80" r="L660"/>
      <c s="79" r="M660"/>
      <c s="79" r="N660"/>
      <c s="79" r="O660"/>
      <c s="79" r="P660"/>
      <c s="17" r="Q660"/>
      <c s="17" r="R660"/>
      <c s="7" r="S660"/>
      <c s="7" r="T660"/>
      <c s="7" r="U660"/>
      <c s="7" r="V660"/>
      <c s="30" r="W660"/>
      <c s="30" r="X660"/>
      <c s="30" r="Y660"/>
      <c s="30" r="Z660"/>
      <c s="30" r="AA660"/>
      <c s="30" r="AB660"/>
      <c s="30" r="AC660"/>
      <c s="30" r="AD660"/>
      <c s="30" r="AE660"/>
      <c s="10" r="AF660"/>
      <c s="10" r="AG660"/>
      <c s="10" r="AH660"/>
      <c s="10" r="AI660"/>
      <c s="10" r="AJ660"/>
      <c s="10" r="AK660"/>
      <c s="30" r="AL660"/>
    </row>
    <row r="661">
      <c s="30" r="A661"/>
      <c s="30" r="B661"/>
      <c s="30" r="C661"/>
      <c s="30" r="D661"/>
      <c s="16" r="E661"/>
      <c s="16" r="F661"/>
      <c s="16" r="G661"/>
      <c s="16" r="H661"/>
      <c s="16" r="I661"/>
      <c s="16" r="J661"/>
      <c s="16" r="K661"/>
      <c s="80" r="L661"/>
      <c s="79" r="M661"/>
      <c s="79" r="N661"/>
      <c s="79" r="O661"/>
      <c s="79" r="P661"/>
      <c s="17" r="Q661"/>
      <c s="17" r="R661"/>
      <c s="7" r="S661"/>
      <c s="7" r="T661"/>
      <c s="7" r="U661"/>
      <c s="7" r="V661"/>
      <c s="30" r="W661"/>
      <c s="30" r="X661"/>
      <c s="30" r="Y661"/>
      <c s="30" r="Z661"/>
      <c s="30" r="AA661"/>
      <c s="30" r="AB661"/>
      <c s="30" r="AC661"/>
      <c s="30" r="AD661"/>
      <c s="30" r="AE661"/>
      <c s="10" r="AF661"/>
      <c s="10" r="AG661"/>
      <c s="10" r="AH661"/>
      <c s="10" r="AI661"/>
      <c s="10" r="AJ661"/>
      <c s="10" r="AK661"/>
      <c s="30" r="AL661"/>
    </row>
    <row r="662">
      <c s="30" r="A662"/>
      <c s="30" r="B662"/>
      <c s="30" r="C662"/>
      <c s="30" r="D662"/>
      <c s="16" r="E662"/>
      <c s="16" r="F662"/>
      <c s="16" r="G662"/>
      <c s="16" r="H662"/>
      <c s="16" r="I662"/>
      <c s="16" r="J662"/>
      <c s="16" r="K662"/>
      <c s="80" r="L662"/>
      <c s="79" r="M662"/>
      <c s="79" r="N662"/>
      <c s="79" r="O662"/>
      <c s="79" r="P662"/>
      <c s="17" r="Q662"/>
      <c s="17" r="R662"/>
      <c s="7" r="S662"/>
      <c s="7" r="T662"/>
      <c s="7" r="U662"/>
      <c s="7" r="V662"/>
      <c s="30" r="W662"/>
      <c s="30" r="X662"/>
      <c s="30" r="Y662"/>
      <c s="30" r="Z662"/>
      <c s="30" r="AA662"/>
      <c s="30" r="AB662"/>
      <c s="30" r="AC662"/>
      <c s="30" r="AD662"/>
      <c s="30" r="AE662"/>
      <c s="10" r="AF662"/>
      <c s="10" r="AG662"/>
      <c s="10" r="AH662"/>
      <c s="10" r="AI662"/>
      <c s="10" r="AJ662"/>
      <c s="10" r="AK662"/>
      <c s="30" r="AL662"/>
    </row>
    <row r="663">
      <c s="30" r="A663"/>
      <c s="30" r="B663"/>
      <c s="30" r="C663"/>
      <c s="30" r="D663"/>
      <c s="16" r="E663"/>
      <c s="16" r="F663"/>
      <c s="16" r="G663"/>
      <c s="16" r="H663"/>
      <c s="16" r="I663"/>
      <c s="16" r="J663"/>
      <c s="16" r="K663"/>
      <c s="80" r="L663"/>
      <c s="79" r="M663"/>
      <c s="79" r="N663"/>
      <c s="79" r="O663"/>
      <c s="79" r="P663"/>
      <c s="17" r="Q663"/>
      <c s="17" r="R663"/>
      <c s="7" r="S663"/>
      <c s="7" r="T663"/>
      <c s="7" r="U663"/>
      <c s="7" r="V663"/>
      <c s="30" r="W663"/>
      <c s="30" r="X663"/>
      <c s="30" r="Y663"/>
      <c s="30" r="Z663"/>
      <c s="30" r="AA663"/>
      <c s="30" r="AB663"/>
      <c s="30" r="AC663"/>
      <c s="30" r="AD663"/>
      <c s="30" r="AE663"/>
      <c s="10" r="AF663"/>
      <c s="10" r="AG663"/>
      <c s="10" r="AH663"/>
      <c s="10" r="AI663"/>
      <c s="10" r="AJ663"/>
      <c s="10" r="AK663"/>
      <c s="30" r="AL663"/>
    </row>
    <row r="664">
      <c s="30" r="A664"/>
      <c s="30" r="B664"/>
      <c s="30" r="C664"/>
      <c s="30" r="D664"/>
      <c s="16" r="E664"/>
      <c s="16" r="F664"/>
      <c s="16" r="G664"/>
      <c s="16" r="H664"/>
      <c s="16" r="I664"/>
      <c s="16" r="J664"/>
      <c s="16" r="K664"/>
      <c s="80" r="L664"/>
      <c s="79" r="M664"/>
      <c s="79" r="N664"/>
      <c s="79" r="O664"/>
      <c s="79" r="P664"/>
      <c s="17" r="Q664"/>
      <c s="17" r="R664"/>
      <c s="7" r="S664"/>
      <c s="7" r="T664"/>
      <c s="7" r="U664"/>
      <c s="7" r="V664"/>
      <c s="30" r="W664"/>
      <c s="30" r="X664"/>
      <c s="30" r="Y664"/>
      <c s="30" r="Z664"/>
      <c s="30" r="AA664"/>
      <c s="30" r="AB664"/>
      <c s="30" r="AC664"/>
      <c s="30" r="AD664"/>
      <c s="30" r="AE664"/>
      <c s="10" r="AF664"/>
      <c s="10" r="AG664"/>
      <c s="10" r="AH664"/>
      <c s="10" r="AI664"/>
      <c s="10" r="AJ664"/>
      <c s="10" r="AK664"/>
      <c s="30" r="AL664"/>
    </row>
    <row r="665">
      <c s="30" r="A665"/>
      <c s="30" r="B665"/>
      <c s="30" r="C665"/>
      <c s="30" r="D665"/>
      <c s="16" r="E665"/>
      <c s="16" r="F665"/>
      <c s="16" r="G665"/>
      <c s="16" r="H665"/>
      <c s="16" r="I665"/>
      <c s="16" r="J665"/>
      <c s="16" r="K665"/>
      <c s="80" r="L665"/>
      <c s="79" r="M665"/>
      <c s="79" r="N665"/>
      <c s="79" r="O665"/>
      <c s="79" r="P665"/>
      <c s="17" r="Q665"/>
      <c s="17" r="R665"/>
      <c s="7" r="S665"/>
      <c s="7" r="T665"/>
      <c s="7" r="U665"/>
      <c s="7" r="V665"/>
      <c s="30" r="W665"/>
      <c s="30" r="X665"/>
      <c s="30" r="Y665"/>
      <c s="30" r="Z665"/>
      <c s="30" r="AA665"/>
      <c s="30" r="AB665"/>
      <c s="30" r="AC665"/>
      <c s="30" r="AD665"/>
      <c s="30" r="AE665"/>
      <c s="10" r="AF665"/>
      <c s="10" r="AG665"/>
      <c s="10" r="AH665"/>
      <c s="10" r="AI665"/>
      <c s="10" r="AJ665"/>
      <c s="10" r="AK665"/>
      <c s="30" r="AL665"/>
    </row>
    <row r="666">
      <c s="30" r="A666"/>
      <c s="30" r="B666"/>
      <c s="30" r="C666"/>
      <c s="30" r="D666"/>
      <c s="16" r="E666"/>
      <c s="16" r="F666"/>
      <c s="16" r="G666"/>
      <c s="16" r="H666"/>
      <c s="16" r="I666"/>
      <c s="16" r="J666"/>
      <c s="16" r="K666"/>
      <c s="80" r="L666"/>
      <c s="79" r="M666"/>
      <c s="79" r="N666"/>
      <c s="79" r="O666"/>
      <c s="79" r="P666"/>
      <c s="17" r="Q666"/>
      <c s="17" r="R666"/>
      <c s="7" r="S666"/>
      <c s="7" r="T666"/>
      <c s="7" r="U666"/>
      <c s="7" r="V666"/>
      <c s="30" r="W666"/>
      <c s="30" r="X666"/>
      <c s="30" r="Y666"/>
      <c s="30" r="Z666"/>
      <c s="30" r="AA666"/>
      <c s="30" r="AB666"/>
      <c s="30" r="AC666"/>
      <c s="30" r="AD666"/>
      <c s="30" r="AE666"/>
      <c s="10" r="AF666"/>
      <c s="10" r="AG666"/>
      <c s="10" r="AH666"/>
      <c s="10" r="AI666"/>
      <c s="10" r="AJ666"/>
      <c s="10" r="AK666"/>
      <c s="30" r="AL666"/>
    </row>
    <row r="667">
      <c s="30" r="A667"/>
      <c s="30" r="B667"/>
      <c s="30" r="C667"/>
      <c s="30" r="D667"/>
      <c s="16" r="E667"/>
      <c s="16" r="F667"/>
      <c s="16" r="G667"/>
      <c s="16" r="H667"/>
      <c s="16" r="I667"/>
      <c s="16" r="J667"/>
      <c s="16" r="K667"/>
      <c s="80" r="L667"/>
      <c s="79" r="M667"/>
      <c s="79" r="N667"/>
      <c s="79" r="O667"/>
      <c s="79" r="P667"/>
      <c s="17" r="Q667"/>
      <c s="17" r="R667"/>
      <c s="7" r="S667"/>
      <c s="7" r="T667"/>
      <c s="7" r="U667"/>
      <c s="7" r="V667"/>
      <c s="30" r="W667"/>
      <c s="30" r="X667"/>
      <c s="30" r="Y667"/>
      <c s="30" r="Z667"/>
      <c s="30" r="AA667"/>
      <c s="30" r="AB667"/>
      <c s="30" r="AC667"/>
      <c s="30" r="AD667"/>
      <c s="30" r="AE667"/>
      <c s="10" r="AF667"/>
      <c s="10" r="AG667"/>
      <c s="10" r="AH667"/>
      <c s="10" r="AI667"/>
      <c s="10" r="AJ667"/>
      <c s="10" r="AK667"/>
      <c s="30" r="AL667"/>
    </row>
    <row r="668">
      <c s="30" r="A668"/>
      <c s="30" r="B668"/>
      <c s="30" r="C668"/>
      <c s="30" r="D668"/>
      <c s="16" r="E668"/>
      <c s="16" r="F668"/>
      <c s="16" r="G668"/>
      <c s="16" r="H668"/>
      <c s="16" r="I668"/>
      <c s="16" r="J668"/>
      <c s="16" r="K668"/>
      <c s="80" r="L668"/>
      <c s="79" r="M668"/>
      <c s="79" r="N668"/>
      <c s="79" r="O668"/>
      <c s="79" r="P668"/>
      <c s="17" r="Q668"/>
      <c s="17" r="R668"/>
      <c s="7" r="S668"/>
      <c s="7" r="T668"/>
      <c s="7" r="U668"/>
      <c s="7" r="V668"/>
      <c s="30" r="W668"/>
      <c s="30" r="X668"/>
      <c s="30" r="Y668"/>
      <c s="30" r="Z668"/>
      <c s="30" r="AA668"/>
      <c s="30" r="AB668"/>
      <c s="30" r="AC668"/>
      <c s="30" r="AD668"/>
      <c s="30" r="AE668"/>
      <c s="10" r="AF668"/>
      <c s="10" r="AG668"/>
      <c s="10" r="AH668"/>
      <c s="10" r="AI668"/>
      <c s="10" r="AJ668"/>
      <c s="10" r="AK668"/>
      <c s="30" r="AL668"/>
    </row>
    <row r="669">
      <c s="30" r="A669"/>
      <c s="30" r="B669"/>
      <c s="30" r="C669"/>
      <c s="30" r="D669"/>
      <c s="16" r="E669"/>
      <c s="16" r="F669"/>
      <c s="16" r="G669"/>
      <c s="16" r="H669"/>
      <c s="16" r="I669"/>
      <c s="16" r="J669"/>
      <c s="16" r="K669"/>
      <c s="80" r="L669"/>
      <c s="79" r="M669"/>
      <c s="79" r="N669"/>
      <c s="79" r="O669"/>
      <c s="79" r="P669"/>
      <c s="17" r="Q669"/>
      <c s="17" r="R669"/>
      <c s="7" r="S669"/>
      <c s="7" r="T669"/>
      <c s="7" r="U669"/>
      <c s="7" r="V669"/>
      <c s="30" r="W669"/>
      <c s="30" r="X669"/>
      <c s="30" r="Y669"/>
      <c s="30" r="Z669"/>
      <c s="30" r="AA669"/>
      <c s="30" r="AB669"/>
      <c s="30" r="AC669"/>
      <c s="30" r="AD669"/>
      <c s="30" r="AE669"/>
      <c s="10" r="AF669"/>
      <c s="10" r="AG669"/>
      <c s="10" r="AH669"/>
      <c s="10" r="AI669"/>
      <c s="10" r="AJ669"/>
      <c s="10" r="AK669"/>
      <c s="30" r="AL669"/>
    </row>
    <row r="670">
      <c s="30" r="A670"/>
      <c s="30" r="B670"/>
      <c s="30" r="C670"/>
      <c s="30" r="D670"/>
      <c s="16" r="E670"/>
      <c s="16" r="F670"/>
      <c s="16" r="G670"/>
      <c s="16" r="H670"/>
      <c s="16" r="I670"/>
      <c s="16" r="J670"/>
      <c s="16" r="K670"/>
      <c s="80" r="L670"/>
      <c s="79" r="M670"/>
      <c s="79" r="N670"/>
      <c s="79" r="O670"/>
      <c s="79" r="P670"/>
      <c s="17" r="Q670"/>
      <c s="17" r="R670"/>
      <c s="7" r="S670"/>
      <c s="7" r="T670"/>
      <c s="7" r="U670"/>
      <c s="7" r="V670"/>
      <c s="30" r="W670"/>
      <c s="30" r="X670"/>
      <c s="30" r="Y670"/>
      <c s="30" r="Z670"/>
      <c s="30" r="AA670"/>
      <c s="30" r="AB670"/>
      <c s="30" r="AC670"/>
      <c s="30" r="AD670"/>
      <c s="30" r="AE670"/>
      <c s="10" r="AF670"/>
      <c s="10" r="AG670"/>
      <c s="10" r="AH670"/>
      <c s="10" r="AI670"/>
      <c s="10" r="AJ670"/>
      <c s="10" r="AK670"/>
      <c s="30" r="AL670"/>
    </row>
    <row r="671">
      <c s="30" r="A671"/>
      <c s="30" r="B671"/>
      <c s="30" r="C671"/>
      <c s="30" r="D671"/>
      <c s="16" r="E671"/>
      <c s="16" r="F671"/>
      <c s="16" r="G671"/>
      <c s="16" r="H671"/>
      <c s="16" r="I671"/>
      <c s="16" r="J671"/>
      <c s="16" r="K671"/>
      <c s="80" r="L671"/>
      <c s="79" r="M671"/>
      <c s="79" r="N671"/>
      <c s="79" r="O671"/>
      <c s="79" r="P671"/>
      <c s="17" r="Q671"/>
      <c s="17" r="R671"/>
      <c s="7" r="S671"/>
      <c s="7" r="T671"/>
      <c s="7" r="U671"/>
      <c s="7" r="V671"/>
      <c s="30" r="W671"/>
      <c s="30" r="X671"/>
      <c s="30" r="Y671"/>
      <c s="30" r="Z671"/>
      <c s="30" r="AA671"/>
      <c s="30" r="AB671"/>
      <c s="30" r="AC671"/>
      <c s="30" r="AD671"/>
      <c s="30" r="AE671"/>
      <c s="10" r="AF671"/>
      <c s="10" r="AG671"/>
      <c s="10" r="AH671"/>
      <c s="10" r="AI671"/>
      <c s="10" r="AJ671"/>
      <c s="10" r="AK671"/>
      <c s="30" r="AL671"/>
    </row>
    <row r="672">
      <c s="30" r="A672"/>
      <c s="30" r="B672"/>
      <c s="30" r="C672"/>
      <c s="30" r="D672"/>
      <c s="16" r="E672"/>
      <c s="16" r="F672"/>
      <c s="16" r="G672"/>
      <c s="16" r="H672"/>
      <c s="16" r="I672"/>
      <c s="16" r="J672"/>
      <c s="16" r="K672"/>
      <c s="80" r="L672"/>
      <c s="79" r="M672"/>
      <c s="79" r="N672"/>
      <c s="79" r="O672"/>
      <c s="79" r="P672"/>
      <c s="17" r="Q672"/>
      <c s="17" r="R672"/>
      <c s="7" r="S672"/>
      <c s="7" r="T672"/>
      <c s="7" r="U672"/>
      <c s="7" r="V672"/>
      <c s="30" r="W672"/>
      <c s="30" r="X672"/>
      <c s="30" r="Y672"/>
      <c s="30" r="Z672"/>
      <c s="30" r="AA672"/>
      <c s="30" r="AB672"/>
      <c s="30" r="AC672"/>
      <c s="30" r="AD672"/>
      <c s="30" r="AE672"/>
      <c s="10" r="AF672"/>
      <c s="10" r="AG672"/>
      <c s="10" r="AH672"/>
      <c s="10" r="AI672"/>
      <c s="10" r="AJ672"/>
      <c s="10" r="AK672"/>
      <c s="30" r="AL672"/>
    </row>
    <row r="673">
      <c s="30" r="A673"/>
      <c s="30" r="B673"/>
      <c s="30" r="C673"/>
      <c s="30" r="D673"/>
      <c s="16" r="E673"/>
      <c s="16" r="F673"/>
      <c s="16" r="G673"/>
      <c s="16" r="H673"/>
      <c s="16" r="I673"/>
      <c s="16" r="J673"/>
      <c s="16" r="K673"/>
      <c s="80" r="L673"/>
      <c s="79" r="M673"/>
      <c s="79" r="N673"/>
      <c s="79" r="O673"/>
      <c s="79" r="P673"/>
      <c s="17" r="Q673"/>
      <c s="17" r="R673"/>
      <c s="7" r="S673"/>
      <c s="7" r="T673"/>
      <c s="7" r="U673"/>
      <c s="7" r="V673"/>
      <c s="30" r="W673"/>
      <c s="30" r="X673"/>
      <c s="30" r="Y673"/>
      <c s="30" r="Z673"/>
      <c s="30" r="AA673"/>
      <c s="30" r="AB673"/>
      <c s="30" r="AC673"/>
      <c s="30" r="AD673"/>
      <c s="30" r="AE673"/>
      <c s="10" r="AF673"/>
      <c s="10" r="AG673"/>
      <c s="10" r="AH673"/>
      <c s="10" r="AI673"/>
      <c s="10" r="AJ673"/>
      <c s="10" r="AK673"/>
      <c s="30" r="AL673"/>
    </row>
    <row r="674">
      <c s="30" r="A674"/>
      <c s="30" r="B674"/>
      <c s="30" r="C674"/>
      <c s="30" r="D674"/>
      <c s="16" r="E674"/>
      <c s="16" r="F674"/>
      <c s="16" r="G674"/>
      <c s="16" r="H674"/>
      <c s="16" r="I674"/>
      <c s="16" r="J674"/>
      <c s="16" r="K674"/>
      <c s="80" r="L674"/>
      <c s="79" r="M674"/>
      <c s="79" r="N674"/>
      <c s="79" r="O674"/>
      <c s="79" r="P674"/>
      <c s="17" r="Q674"/>
      <c s="17" r="R674"/>
      <c s="7" r="S674"/>
      <c s="7" r="T674"/>
      <c s="7" r="U674"/>
      <c s="7" r="V674"/>
      <c s="30" r="W674"/>
      <c s="30" r="X674"/>
      <c s="30" r="Y674"/>
      <c s="30" r="Z674"/>
      <c s="30" r="AA674"/>
      <c s="30" r="AB674"/>
      <c s="30" r="AC674"/>
      <c s="30" r="AD674"/>
      <c s="30" r="AE674"/>
      <c s="10" r="AF674"/>
      <c s="10" r="AG674"/>
      <c s="10" r="AH674"/>
      <c s="10" r="AI674"/>
      <c s="10" r="AJ674"/>
      <c s="10" r="AK674"/>
      <c s="30" r="AL674"/>
    </row>
    <row r="675">
      <c s="30" r="A675"/>
      <c s="30" r="B675"/>
      <c s="30" r="C675"/>
      <c s="30" r="D675"/>
      <c s="16" r="E675"/>
      <c s="16" r="F675"/>
      <c s="16" r="G675"/>
      <c s="16" r="H675"/>
      <c s="16" r="I675"/>
      <c s="16" r="J675"/>
      <c s="16" r="K675"/>
      <c s="80" r="L675"/>
      <c s="79" r="M675"/>
      <c s="79" r="N675"/>
      <c s="79" r="O675"/>
      <c s="79" r="P675"/>
      <c s="17" r="Q675"/>
      <c s="17" r="R675"/>
      <c s="7" r="S675"/>
      <c s="7" r="T675"/>
      <c s="7" r="U675"/>
      <c s="7" r="V675"/>
      <c s="30" r="W675"/>
      <c s="30" r="X675"/>
      <c s="30" r="Y675"/>
      <c s="30" r="Z675"/>
      <c s="30" r="AA675"/>
      <c s="30" r="AB675"/>
      <c s="30" r="AC675"/>
      <c s="30" r="AD675"/>
      <c s="30" r="AE675"/>
      <c s="10" r="AF675"/>
      <c s="10" r="AG675"/>
      <c s="10" r="AH675"/>
      <c s="10" r="AI675"/>
      <c s="10" r="AJ675"/>
      <c s="10" r="AK675"/>
      <c s="30" r="AL675"/>
    </row>
    <row r="676">
      <c s="30" r="A676"/>
      <c s="30" r="B676"/>
      <c s="30" r="C676"/>
      <c s="30" r="D676"/>
      <c s="16" r="E676"/>
      <c s="16" r="F676"/>
      <c s="16" r="G676"/>
      <c s="16" r="H676"/>
      <c s="16" r="I676"/>
      <c s="16" r="J676"/>
      <c s="16" r="K676"/>
      <c s="80" r="L676"/>
      <c s="79" r="M676"/>
      <c s="79" r="N676"/>
      <c s="79" r="O676"/>
      <c s="79" r="P676"/>
      <c s="17" r="Q676"/>
      <c s="17" r="R676"/>
      <c s="7" r="S676"/>
      <c s="7" r="T676"/>
      <c s="7" r="U676"/>
      <c s="7" r="V676"/>
      <c s="30" r="W676"/>
      <c s="30" r="X676"/>
      <c s="30" r="Y676"/>
      <c s="30" r="Z676"/>
      <c s="30" r="AA676"/>
      <c s="30" r="AB676"/>
      <c s="30" r="AC676"/>
      <c s="30" r="AD676"/>
      <c s="30" r="AE676"/>
      <c s="10" r="AF676"/>
      <c s="10" r="AG676"/>
      <c s="10" r="AH676"/>
      <c s="10" r="AI676"/>
      <c s="10" r="AJ676"/>
      <c s="10" r="AK676"/>
      <c s="30" r="AL676"/>
    </row>
    <row r="677">
      <c s="30" r="A677"/>
      <c s="30" r="B677"/>
      <c s="30" r="C677"/>
      <c s="30" r="D677"/>
      <c s="16" r="E677"/>
      <c s="16" r="F677"/>
      <c s="16" r="G677"/>
      <c s="16" r="H677"/>
      <c s="16" r="I677"/>
      <c s="16" r="J677"/>
      <c s="16" r="K677"/>
      <c s="80" r="L677"/>
      <c s="79" r="M677"/>
      <c s="79" r="N677"/>
      <c s="79" r="O677"/>
      <c s="79" r="P677"/>
      <c s="17" r="Q677"/>
      <c s="17" r="R677"/>
      <c s="7" r="S677"/>
      <c s="7" r="T677"/>
      <c s="7" r="U677"/>
      <c s="7" r="V677"/>
      <c s="30" r="W677"/>
      <c s="30" r="X677"/>
      <c s="30" r="Y677"/>
      <c s="30" r="Z677"/>
      <c s="30" r="AA677"/>
      <c s="30" r="AB677"/>
      <c s="30" r="AC677"/>
      <c s="30" r="AD677"/>
      <c s="30" r="AE677"/>
      <c s="10" r="AF677"/>
      <c s="10" r="AG677"/>
      <c s="10" r="AH677"/>
      <c s="10" r="AI677"/>
      <c s="10" r="AJ677"/>
      <c s="10" r="AK677"/>
      <c s="30" r="AL677"/>
    </row>
    <row r="678">
      <c s="30" r="A678"/>
      <c s="30" r="B678"/>
      <c s="30" r="C678"/>
      <c s="30" r="D678"/>
      <c s="16" r="E678"/>
      <c s="16" r="F678"/>
      <c s="16" r="G678"/>
      <c s="16" r="H678"/>
      <c s="16" r="I678"/>
      <c s="16" r="J678"/>
      <c s="16" r="K678"/>
      <c s="80" r="L678"/>
      <c s="79" r="M678"/>
      <c s="79" r="N678"/>
      <c s="79" r="O678"/>
      <c s="79" r="P678"/>
      <c s="17" r="Q678"/>
      <c s="17" r="R678"/>
      <c s="7" r="S678"/>
      <c s="7" r="T678"/>
      <c s="7" r="U678"/>
      <c s="7" r="V678"/>
      <c s="30" r="W678"/>
      <c s="30" r="X678"/>
      <c s="30" r="Y678"/>
      <c s="30" r="Z678"/>
      <c s="30" r="AA678"/>
      <c s="30" r="AB678"/>
      <c s="30" r="AC678"/>
      <c s="30" r="AD678"/>
      <c s="30" r="AE678"/>
      <c s="10" r="AF678"/>
      <c s="10" r="AG678"/>
      <c s="10" r="AH678"/>
      <c s="10" r="AI678"/>
      <c s="10" r="AJ678"/>
      <c s="10" r="AK678"/>
      <c s="30" r="AL678"/>
    </row>
    <row r="679">
      <c s="30" r="A679"/>
      <c s="30" r="B679"/>
      <c s="30" r="C679"/>
      <c s="30" r="D679"/>
      <c s="16" r="E679"/>
      <c s="16" r="F679"/>
      <c s="16" r="G679"/>
      <c s="16" r="H679"/>
      <c s="16" r="I679"/>
      <c s="16" r="J679"/>
      <c s="16" r="K679"/>
      <c s="80" r="L679"/>
      <c s="79" r="M679"/>
      <c s="79" r="N679"/>
      <c s="79" r="O679"/>
      <c s="79" r="P679"/>
      <c s="17" r="Q679"/>
      <c s="17" r="R679"/>
      <c s="7" r="S679"/>
      <c s="7" r="T679"/>
      <c s="7" r="U679"/>
      <c s="7" r="V679"/>
      <c s="30" r="W679"/>
      <c s="30" r="X679"/>
      <c s="30" r="Y679"/>
      <c s="30" r="Z679"/>
      <c s="30" r="AA679"/>
      <c s="30" r="AB679"/>
      <c s="30" r="AC679"/>
      <c s="30" r="AD679"/>
      <c s="30" r="AE679"/>
      <c s="10" r="AF679"/>
      <c s="10" r="AG679"/>
      <c s="10" r="AH679"/>
      <c s="10" r="AI679"/>
      <c s="10" r="AJ679"/>
      <c s="10" r="AK679"/>
      <c s="30" r="AL679"/>
    </row>
    <row r="680">
      <c s="30" r="A680"/>
      <c s="30" r="B680"/>
      <c s="30" r="C680"/>
      <c s="30" r="D680"/>
      <c s="16" r="E680"/>
      <c s="16" r="F680"/>
      <c s="16" r="G680"/>
      <c s="16" r="H680"/>
      <c s="16" r="I680"/>
      <c s="16" r="J680"/>
      <c s="16" r="K680"/>
      <c s="80" r="L680"/>
      <c s="79" r="M680"/>
      <c s="79" r="N680"/>
      <c s="79" r="O680"/>
      <c s="79" r="P680"/>
      <c s="17" r="Q680"/>
      <c s="17" r="R680"/>
      <c s="7" r="S680"/>
      <c s="7" r="T680"/>
      <c s="7" r="U680"/>
      <c s="7" r="V680"/>
      <c s="30" r="W680"/>
      <c s="30" r="X680"/>
      <c s="30" r="Y680"/>
      <c s="30" r="Z680"/>
      <c s="30" r="AA680"/>
      <c s="30" r="AB680"/>
      <c s="30" r="AC680"/>
      <c s="30" r="AD680"/>
      <c s="30" r="AE680"/>
      <c s="10" r="AF680"/>
      <c s="10" r="AG680"/>
      <c s="10" r="AH680"/>
      <c s="10" r="AI680"/>
      <c s="10" r="AJ680"/>
      <c s="10" r="AK680"/>
      <c s="30" r="AL680"/>
    </row>
    <row r="681">
      <c s="30" r="A681"/>
      <c s="30" r="B681"/>
      <c s="30" r="C681"/>
      <c s="30" r="D681"/>
      <c s="16" r="E681"/>
      <c s="16" r="F681"/>
      <c s="16" r="G681"/>
      <c s="16" r="H681"/>
      <c s="16" r="I681"/>
      <c s="16" r="J681"/>
      <c s="16" r="K681"/>
      <c s="80" r="L681"/>
      <c s="79" r="M681"/>
      <c s="79" r="N681"/>
      <c s="79" r="O681"/>
      <c s="79" r="P681"/>
      <c s="17" r="Q681"/>
      <c s="17" r="R681"/>
      <c s="7" r="S681"/>
      <c s="7" r="T681"/>
      <c s="7" r="U681"/>
      <c s="7" r="V681"/>
      <c s="30" r="W681"/>
      <c s="30" r="X681"/>
      <c s="30" r="Y681"/>
      <c s="30" r="Z681"/>
      <c s="30" r="AA681"/>
      <c s="30" r="AB681"/>
      <c s="30" r="AC681"/>
      <c s="30" r="AD681"/>
      <c s="30" r="AE681"/>
      <c s="10" r="AF681"/>
      <c s="10" r="AG681"/>
      <c s="10" r="AH681"/>
      <c s="10" r="AI681"/>
      <c s="10" r="AJ681"/>
      <c s="10" r="AK681"/>
      <c s="30" r="AL681"/>
    </row>
    <row r="682">
      <c s="30" r="A682"/>
      <c s="30" r="B682"/>
      <c s="30" r="C682"/>
      <c s="30" r="D682"/>
      <c s="16" r="E682"/>
      <c s="16" r="F682"/>
      <c s="16" r="G682"/>
      <c s="16" r="H682"/>
      <c s="16" r="I682"/>
      <c s="16" r="J682"/>
      <c s="16" r="K682"/>
      <c s="80" r="L682"/>
      <c s="79" r="M682"/>
      <c s="79" r="N682"/>
      <c s="79" r="O682"/>
      <c s="79" r="P682"/>
      <c s="17" r="Q682"/>
      <c s="17" r="R682"/>
      <c s="7" r="S682"/>
      <c s="7" r="T682"/>
      <c s="7" r="U682"/>
      <c s="7" r="V682"/>
      <c s="30" r="W682"/>
      <c s="30" r="X682"/>
      <c s="30" r="Y682"/>
      <c s="30" r="Z682"/>
      <c s="30" r="AA682"/>
      <c s="30" r="AB682"/>
      <c s="30" r="AC682"/>
      <c s="30" r="AD682"/>
      <c s="30" r="AE682"/>
      <c s="10" r="AF682"/>
      <c s="10" r="AG682"/>
      <c s="10" r="AH682"/>
      <c s="10" r="AI682"/>
      <c s="10" r="AJ682"/>
      <c s="10" r="AK682"/>
      <c s="30" r="AL682"/>
    </row>
    <row r="683">
      <c s="30" r="A683"/>
      <c s="30" r="B683"/>
      <c s="30" r="C683"/>
      <c s="30" r="D683"/>
      <c s="16" r="E683"/>
      <c s="16" r="F683"/>
      <c s="16" r="G683"/>
      <c s="16" r="H683"/>
      <c s="16" r="I683"/>
      <c s="16" r="J683"/>
      <c s="16" r="K683"/>
      <c s="80" r="L683"/>
      <c s="79" r="M683"/>
      <c s="79" r="N683"/>
      <c s="79" r="O683"/>
      <c s="79" r="P683"/>
      <c s="17" r="Q683"/>
      <c s="17" r="R683"/>
      <c s="7" r="S683"/>
      <c s="7" r="T683"/>
      <c s="7" r="U683"/>
      <c s="7" r="V683"/>
      <c s="30" r="W683"/>
      <c s="30" r="X683"/>
      <c s="30" r="Y683"/>
      <c s="30" r="Z683"/>
      <c s="30" r="AA683"/>
      <c s="30" r="AB683"/>
      <c s="30" r="AC683"/>
      <c s="30" r="AD683"/>
      <c s="30" r="AE683"/>
      <c s="10" r="AF683"/>
      <c s="10" r="AG683"/>
      <c s="10" r="AH683"/>
      <c s="10" r="AI683"/>
      <c s="10" r="AJ683"/>
      <c s="10" r="AK683"/>
      <c s="30" r="AL683"/>
    </row>
    <row r="684">
      <c s="30" r="A684"/>
      <c s="30" r="B684"/>
      <c s="30" r="C684"/>
      <c s="30" r="D684"/>
      <c s="16" r="E684"/>
      <c s="16" r="F684"/>
      <c s="16" r="G684"/>
      <c s="16" r="H684"/>
      <c s="16" r="I684"/>
      <c s="16" r="J684"/>
      <c s="16" r="K684"/>
      <c s="80" r="L684"/>
      <c s="79" r="M684"/>
      <c s="79" r="N684"/>
      <c s="79" r="O684"/>
      <c s="79" r="P684"/>
      <c s="17" r="Q684"/>
      <c s="17" r="R684"/>
      <c s="7" r="S684"/>
      <c s="7" r="T684"/>
      <c s="7" r="U684"/>
      <c s="7" r="V684"/>
      <c s="30" r="W684"/>
      <c s="30" r="X684"/>
      <c s="30" r="Y684"/>
      <c s="30" r="Z684"/>
      <c s="30" r="AA684"/>
      <c s="30" r="AB684"/>
      <c s="30" r="AC684"/>
      <c s="30" r="AD684"/>
      <c s="30" r="AE684"/>
      <c s="10" r="AF684"/>
      <c s="10" r="AG684"/>
      <c s="10" r="AH684"/>
      <c s="10" r="AI684"/>
      <c s="10" r="AJ684"/>
      <c s="10" r="AK684"/>
      <c s="30" r="AL684"/>
    </row>
    <row r="685">
      <c s="30" r="A685"/>
      <c s="30" r="B685"/>
      <c s="30" r="C685"/>
      <c s="30" r="D685"/>
      <c s="16" r="E685"/>
      <c s="16" r="F685"/>
      <c s="16" r="G685"/>
      <c s="16" r="H685"/>
      <c s="16" r="I685"/>
      <c s="16" r="J685"/>
      <c s="16" r="K685"/>
      <c s="80" r="L685"/>
      <c s="79" r="M685"/>
      <c s="79" r="N685"/>
      <c s="79" r="O685"/>
      <c s="79" r="P685"/>
      <c s="17" r="Q685"/>
      <c s="17" r="R685"/>
      <c s="7" r="S685"/>
      <c s="7" r="T685"/>
      <c s="7" r="U685"/>
      <c s="7" r="V685"/>
      <c s="30" r="W685"/>
      <c s="30" r="X685"/>
      <c s="30" r="Y685"/>
      <c s="30" r="Z685"/>
      <c s="30" r="AA685"/>
      <c s="30" r="AB685"/>
      <c s="30" r="AC685"/>
      <c s="30" r="AD685"/>
      <c s="30" r="AE685"/>
      <c s="10" r="AF685"/>
      <c s="10" r="AG685"/>
      <c s="10" r="AH685"/>
      <c s="10" r="AI685"/>
      <c s="10" r="AJ685"/>
      <c s="10" r="AK685"/>
      <c s="30" r="AL685"/>
    </row>
    <row r="686">
      <c s="30" r="A686"/>
      <c s="30" r="B686"/>
      <c s="30" r="C686"/>
      <c s="30" r="D686"/>
      <c s="16" r="E686"/>
      <c s="16" r="F686"/>
      <c s="16" r="G686"/>
      <c s="16" r="H686"/>
      <c s="16" r="I686"/>
      <c s="16" r="J686"/>
      <c s="16" r="K686"/>
      <c s="80" r="L686"/>
      <c s="79" r="M686"/>
      <c s="79" r="N686"/>
      <c s="79" r="O686"/>
      <c s="79" r="P686"/>
      <c s="17" r="Q686"/>
      <c s="17" r="R686"/>
      <c s="7" r="S686"/>
      <c s="7" r="T686"/>
      <c s="7" r="U686"/>
      <c s="7" r="V686"/>
      <c s="30" r="W686"/>
      <c s="30" r="X686"/>
      <c s="30" r="Y686"/>
      <c s="30" r="Z686"/>
      <c s="30" r="AA686"/>
      <c s="30" r="AB686"/>
      <c s="30" r="AC686"/>
      <c s="30" r="AD686"/>
      <c s="30" r="AE686"/>
      <c s="10" r="AF686"/>
      <c s="10" r="AG686"/>
      <c s="10" r="AH686"/>
      <c s="10" r="AI686"/>
      <c s="10" r="AJ686"/>
      <c s="10" r="AK686"/>
      <c s="30" r="AL686"/>
    </row>
    <row r="687">
      <c s="30" r="A687"/>
      <c s="30" r="B687"/>
      <c s="30" r="C687"/>
      <c s="30" r="D687"/>
      <c s="16" r="E687"/>
      <c s="16" r="F687"/>
      <c s="16" r="G687"/>
      <c s="16" r="H687"/>
      <c s="16" r="I687"/>
      <c s="16" r="J687"/>
      <c s="16" r="K687"/>
      <c s="80" r="L687"/>
      <c s="79" r="M687"/>
      <c s="79" r="N687"/>
      <c s="79" r="O687"/>
      <c s="79" r="P687"/>
      <c s="17" r="Q687"/>
      <c s="17" r="R687"/>
      <c s="7" r="S687"/>
      <c s="7" r="T687"/>
      <c s="7" r="U687"/>
      <c s="7" r="V687"/>
      <c s="30" r="W687"/>
      <c s="30" r="X687"/>
      <c s="30" r="Y687"/>
      <c s="30" r="Z687"/>
      <c s="30" r="AA687"/>
      <c s="30" r="AB687"/>
      <c s="30" r="AC687"/>
      <c s="30" r="AD687"/>
      <c s="30" r="AE687"/>
      <c s="10" r="AF687"/>
      <c s="10" r="AG687"/>
      <c s="10" r="AH687"/>
      <c s="10" r="AI687"/>
      <c s="10" r="AJ687"/>
      <c s="10" r="AK687"/>
      <c s="30" r="AL687"/>
    </row>
    <row r="688">
      <c s="30" r="A688"/>
      <c s="30" r="B688"/>
      <c s="30" r="C688"/>
      <c s="30" r="D688"/>
      <c s="16" r="E688"/>
      <c s="16" r="F688"/>
      <c s="16" r="G688"/>
      <c s="16" r="H688"/>
      <c s="16" r="I688"/>
      <c s="16" r="J688"/>
      <c s="16" r="K688"/>
      <c s="80" r="L688"/>
      <c s="79" r="M688"/>
      <c s="79" r="N688"/>
      <c s="79" r="O688"/>
      <c s="79" r="P688"/>
      <c s="17" r="Q688"/>
      <c s="17" r="R688"/>
      <c s="7" r="S688"/>
      <c s="7" r="T688"/>
      <c s="7" r="U688"/>
      <c s="7" r="V688"/>
      <c s="30" r="W688"/>
      <c s="30" r="X688"/>
      <c s="30" r="Y688"/>
      <c s="30" r="Z688"/>
      <c s="30" r="AA688"/>
      <c s="30" r="AB688"/>
      <c s="30" r="AC688"/>
      <c s="30" r="AD688"/>
      <c s="30" r="AE688"/>
      <c s="10" r="AF688"/>
      <c s="10" r="AG688"/>
      <c s="10" r="AH688"/>
      <c s="10" r="AI688"/>
      <c s="10" r="AJ688"/>
      <c s="10" r="AK688"/>
      <c s="30" r="AL688"/>
    </row>
    <row r="689">
      <c s="30" r="A689"/>
      <c s="30" r="B689"/>
      <c s="30" r="C689"/>
      <c s="30" r="D689"/>
      <c s="16" r="E689"/>
      <c s="16" r="F689"/>
      <c s="16" r="G689"/>
      <c s="16" r="H689"/>
      <c s="16" r="I689"/>
      <c s="16" r="J689"/>
      <c s="16" r="K689"/>
      <c s="80" r="L689"/>
      <c s="79" r="M689"/>
      <c s="79" r="N689"/>
      <c s="79" r="O689"/>
      <c s="79" r="P689"/>
      <c s="17" r="Q689"/>
      <c s="17" r="R689"/>
      <c s="7" r="S689"/>
      <c s="7" r="T689"/>
      <c s="7" r="U689"/>
      <c s="7" r="V689"/>
      <c s="30" r="W689"/>
      <c s="30" r="X689"/>
      <c s="30" r="Y689"/>
      <c s="30" r="Z689"/>
      <c s="30" r="AA689"/>
      <c s="30" r="AB689"/>
      <c s="30" r="AC689"/>
      <c s="30" r="AD689"/>
      <c s="30" r="AE689"/>
      <c s="10" r="AF689"/>
      <c s="10" r="AG689"/>
      <c s="10" r="AH689"/>
      <c s="10" r="AI689"/>
      <c s="10" r="AJ689"/>
      <c s="10" r="AK689"/>
      <c s="30" r="AL689"/>
    </row>
    <row r="690">
      <c s="30" r="A690"/>
      <c s="30" r="B690"/>
      <c s="30" r="C690"/>
      <c s="30" r="D690"/>
      <c s="16" r="E690"/>
      <c s="16" r="F690"/>
      <c s="16" r="G690"/>
      <c s="16" r="H690"/>
      <c s="16" r="I690"/>
      <c s="16" r="J690"/>
      <c s="16" r="K690"/>
      <c s="80" r="L690"/>
      <c s="79" r="M690"/>
      <c s="79" r="N690"/>
      <c s="79" r="O690"/>
      <c s="79" r="P690"/>
      <c s="17" r="Q690"/>
      <c s="17" r="R690"/>
      <c s="7" r="S690"/>
      <c s="7" r="T690"/>
      <c s="7" r="U690"/>
      <c s="7" r="V690"/>
      <c s="30" r="W690"/>
      <c s="30" r="X690"/>
      <c s="30" r="Y690"/>
      <c s="30" r="Z690"/>
      <c s="30" r="AA690"/>
      <c s="30" r="AB690"/>
      <c s="30" r="AC690"/>
      <c s="30" r="AD690"/>
      <c s="30" r="AE690"/>
      <c s="10" r="AF690"/>
      <c s="10" r="AG690"/>
      <c s="10" r="AH690"/>
      <c s="10" r="AI690"/>
      <c s="10" r="AJ690"/>
      <c s="10" r="AK690"/>
      <c s="30" r="AL690"/>
    </row>
    <row r="691">
      <c s="30" r="A691"/>
      <c s="30" r="B691"/>
      <c s="30" r="C691"/>
      <c s="30" r="D691"/>
      <c s="16" r="E691"/>
      <c s="16" r="F691"/>
      <c s="16" r="G691"/>
      <c s="16" r="H691"/>
      <c s="16" r="I691"/>
      <c s="16" r="J691"/>
      <c s="16" r="K691"/>
      <c s="80" r="L691"/>
      <c s="79" r="M691"/>
      <c s="79" r="N691"/>
      <c s="79" r="O691"/>
      <c s="79" r="P691"/>
      <c s="17" r="Q691"/>
      <c s="17" r="R691"/>
      <c s="7" r="S691"/>
      <c s="7" r="T691"/>
      <c s="7" r="U691"/>
      <c s="7" r="V691"/>
      <c s="30" r="W691"/>
      <c s="30" r="X691"/>
      <c s="30" r="Y691"/>
      <c s="30" r="Z691"/>
      <c s="30" r="AA691"/>
      <c s="30" r="AB691"/>
      <c s="30" r="AC691"/>
      <c s="30" r="AD691"/>
      <c s="30" r="AE691"/>
      <c s="10" r="AF691"/>
      <c s="10" r="AG691"/>
      <c s="10" r="AH691"/>
      <c s="10" r="AI691"/>
      <c s="10" r="AJ691"/>
      <c s="10" r="AK691"/>
      <c s="30" r="AL691"/>
    </row>
    <row r="692">
      <c s="30" r="A692"/>
      <c s="30" r="B692"/>
      <c s="30" r="C692"/>
      <c s="30" r="D692"/>
      <c s="16" r="E692"/>
      <c s="16" r="F692"/>
      <c s="16" r="G692"/>
      <c s="16" r="H692"/>
      <c s="16" r="I692"/>
      <c s="16" r="J692"/>
      <c s="16" r="K692"/>
      <c s="80" r="L692"/>
      <c s="79" r="M692"/>
      <c s="79" r="N692"/>
      <c s="79" r="O692"/>
      <c s="79" r="P692"/>
      <c s="17" r="Q692"/>
      <c s="17" r="R692"/>
      <c s="7" r="S692"/>
      <c s="7" r="T692"/>
      <c s="7" r="U692"/>
      <c s="7" r="V692"/>
      <c s="30" r="W692"/>
      <c s="30" r="X692"/>
      <c s="30" r="Y692"/>
      <c s="30" r="Z692"/>
      <c s="30" r="AA692"/>
      <c s="30" r="AB692"/>
      <c s="30" r="AC692"/>
      <c s="30" r="AD692"/>
      <c s="30" r="AE692"/>
      <c s="10" r="AF692"/>
      <c s="10" r="AG692"/>
      <c s="10" r="AH692"/>
      <c s="10" r="AI692"/>
      <c s="10" r="AJ692"/>
      <c s="10" r="AK692"/>
      <c s="30" r="AL692"/>
    </row>
    <row r="693">
      <c s="30" r="A693"/>
      <c s="30" r="B693"/>
      <c s="30" r="C693"/>
      <c s="30" r="D693"/>
      <c s="16" r="E693"/>
      <c s="16" r="F693"/>
      <c s="16" r="G693"/>
      <c s="16" r="H693"/>
      <c s="16" r="I693"/>
      <c s="16" r="J693"/>
      <c s="16" r="K693"/>
      <c s="80" r="L693"/>
      <c s="79" r="M693"/>
      <c s="79" r="N693"/>
      <c s="79" r="O693"/>
      <c s="79" r="P693"/>
      <c s="17" r="Q693"/>
      <c s="17" r="R693"/>
      <c s="7" r="S693"/>
      <c s="7" r="T693"/>
      <c s="7" r="U693"/>
      <c s="7" r="V693"/>
      <c s="30" r="W693"/>
      <c s="30" r="X693"/>
      <c s="30" r="Y693"/>
      <c s="30" r="Z693"/>
      <c s="30" r="AA693"/>
      <c s="30" r="AB693"/>
      <c s="30" r="AC693"/>
      <c s="30" r="AD693"/>
      <c s="30" r="AE693"/>
      <c s="10" r="AF693"/>
      <c s="10" r="AG693"/>
      <c s="10" r="AH693"/>
      <c s="10" r="AI693"/>
      <c s="10" r="AJ693"/>
      <c s="10" r="AK693"/>
      <c s="30" r="AL693"/>
    </row>
    <row r="694">
      <c s="30" r="A694"/>
      <c s="30" r="B694"/>
      <c s="30" r="C694"/>
      <c s="30" r="D694"/>
      <c s="16" r="E694"/>
      <c s="16" r="F694"/>
      <c s="16" r="G694"/>
      <c s="16" r="H694"/>
      <c s="16" r="I694"/>
      <c s="16" r="J694"/>
      <c s="16" r="K694"/>
      <c s="80" r="L694"/>
      <c s="79" r="M694"/>
      <c s="79" r="N694"/>
      <c s="79" r="O694"/>
      <c s="79" r="P694"/>
      <c s="17" r="Q694"/>
      <c s="17" r="R694"/>
      <c s="7" r="S694"/>
      <c s="7" r="T694"/>
      <c s="7" r="U694"/>
      <c s="7" r="V694"/>
      <c s="30" r="W694"/>
      <c s="30" r="X694"/>
      <c s="30" r="Y694"/>
      <c s="30" r="Z694"/>
      <c s="30" r="AA694"/>
      <c s="30" r="AB694"/>
      <c s="30" r="AC694"/>
      <c s="30" r="AD694"/>
      <c s="30" r="AE694"/>
      <c s="10" r="AF694"/>
      <c s="10" r="AG694"/>
      <c s="10" r="AH694"/>
      <c s="10" r="AI694"/>
      <c s="10" r="AJ694"/>
      <c s="10" r="AK694"/>
      <c s="30" r="AL694"/>
    </row>
    <row r="695">
      <c s="30" r="A695"/>
      <c s="30" r="B695"/>
      <c s="30" r="C695"/>
      <c s="30" r="D695"/>
      <c s="16" r="E695"/>
      <c s="16" r="F695"/>
      <c s="16" r="G695"/>
      <c s="16" r="H695"/>
      <c s="16" r="I695"/>
      <c s="16" r="J695"/>
      <c s="16" r="K695"/>
      <c s="80" r="L695"/>
      <c s="79" r="M695"/>
      <c s="79" r="N695"/>
      <c s="79" r="O695"/>
      <c s="79" r="P695"/>
      <c s="17" r="Q695"/>
      <c s="17" r="R695"/>
      <c s="7" r="S695"/>
      <c s="7" r="T695"/>
      <c s="7" r="U695"/>
      <c s="7" r="V695"/>
      <c s="30" r="W695"/>
      <c s="30" r="X695"/>
      <c s="30" r="Y695"/>
      <c s="30" r="Z695"/>
      <c s="30" r="AA695"/>
      <c s="30" r="AB695"/>
      <c s="30" r="AC695"/>
      <c s="30" r="AD695"/>
      <c s="30" r="AE695"/>
      <c s="10" r="AF695"/>
      <c s="10" r="AG695"/>
      <c s="10" r="AH695"/>
      <c s="10" r="AI695"/>
      <c s="10" r="AJ695"/>
      <c s="10" r="AK695"/>
      <c s="30" r="AL695"/>
    </row>
    <row r="696">
      <c s="30" r="A696"/>
      <c s="30" r="B696"/>
      <c s="30" r="C696"/>
      <c s="30" r="D696"/>
      <c s="16" r="E696"/>
      <c s="16" r="F696"/>
      <c s="16" r="G696"/>
      <c s="16" r="H696"/>
      <c s="16" r="I696"/>
      <c s="16" r="J696"/>
      <c s="16" r="K696"/>
      <c s="80" r="L696"/>
      <c s="79" r="M696"/>
      <c s="79" r="N696"/>
      <c s="79" r="O696"/>
      <c s="79" r="P696"/>
      <c s="17" r="Q696"/>
      <c s="17" r="R696"/>
      <c s="7" r="S696"/>
      <c s="7" r="T696"/>
      <c s="7" r="U696"/>
      <c s="7" r="V696"/>
      <c s="30" r="W696"/>
      <c s="30" r="X696"/>
      <c s="30" r="Y696"/>
      <c s="30" r="Z696"/>
      <c s="30" r="AA696"/>
      <c s="30" r="AB696"/>
      <c s="30" r="AC696"/>
      <c s="30" r="AD696"/>
      <c s="30" r="AE696"/>
      <c s="10" r="AF696"/>
      <c s="10" r="AG696"/>
      <c s="10" r="AH696"/>
      <c s="10" r="AI696"/>
      <c s="10" r="AJ696"/>
      <c s="10" r="AK696"/>
      <c s="30" r="AL696"/>
    </row>
    <row r="697">
      <c s="30" r="A697"/>
      <c s="30" r="B697"/>
      <c s="30" r="C697"/>
      <c s="30" r="D697"/>
      <c s="16" r="E697"/>
      <c s="16" r="F697"/>
      <c s="16" r="G697"/>
      <c s="16" r="H697"/>
      <c s="16" r="I697"/>
      <c s="16" r="J697"/>
      <c s="16" r="K697"/>
      <c s="80" r="L697"/>
      <c s="79" r="M697"/>
      <c s="79" r="N697"/>
      <c s="79" r="O697"/>
      <c s="79" r="P697"/>
      <c s="17" r="Q697"/>
      <c s="17" r="R697"/>
      <c s="7" r="S697"/>
      <c s="7" r="T697"/>
      <c s="7" r="U697"/>
      <c s="7" r="V697"/>
      <c s="30" r="W697"/>
      <c s="30" r="X697"/>
      <c s="30" r="Y697"/>
      <c s="30" r="Z697"/>
      <c s="30" r="AA697"/>
      <c s="30" r="AB697"/>
      <c s="30" r="AC697"/>
      <c s="30" r="AD697"/>
      <c s="30" r="AE697"/>
      <c s="10" r="AF697"/>
      <c s="10" r="AG697"/>
      <c s="10" r="AH697"/>
      <c s="10" r="AI697"/>
      <c s="10" r="AJ697"/>
      <c s="10" r="AK697"/>
      <c s="30" r="AL697"/>
    </row>
    <row r="698">
      <c s="30" r="A698"/>
      <c s="30" r="B698"/>
      <c s="30" r="C698"/>
      <c s="30" r="D698"/>
      <c s="16" r="E698"/>
      <c s="16" r="F698"/>
      <c s="16" r="G698"/>
      <c s="16" r="H698"/>
      <c s="16" r="I698"/>
      <c s="16" r="J698"/>
      <c s="16" r="K698"/>
      <c s="80" r="L698"/>
      <c s="79" r="M698"/>
      <c s="79" r="N698"/>
      <c s="79" r="O698"/>
      <c s="79" r="P698"/>
      <c s="17" r="Q698"/>
      <c s="17" r="R698"/>
      <c s="7" r="S698"/>
      <c s="7" r="T698"/>
      <c s="7" r="U698"/>
      <c s="7" r="V698"/>
      <c s="30" r="W698"/>
      <c s="30" r="X698"/>
      <c s="30" r="Y698"/>
      <c s="30" r="Z698"/>
      <c s="30" r="AA698"/>
      <c s="30" r="AB698"/>
      <c s="30" r="AC698"/>
      <c s="30" r="AD698"/>
      <c s="30" r="AE698"/>
      <c s="10" r="AF698"/>
      <c s="10" r="AG698"/>
      <c s="10" r="AH698"/>
      <c s="10" r="AI698"/>
      <c s="10" r="AJ698"/>
      <c s="10" r="AK698"/>
      <c s="30" r="AL698"/>
    </row>
    <row r="699">
      <c s="30" r="A699"/>
      <c s="30" r="B699"/>
      <c s="30" r="C699"/>
      <c s="30" r="D699"/>
      <c s="16" r="E699"/>
      <c s="16" r="F699"/>
      <c s="16" r="G699"/>
      <c s="16" r="H699"/>
      <c s="16" r="I699"/>
      <c s="16" r="J699"/>
      <c s="16" r="K699"/>
      <c s="80" r="L699"/>
      <c s="79" r="M699"/>
      <c s="79" r="N699"/>
      <c s="79" r="O699"/>
      <c s="79" r="P699"/>
      <c s="17" r="Q699"/>
      <c s="17" r="R699"/>
      <c s="7" r="S699"/>
      <c s="7" r="T699"/>
      <c s="7" r="U699"/>
      <c s="7" r="V699"/>
      <c s="30" r="W699"/>
      <c s="30" r="X699"/>
      <c s="30" r="Y699"/>
      <c s="30" r="Z699"/>
      <c s="30" r="AA699"/>
      <c s="30" r="AB699"/>
      <c s="30" r="AC699"/>
      <c s="30" r="AD699"/>
      <c s="30" r="AE699"/>
      <c s="10" r="AF699"/>
      <c s="10" r="AG699"/>
      <c s="10" r="AH699"/>
      <c s="10" r="AI699"/>
      <c s="10" r="AJ699"/>
      <c s="10" r="AK699"/>
      <c s="30" r="AL699"/>
    </row>
    <row r="700">
      <c s="30" r="A700"/>
      <c s="30" r="B700"/>
      <c s="30" r="C700"/>
      <c s="30" r="D700"/>
      <c s="16" r="E700"/>
      <c s="16" r="F700"/>
      <c s="16" r="G700"/>
      <c s="16" r="H700"/>
      <c s="16" r="I700"/>
      <c s="16" r="J700"/>
      <c s="16" r="K700"/>
      <c s="80" r="L700"/>
      <c s="79" r="M700"/>
      <c s="79" r="N700"/>
      <c s="79" r="O700"/>
      <c s="79" r="P700"/>
      <c s="17" r="Q700"/>
      <c s="17" r="R700"/>
      <c s="7" r="S700"/>
      <c s="7" r="T700"/>
      <c s="7" r="U700"/>
      <c s="7" r="V700"/>
      <c s="30" r="W700"/>
      <c s="30" r="X700"/>
      <c s="30" r="Y700"/>
      <c s="30" r="Z700"/>
      <c s="30" r="AA700"/>
      <c s="30" r="AB700"/>
      <c s="30" r="AC700"/>
      <c s="30" r="AD700"/>
      <c s="30" r="AE700"/>
      <c s="10" r="AF700"/>
      <c s="10" r="AG700"/>
      <c s="10" r="AH700"/>
      <c s="10" r="AI700"/>
      <c s="10" r="AJ700"/>
      <c s="10" r="AK700"/>
      <c s="30" r="AL700"/>
    </row>
    <row r="701">
      <c s="30" r="A701"/>
      <c s="30" r="B701"/>
      <c s="30" r="C701"/>
      <c s="30" r="D701"/>
      <c s="16" r="E701"/>
      <c s="16" r="F701"/>
      <c s="16" r="G701"/>
      <c s="16" r="H701"/>
      <c s="16" r="I701"/>
      <c s="16" r="J701"/>
      <c s="16" r="K701"/>
      <c s="80" r="L701"/>
      <c s="79" r="M701"/>
      <c s="79" r="N701"/>
      <c s="79" r="O701"/>
      <c s="79" r="P701"/>
      <c s="17" r="Q701"/>
      <c s="17" r="R701"/>
      <c s="7" r="S701"/>
      <c s="7" r="T701"/>
      <c s="7" r="U701"/>
      <c s="7" r="V701"/>
      <c s="30" r="W701"/>
      <c s="30" r="X701"/>
      <c s="30" r="Y701"/>
      <c s="30" r="Z701"/>
      <c s="30" r="AA701"/>
      <c s="30" r="AB701"/>
      <c s="30" r="AC701"/>
      <c s="30" r="AD701"/>
      <c s="30" r="AE701"/>
      <c s="10" r="AF701"/>
      <c s="10" r="AG701"/>
      <c s="10" r="AH701"/>
      <c s="10" r="AI701"/>
      <c s="10" r="AJ701"/>
      <c s="10" r="AK701"/>
      <c s="30" r="AL701"/>
    </row>
    <row r="702">
      <c s="30" r="A702"/>
      <c s="30" r="B702"/>
      <c s="30" r="C702"/>
      <c s="30" r="D702"/>
      <c s="16" r="E702"/>
      <c s="16" r="F702"/>
      <c s="16" r="G702"/>
      <c s="16" r="H702"/>
      <c s="16" r="I702"/>
      <c s="16" r="J702"/>
      <c s="16" r="K702"/>
      <c s="80" r="L702"/>
      <c s="79" r="M702"/>
      <c s="79" r="N702"/>
      <c s="79" r="O702"/>
      <c s="79" r="P702"/>
      <c s="17" r="Q702"/>
      <c s="17" r="R702"/>
      <c s="7" r="S702"/>
      <c s="7" r="T702"/>
      <c s="7" r="U702"/>
      <c s="7" r="V702"/>
      <c s="30" r="W702"/>
      <c s="30" r="X702"/>
      <c s="30" r="Y702"/>
      <c s="30" r="Z702"/>
      <c s="30" r="AA702"/>
      <c s="30" r="AB702"/>
      <c s="30" r="AC702"/>
      <c s="30" r="AD702"/>
      <c s="30" r="AE702"/>
      <c s="10" r="AF702"/>
      <c s="10" r="AG702"/>
      <c s="10" r="AH702"/>
      <c s="10" r="AI702"/>
      <c s="10" r="AJ702"/>
      <c s="10" r="AK702"/>
      <c s="30" r="AL702"/>
    </row>
    <row r="703">
      <c s="30" r="A703"/>
      <c s="30" r="B703"/>
      <c s="30" r="C703"/>
      <c s="30" r="D703"/>
      <c s="16" r="E703"/>
      <c s="16" r="F703"/>
      <c s="16" r="G703"/>
      <c s="16" r="H703"/>
      <c s="16" r="I703"/>
      <c s="16" r="J703"/>
      <c s="16" r="K703"/>
      <c s="80" r="L703"/>
      <c s="79" r="M703"/>
      <c s="79" r="N703"/>
      <c s="79" r="O703"/>
      <c s="79" r="P703"/>
      <c s="17" r="Q703"/>
      <c s="17" r="R703"/>
      <c s="7" r="S703"/>
      <c s="7" r="T703"/>
      <c s="7" r="U703"/>
      <c s="7" r="V703"/>
      <c s="30" r="W703"/>
      <c s="30" r="X703"/>
      <c s="30" r="Y703"/>
      <c s="30" r="Z703"/>
      <c s="30" r="AA703"/>
      <c s="30" r="AB703"/>
      <c s="30" r="AC703"/>
      <c s="30" r="AD703"/>
      <c s="30" r="AE703"/>
      <c s="10" r="AF703"/>
      <c s="10" r="AG703"/>
      <c s="10" r="AH703"/>
      <c s="10" r="AI703"/>
      <c s="10" r="AJ703"/>
      <c s="10" r="AK703"/>
      <c s="30" r="AL703"/>
    </row>
    <row r="704">
      <c s="30" r="A704"/>
      <c s="30" r="B704"/>
      <c s="30" r="C704"/>
      <c s="30" r="D704"/>
      <c s="16" r="E704"/>
      <c s="16" r="F704"/>
      <c s="16" r="G704"/>
      <c s="16" r="H704"/>
      <c s="16" r="I704"/>
      <c s="16" r="J704"/>
      <c s="16" r="K704"/>
      <c s="80" r="L704"/>
      <c s="79" r="M704"/>
      <c s="79" r="N704"/>
      <c s="79" r="O704"/>
      <c s="79" r="P704"/>
      <c s="17" r="Q704"/>
      <c s="17" r="R704"/>
      <c s="7" r="S704"/>
      <c s="7" r="T704"/>
      <c s="7" r="U704"/>
      <c s="7" r="V704"/>
      <c s="30" r="W704"/>
      <c s="30" r="X704"/>
      <c s="30" r="Y704"/>
      <c s="30" r="Z704"/>
      <c s="30" r="AA704"/>
      <c s="30" r="AB704"/>
      <c s="30" r="AC704"/>
      <c s="30" r="AD704"/>
      <c s="30" r="AE704"/>
      <c s="10" r="AF704"/>
      <c s="10" r="AG704"/>
      <c s="10" r="AH704"/>
      <c s="10" r="AI704"/>
      <c s="10" r="AJ704"/>
      <c s="10" r="AK704"/>
      <c s="30" r="AL704"/>
    </row>
    <row r="705">
      <c s="30" r="A705"/>
      <c s="30" r="B705"/>
      <c s="30" r="C705"/>
      <c s="30" r="D705"/>
      <c s="16" r="E705"/>
      <c s="16" r="F705"/>
      <c s="16" r="G705"/>
      <c s="16" r="H705"/>
      <c s="16" r="I705"/>
      <c s="16" r="J705"/>
      <c s="16" r="K705"/>
      <c s="80" r="L705"/>
      <c s="79" r="M705"/>
      <c s="79" r="N705"/>
      <c s="79" r="O705"/>
      <c s="79" r="P705"/>
      <c s="17" r="Q705"/>
      <c s="17" r="R705"/>
      <c s="7" r="S705"/>
      <c s="7" r="T705"/>
      <c s="7" r="U705"/>
      <c s="7" r="V705"/>
      <c s="30" r="W705"/>
      <c s="30" r="X705"/>
      <c s="30" r="Y705"/>
      <c s="30" r="Z705"/>
      <c s="30" r="AA705"/>
      <c s="30" r="AB705"/>
      <c s="30" r="AC705"/>
      <c s="30" r="AD705"/>
      <c s="30" r="AE705"/>
      <c s="10" r="AF705"/>
      <c s="10" r="AG705"/>
      <c s="10" r="AH705"/>
      <c s="10" r="AI705"/>
      <c s="10" r="AJ705"/>
      <c s="10" r="AK705"/>
      <c s="30" r="AL705"/>
    </row>
    <row r="706">
      <c s="30" r="A706"/>
      <c s="30" r="B706"/>
      <c s="30" r="C706"/>
      <c s="30" r="D706"/>
      <c s="16" r="E706"/>
      <c s="16" r="F706"/>
      <c s="16" r="G706"/>
      <c s="16" r="H706"/>
      <c s="16" r="I706"/>
      <c s="16" r="J706"/>
      <c s="16" r="K706"/>
      <c s="80" r="L706"/>
      <c s="79" r="M706"/>
      <c s="79" r="N706"/>
      <c s="79" r="O706"/>
      <c s="79" r="P706"/>
      <c s="17" r="Q706"/>
      <c s="17" r="R706"/>
      <c s="7" r="S706"/>
      <c s="7" r="T706"/>
      <c s="7" r="U706"/>
      <c s="7" r="V706"/>
      <c s="30" r="W706"/>
      <c s="30" r="X706"/>
      <c s="30" r="Y706"/>
      <c s="30" r="Z706"/>
      <c s="30" r="AA706"/>
      <c s="30" r="AB706"/>
      <c s="30" r="AC706"/>
      <c s="30" r="AD706"/>
      <c s="30" r="AE706"/>
      <c s="10" r="AF706"/>
      <c s="10" r="AG706"/>
      <c s="10" r="AH706"/>
      <c s="10" r="AI706"/>
      <c s="10" r="AJ706"/>
      <c s="10" r="AK706"/>
      <c s="30" r="AL706"/>
    </row>
    <row r="707">
      <c s="30" r="A707"/>
      <c s="30" r="B707"/>
      <c s="30" r="C707"/>
      <c s="30" r="D707"/>
      <c s="16" r="E707"/>
      <c s="16" r="F707"/>
      <c s="16" r="G707"/>
      <c s="16" r="H707"/>
      <c s="16" r="I707"/>
      <c s="16" r="J707"/>
      <c s="16" r="K707"/>
      <c s="80" r="L707"/>
      <c s="79" r="M707"/>
      <c s="79" r="N707"/>
      <c s="79" r="O707"/>
      <c s="79" r="P707"/>
      <c s="17" r="Q707"/>
      <c s="17" r="R707"/>
      <c s="7" r="S707"/>
      <c s="7" r="T707"/>
      <c s="7" r="U707"/>
      <c s="7" r="V707"/>
      <c s="30" r="W707"/>
      <c s="30" r="X707"/>
      <c s="30" r="Y707"/>
      <c s="30" r="Z707"/>
      <c s="30" r="AA707"/>
      <c s="30" r="AB707"/>
      <c s="30" r="AC707"/>
      <c s="30" r="AD707"/>
      <c s="30" r="AE707"/>
      <c s="10" r="AF707"/>
      <c s="10" r="AG707"/>
      <c s="10" r="AH707"/>
      <c s="10" r="AI707"/>
      <c s="10" r="AJ707"/>
      <c s="10" r="AK707"/>
      <c s="30" r="AL707"/>
    </row>
    <row r="708">
      <c s="30" r="A708"/>
      <c s="30" r="B708"/>
      <c s="30" r="C708"/>
      <c s="30" r="D708"/>
      <c s="16" r="E708"/>
      <c s="16" r="F708"/>
      <c s="16" r="G708"/>
      <c s="16" r="H708"/>
      <c s="16" r="I708"/>
      <c s="16" r="J708"/>
      <c s="16" r="K708"/>
      <c s="80" r="L708"/>
      <c s="79" r="M708"/>
      <c s="79" r="N708"/>
      <c s="79" r="O708"/>
      <c s="79" r="P708"/>
      <c s="17" r="Q708"/>
      <c s="17" r="R708"/>
      <c s="7" r="S708"/>
      <c s="7" r="T708"/>
      <c s="7" r="U708"/>
      <c s="7" r="V708"/>
      <c s="30" r="W708"/>
      <c s="30" r="X708"/>
      <c s="30" r="Y708"/>
      <c s="30" r="Z708"/>
      <c s="30" r="AA708"/>
      <c s="30" r="AB708"/>
      <c s="30" r="AC708"/>
      <c s="30" r="AD708"/>
      <c s="30" r="AE708"/>
      <c s="10" r="AF708"/>
      <c s="10" r="AG708"/>
      <c s="10" r="AH708"/>
      <c s="10" r="AI708"/>
      <c s="10" r="AJ708"/>
      <c s="10" r="AK708"/>
      <c s="30" r="AL708"/>
    </row>
    <row r="709">
      <c s="30" r="A709"/>
      <c s="30" r="B709"/>
      <c s="30" r="C709"/>
      <c s="30" r="D709"/>
      <c s="16" r="E709"/>
      <c s="16" r="F709"/>
      <c s="16" r="G709"/>
      <c s="16" r="H709"/>
      <c s="16" r="I709"/>
      <c s="16" r="J709"/>
      <c s="16" r="K709"/>
      <c s="80" r="L709"/>
      <c s="79" r="M709"/>
      <c s="79" r="N709"/>
      <c s="79" r="O709"/>
      <c s="79" r="P709"/>
      <c s="17" r="Q709"/>
      <c s="17" r="R709"/>
      <c s="7" r="S709"/>
      <c s="7" r="T709"/>
      <c s="7" r="U709"/>
      <c s="7" r="V709"/>
      <c s="30" r="W709"/>
      <c s="30" r="X709"/>
      <c s="30" r="Y709"/>
      <c s="30" r="Z709"/>
      <c s="30" r="AA709"/>
      <c s="30" r="AB709"/>
      <c s="30" r="AC709"/>
      <c s="30" r="AD709"/>
      <c s="30" r="AE709"/>
      <c s="10" r="AF709"/>
      <c s="10" r="AG709"/>
      <c s="10" r="AH709"/>
      <c s="10" r="AI709"/>
      <c s="10" r="AJ709"/>
      <c s="10" r="AK709"/>
      <c s="30" r="AL709"/>
    </row>
    <row r="710">
      <c s="30" r="A710"/>
      <c s="30" r="B710"/>
      <c s="30" r="C710"/>
      <c s="30" r="D710"/>
      <c s="16" r="E710"/>
      <c s="16" r="F710"/>
      <c s="16" r="G710"/>
      <c s="16" r="H710"/>
      <c s="16" r="I710"/>
      <c s="16" r="J710"/>
      <c s="16" r="K710"/>
      <c s="80" r="L710"/>
      <c s="79" r="M710"/>
      <c s="79" r="N710"/>
      <c s="79" r="O710"/>
      <c s="79" r="P710"/>
      <c s="17" r="Q710"/>
      <c s="17" r="R710"/>
      <c s="7" r="S710"/>
      <c s="7" r="T710"/>
      <c s="7" r="U710"/>
      <c s="7" r="V710"/>
      <c s="30" r="W710"/>
      <c s="30" r="X710"/>
      <c s="30" r="Y710"/>
      <c s="30" r="Z710"/>
      <c s="30" r="AA710"/>
      <c s="30" r="AB710"/>
      <c s="30" r="AC710"/>
      <c s="30" r="AD710"/>
      <c s="30" r="AE710"/>
      <c s="10" r="AF710"/>
      <c s="10" r="AG710"/>
      <c s="10" r="AH710"/>
      <c s="10" r="AI710"/>
      <c s="10" r="AJ710"/>
      <c s="10" r="AK710"/>
      <c s="30" r="AL710"/>
    </row>
    <row r="711">
      <c s="30" r="A711"/>
      <c s="30" r="B711"/>
      <c s="30" r="C711"/>
      <c s="30" r="D711"/>
      <c s="16" r="E711"/>
      <c s="16" r="F711"/>
      <c s="16" r="G711"/>
      <c s="16" r="H711"/>
      <c s="16" r="I711"/>
      <c s="16" r="J711"/>
      <c s="16" r="K711"/>
      <c s="80" r="L711"/>
      <c s="79" r="M711"/>
      <c s="79" r="N711"/>
      <c s="79" r="O711"/>
      <c s="79" r="P711"/>
      <c s="17" r="Q711"/>
      <c s="17" r="R711"/>
      <c s="7" r="S711"/>
      <c s="7" r="T711"/>
      <c s="7" r="U711"/>
      <c s="7" r="V711"/>
      <c s="30" r="W711"/>
      <c s="30" r="X711"/>
      <c s="30" r="Y711"/>
      <c s="30" r="Z711"/>
      <c s="30" r="AA711"/>
      <c s="30" r="AB711"/>
      <c s="30" r="AC711"/>
      <c s="30" r="AD711"/>
      <c s="30" r="AE711"/>
      <c s="10" r="AF711"/>
      <c s="10" r="AG711"/>
      <c s="10" r="AH711"/>
      <c s="10" r="AI711"/>
      <c s="10" r="AJ711"/>
      <c s="10" r="AK711"/>
      <c s="30" r="AL711"/>
    </row>
    <row r="712">
      <c s="30" r="A712"/>
      <c s="30" r="B712"/>
      <c s="30" r="C712"/>
      <c s="30" r="D712"/>
      <c s="16" r="E712"/>
      <c s="16" r="F712"/>
      <c s="16" r="G712"/>
      <c s="16" r="H712"/>
      <c s="16" r="I712"/>
      <c s="16" r="J712"/>
      <c s="16" r="K712"/>
      <c s="80" r="L712"/>
      <c s="79" r="M712"/>
      <c s="79" r="N712"/>
      <c s="79" r="O712"/>
      <c s="79" r="P712"/>
      <c s="17" r="Q712"/>
      <c s="17" r="R712"/>
      <c s="7" r="S712"/>
      <c s="7" r="T712"/>
      <c s="7" r="U712"/>
      <c s="7" r="V712"/>
      <c s="30" r="W712"/>
      <c s="30" r="X712"/>
      <c s="30" r="Y712"/>
      <c s="30" r="Z712"/>
      <c s="30" r="AA712"/>
      <c s="30" r="AB712"/>
      <c s="30" r="AC712"/>
      <c s="30" r="AD712"/>
      <c s="30" r="AE712"/>
      <c s="10" r="AF712"/>
      <c s="10" r="AG712"/>
      <c s="10" r="AH712"/>
      <c s="10" r="AI712"/>
      <c s="10" r="AJ712"/>
      <c s="10" r="AK712"/>
      <c s="30" r="AL712"/>
    </row>
    <row r="713">
      <c s="30" r="A713"/>
      <c s="30" r="B713"/>
      <c s="30" r="C713"/>
      <c s="30" r="D713"/>
      <c s="16" r="E713"/>
      <c s="16" r="F713"/>
      <c s="16" r="G713"/>
      <c s="16" r="H713"/>
      <c s="16" r="I713"/>
      <c s="16" r="J713"/>
      <c s="16" r="K713"/>
      <c s="80" r="L713"/>
      <c s="79" r="M713"/>
      <c s="79" r="N713"/>
      <c s="79" r="O713"/>
      <c s="79" r="P713"/>
      <c s="17" r="Q713"/>
      <c s="17" r="R713"/>
      <c s="7" r="S713"/>
      <c s="7" r="T713"/>
      <c s="7" r="U713"/>
      <c s="7" r="V713"/>
      <c s="30" r="W713"/>
      <c s="30" r="X713"/>
      <c s="30" r="Y713"/>
      <c s="30" r="Z713"/>
      <c s="30" r="AA713"/>
      <c s="30" r="AB713"/>
      <c s="30" r="AC713"/>
      <c s="30" r="AD713"/>
      <c s="30" r="AE713"/>
      <c s="10" r="AF713"/>
      <c s="10" r="AG713"/>
      <c s="10" r="AH713"/>
      <c s="10" r="AI713"/>
      <c s="10" r="AJ713"/>
      <c s="10" r="AK713"/>
      <c s="30" r="AL713"/>
    </row>
    <row r="714">
      <c s="30" r="A714"/>
      <c s="30" r="B714"/>
      <c s="30" r="C714"/>
      <c s="30" r="D714"/>
      <c s="16" r="E714"/>
      <c s="16" r="F714"/>
      <c s="16" r="G714"/>
      <c s="16" r="H714"/>
      <c s="16" r="I714"/>
      <c s="16" r="J714"/>
      <c s="16" r="K714"/>
      <c s="80" r="L714"/>
      <c s="79" r="M714"/>
      <c s="79" r="N714"/>
      <c s="79" r="O714"/>
      <c s="79" r="P714"/>
      <c s="17" r="Q714"/>
      <c s="17" r="R714"/>
      <c s="7" r="S714"/>
      <c s="7" r="T714"/>
      <c s="7" r="U714"/>
      <c s="7" r="V714"/>
      <c s="30" r="W714"/>
      <c s="30" r="X714"/>
      <c s="30" r="Y714"/>
      <c s="30" r="Z714"/>
      <c s="30" r="AA714"/>
      <c s="30" r="AB714"/>
      <c s="30" r="AC714"/>
      <c s="30" r="AD714"/>
      <c s="30" r="AE714"/>
      <c s="10" r="AF714"/>
      <c s="10" r="AG714"/>
      <c s="10" r="AH714"/>
      <c s="10" r="AI714"/>
      <c s="10" r="AJ714"/>
      <c s="10" r="AK714"/>
      <c s="30" r="AL714"/>
    </row>
    <row r="715">
      <c s="30" r="A715"/>
      <c s="30" r="B715"/>
      <c s="30" r="C715"/>
      <c s="30" r="D715"/>
      <c s="16" r="E715"/>
      <c s="16" r="F715"/>
      <c s="16" r="G715"/>
      <c s="16" r="H715"/>
      <c s="16" r="I715"/>
      <c s="16" r="J715"/>
      <c s="16" r="K715"/>
      <c s="80" r="L715"/>
      <c s="79" r="M715"/>
      <c s="79" r="N715"/>
      <c s="79" r="O715"/>
      <c s="79" r="P715"/>
      <c s="17" r="Q715"/>
      <c s="17" r="R715"/>
      <c s="7" r="S715"/>
      <c s="7" r="T715"/>
      <c s="7" r="U715"/>
      <c s="7" r="V715"/>
      <c s="30" r="W715"/>
      <c s="30" r="X715"/>
      <c s="30" r="Y715"/>
      <c s="30" r="Z715"/>
      <c s="30" r="AA715"/>
      <c s="30" r="AB715"/>
      <c s="30" r="AC715"/>
      <c s="30" r="AD715"/>
      <c s="30" r="AE715"/>
      <c s="10" r="AF715"/>
      <c s="10" r="AG715"/>
      <c s="10" r="AH715"/>
      <c s="10" r="AI715"/>
      <c s="10" r="AJ715"/>
      <c s="10" r="AK715"/>
      <c s="30" r="AL715"/>
    </row>
    <row r="716">
      <c s="30" r="A716"/>
      <c s="30" r="B716"/>
      <c s="30" r="C716"/>
      <c s="30" r="D716"/>
      <c s="16" r="E716"/>
      <c s="16" r="F716"/>
      <c s="16" r="G716"/>
      <c s="16" r="H716"/>
      <c s="16" r="I716"/>
      <c s="16" r="J716"/>
      <c s="16" r="K716"/>
      <c s="80" r="L716"/>
      <c s="79" r="M716"/>
      <c s="79" r="N716"/>
      <c s="79" r="O716"/>
      <c s="79" r="P716"/>
      <c s="17" r="Q716"/>
      <c s="17" r="R716"/>
      <c s="7" r="S716"/>
      <c s="7" r="T716"/>
      <c s="7" r="U716"/>
      <c s="7" r="V716"/>
      <c s="30" r="W716"/>
      <c s="30" r="X716"/>
      <c s="30" r="Y716"/>
      <c s="30" r="Z716"/>
      <c s="30" r="AA716"/>
      <c s="30" r="AB716"/>
      <c s="30" r="AC716"/>
      <c s="30" r="AD716"/>
      <c s="30" r="AE716"/>
      <c s="10" r="AF716"/>
      <c s="10" r="AG716"/>
      <c s="10" r="AH716"/>
      <c s="10" r="AI716"/>
      <c s="10" r="AJ716"/>
      <c s="10" r="AK716"/>
      <c s="30" r="AL716"/>
    </row>
    <row r="717">
      <c s="30" r="A717"/>
      <c s="30" r="B717"/>
      <c s="30" r="C717"/>
      <c s="30" r="D717"/>
      <c s="16" r="E717"/>
      <c s="16" r="F717"/>
      <c s="16" r="G717"/>
      <c s="16" r="H717"/>
      <c s="16" r="I717"/>
      <c s="16" r="J717"/>
      <c s="16" r="K717"/>
      <c s="80" r="L717"/>
      <c s="79" r="M717"/>
      <c s="79" r="N717"/>
      <c s="79" r="O717"/>
      <c s="79" r="P717"/>
      <c s="17" r="Q717"/>
      <c s="17" r="R717"/>
      <c s="7" r="S717"/>
      <c s="7" r="T717"/>
      <c s="7" r="U717"/>
      <c s="7" r="V717"/>
      <c s="30" r="W717"/>
      <c s="30" r="X717"/>
      <c s="30" r="Y717"/>
      <c s="30" r="Z717"/>
      <c s="30" r="AA717"/>
      <c s="30" r="AB717"/>
      <c s="30" r="AC717"/>
      <c s="30" r="AD717"/>
      <c s="30" r="AE717"/>
      <c s="10" r="AF717"/>
      <c s="10" r="AG717"/>
      <c s="10" r="AH717"/>
      <c s="10" r="AI717"/>
      <c s="10" r="AJ717"/>
      <c s="10" r="AK717"/>
      <c s="30" r="AL717"/>
    </row>
    <row r="718">
      <c s="30" r="A718"/>
      <c s="30" r="B718"/>
      <c s="30" r="C718"/>
      <c s="30" r="D718"/>
      <c s="16" r="E718"/>
      <c s="16" r="F718"/>
      <c s="16" r="G718"/>
      <c s="16" r="H718"/>
      <c s="16" r="I718"/>
      <c s="16" r="J718"/>
      <c s="16" r="K718"/>
      <c s="80" r="L718"/>
      <c s="79" r="M718"/>
      <c s="79" r="N718"/>
      <c s="79" r="O718"/>
      <c s="79" r="P718"/>
      <c s="17" r="Q718"/>
      <c s="17" r="R718"/>
      <c s="7" r="S718"/>
      <c s="7" r="T718"/>
      <c s="7" r="U718"/>
      <c s="7" r="V718"/>
      <c s="30" r="W718"/>
      <c s="30" r="X718"/>
      <c s="30" r="Y718"/>
      <c s="30" r="Z718"/>
      <c s="30" r="AA718"/>
      <c s="30" r="AB718"/>
      <c s="30" r="AC718"/>
      <c s="30" r="AD718"/>
      <c s="30" r="AE718"/>
      <c s="10" r="AF718"/>
      <c s="10" r="AG718"/>
      <c s="10" r="AH718"/>
      <c s="10" r="AI718"/>
      <c s="10" r="AJ718"/>
      <c s="10" r="AK718"/>
      <c s="30" r="AL718"/>
    </row>
    <row r="719">
      <c s="30" r="A719"/>
      <c s="30" r="B719"/>
      <c s="30" r="C719"/>
      <c s="30" r="D719"/>
      <c s="16" r="E719"/>
      <c s="16" r="F719"/>
      <c s="16" r="G719"/>
      <c s="16" r="H719"/>
      <c s="16" r="I719"/>
      <c s="16" r="J719"/>
      <c s="16" r="K719"/>
      <c s="80" r="L719"/>
      <c s="79" r="M719"/>
      <c s="79" r="N719"/>
      <c s="79" r="O719"/>
      <c s="79" r="P719"/>
      <c s="17" r="Q719"/>
      <c s="17" r="R719"/>
      <c s="7" r="S719"/>
      <c s="7" r="T719"/>
      <c s="7" r="U719"/>
      <c s="7" r="V719"/>
      <c s="30" r="W719"/>
      <c s="30" r="X719"/>
      <c s="30" r="Y719"/>
      <c s="30" r="Z719"/>
      <c s="30" r="AA719"/>
      <c s="30" r="AB719"/>
      <c s="30" r="AC719"/>
      <c s="30" r="AD719"/>
      <c s="30" r="AE719"/>
      <c s="10" r="AF719"/>
      <c s="10" r="AG719"/>
      <c s="10" r="AH719"/>
      <c s="10" r="AI719"/>
      <c s="10" r="AJ719"/>
      <c s="10" r="AK719"/>
      <c s="30" r="AL719"/>
    </row>
    <row r="720">
      <c s="30" r="A720"/>
      <c s="30" r="B720"/>
      <c s="30" r="C720"/>
      <c s="30" r="D720"/>
      <c s="16" r="E720"/>
      <c s="16" r="F720"/>
      <c s="16" r="G720"/>
      <c s="16" r="H720"/>
      <c s="16" r="I720"/>
      <c s="16" r="J720"/>
      <c s="16" r="K720"/>
      <c s="80" r="L720"/>
      <c s="79" r="M720"/>
      <c s="79" r="N720"/>
      <c s="79" r="O720"/>
      <c s="79" r="P720"/>
      <c s="17" r="Q720"/>
      <c s="17" r="R720"/>
      <c s="7" r="S720"/>
      <c s="7" r="T720"/>
      <c s="7" r="U720"/>
      <c s="7" r="V720"/>
      <c s="30" r="W720"/>
      <c s="30" r="X720"/>
      <c s="30" r="Y720"/>
      <c s="30" r="Z720"/>
      <c s="30" r="AA720"/>
      <c s="30" r="AB720"/>
      <c s="30" r="AC720"/>
      <c s="30" r="AD720"/>
      <c s="30" r="AE720"/>
      <c s="10" r="AF720"/>
      <c s="10" r="AG720"/>
      <c s="10" r="AH720"/>
      <c s="10" r="AI720"/>
      <c s="10" r="AJ720"/>
      <c s="10" r="AK720"/>
      <c s="30" r="AL720"/>
    </row>
    <row r="721">
      <c s="30" r="A721"/>
      <c s="30" r="B721"/>
      <c s="30" r="C721"/>
      <c s="30" r="D721"/>
      <c s="16" r="E721"/>
      <c s="16" r="F721"/>
      <c s="16" r="G721"/>
      <c s="16" r="H721"/>
      <c s="16" r="I721"/>
      <c s="16" r="J721"/>
      <c s="16" r="K721"/>
      <c s="80" r="L721"/>
      <c s="79" r="M721"/>
      <c s="79" r="N721"/>
      <c s="79" r="O721"/>
      <c s="79" r="P721"/>
      <c s="17" r="Q721"/>
      <c s="17" r="R721"/>
      <c s="7" r="S721"/>
      <c s="7" r="T721"/>
      <c s="7" r="U721"/>
      <c s="7" r="V721"/>
      <c s="30" r="W721"/>
      <c s="30" r="X721"/>
      <c s="30" r="Y721"/>
      <c s="30" r="Z721"/>
      <c s="30" r="AA721"/>
      <c s="30" r="AB721"/>
      <c s="30" r="AC721"/>
      <c s="30" r="AD721"/>
      <c s="30" r="AE721"/>
      <c s="10" r="AF721"/>
      <c s="10" r="AG721"/>
      <c s="10" r="AH721"/>
      <c s="10" r="AI721"/>
      <c s="10" r="AJ721"/>
      <c s="10" r="AK721"/>
      <c s="30" r="AL721"/>
    </row>
    <row r="722">
      <c s="30" r="A722"/>
      <c s="30" r="B722"/>
      <c s="30" r="C722"/>
      <c s="30" r="D722"/>
      <c s="16" r="E722"/>
      <c s="16" r="F722"/>
      <c s="16" r="G722"/>
      <c s="16" r="H722"/>
      <c s="16" r="I722"/>
      <c s="16" r="J722"/>
      <c s="16" r="K722"/>
      <c s="80" r="L722"/>
      <c s="79" r="M722"/>
      <c s="79" r="N722"/>
      <c s="79" r="O722"/>
      <c s="79" r="P722"/>
      <c s="17" r="Q722"/>
      <c s="17" r="R722"/>
      <c s="7" r="S722"/>
      <c s="7" r="T722"/>
      <c s="7" r="U722"/>
      <c s="7" r="V722"/>
      <c s="30" r="W722"/>
      <c s="30" r="X722"/>
      <c s="30" r="Y722"/>
      <c s="30" r="Z722"/>
      <c s="30" r="AA722"/>
      <c s="30" r="AB722"/>
      <c s="30" r="AC722"/>
      <c s="30" r="AD722"/>
      <c s="30" r="AE722"/>
      <c s="10" r="AF722"/>
      <c s="10" r="AG722"/>
      <c s="10" r="AH722"/>
      <c s="10" r="AI722"/>
      <c s="10" r="AJ722"/>
      <c s="10" r="AK722"/>
      <c s="30" r="AL722"/>
    </row>
    <row r="723">
      <c s="30" r="A723"/>
      <c s="30" r="B723"/>
      <c s="30" r="C723"/>
      <c s="30" r="D723"/>
      <c s="16" r="E723"/>
      <c s="16" r="F723"/>
      <c s="16" r="G723"/>
      <c s="16" r="H723"/>
      <c s="16" r="I723"/>
      <c s="16" r="J723"/>
      <c s="16" r="K723"/>
      <c s="80" r="L723"/>
      <c s="79" r="M723"/>
      <c s="79" r="N723"/>
      <c s="79" r="O723"/>
      <c s="79" r="P723"/>
      <c s="17" r="Q723"/>
      <c s="17" r="R723"/>
      <c s="7" r="S723"/>
      <c s="7" r="T723"/>
      <c s="7" r="U723"/>
      <c s="7" r="V723"/>
      <c s="30" r="W723"/>
      <c s="30" r="X723"/>
      <c s="30" r="Y723"/>
      <c s="30" r="Z723"/>
      <c s="30" r="AA723"/>
      <c s="30" r="AB723"/>
      <c s="30" r="AC723"/>
      <c s="30" r="AD723"/>
      <c s="30" r="AE723"/>
      <c s="10" r="AF723"/>
      <c s="10" r="AG723"/>
      <c s="10" r="AH723"/>
      <c s="10" r="AI723"/>
      <c s="10" r="AJ723"/>
      <c s="10" r="AK723"/>
      <c s="30" r="AL723"/>
    </row>
    <row r="724">
      <c s="30" r="A724"/>
      <c s="30" r="B724"/>
      <c s="30" r="C724"/>
      <c s="30" r="D724"/>
      <c s="16" r="E724"/>
      <c s="16" r="F724"/>
      <c s="16" r="G724"/>
      <c s="16" r="H724"/>
      <c s="16" r="I724"/>
      <c s="16" r="J724"/>
      <c s="16" r="K724"/>
      <c s="80" r="L724"/>
      <c s="79" r="M724"/>
      <c s="79" r="N724"/>
      <c s="79" r="O724"/>
      <c s="79" r="P724"/>
      <c s="17" r="Q724"/>
      <c s="17" r="R724"/>
      <c s="7" r="S724"/>
      <c s="7" r="T724"/>
      <c s="7" r="U724"/>
      <c s="7" r="V724"/>
      <c s="30" r="W724"/>
      <c s="30" r="X724"/>
      <c s="30" r="Y724"/>
      <c s="30" r="Z724"/>
      <c s="30" r="AA724"/>
      <c s="30" r="AB724"/>
      <c s="30" r="AC724"/>
      <c s="30" r="AD724"/>
      <c s="30" r="AE724"/>
      <c s="10" r="AF724"/>
      <c s="10" r="AG724"/>
      <c s="10" r="AH724"/>
      <c s="10" r="AI724"/>
      <c s="10" r="AJ724"/>
      <c s="10" r="AK724"/>
      <c s="30" r="AL724"/>
    </row>
    <row r="725">
      <c s="30" r="A725"/>
      <c s="30" r="B725"/>
      <c s="30" r="C725"/>
      <c s="30" r="D725"/>
      <c s="16" r="E725"/>
      <c s="16" r="F725"/>
      <c s="16" r="G725"/>
      <c s="16" r="H725"/>
      <c s="16" r="I725"/>
      <c s="16" r="J725"/>
      <c s="16" r="K725"/>
      <c s="80" r="L725"/>
      <c s="79" r="M725"/>
      <c s="79" r="N725"/>
      <c s="79" r="O725"/>
      <c s="79" r="P725"/>
      <c s="17" r="Q725"/>
      <c s="17" r="R725"/>
      <c s="7" r="S725"/>
      <c s="7" r="T725"/>
      <c s="7" r="U725"/>
      <c s="7" r="V725"/>
      <c s="30" r="W725"/>
      <c s="30" r="X725"/>
      <c s="30" r="Y725"/>
      <c s="30" r="Z725"/>
      <c s="30" r="AA725"/>
      <c s="30" r="AB725"/>
      <c s="30" r="AC725"/>
      <c s="30" r="AD725"/>
      <c s="30" r="AE725"/>
      <c s="10" r="AF725"/>
      <c s="10" r="AG725"/>
      <c s="10" r="AH725"/>
      <c s="10" r="AI725"/>
      <c s="10" r="AJ725"/>
      <c s="10" r="AK725"/>
      <c s="30" r="AL725"/>
    </row>
    <row r="726">
      <c s="30" r="A726"/>
      <c s="30" r="B726"/>
      <c s="30" r="C726"/>
      <c s="30" r="D726"/>
      <c s="16" r="E726"/>
      <c s="16" r="F726"/>
      <c s="16" r="G726"/>
      <c s="16" r="H726"/>
      <c s="16" r="I726"/>
      <c s="16" r="J726"/>
      <c s="16" r="K726"/>
      <c s="80" r="L726"/>
      <c s="79" r="M726"/>
      <c s="79" r="N726"/>
      <c s="79" r="O726"/>
      <c s="79" r="P726"/>
      <c s="17" r="Q726"/>
      <c s="17" r="R726"/>
      <c s="7" r="S726"/>
      <c s="7" r="T726"/>
      <c s="7" r="U726"/>
      <c s="7" r="V726"/>
      <c s="30" r="W726"/>
      <c s="30" r="X726"/>
      <c s="30" r="Y726"/>
      <c s="30" r="Z726"/>
      <c s="30" r="AA726"/>
      <c s="30" r="AB726"/>
      <c s="30" r="AC726"/>
      <c s="30" r="AD726"/>
      <c s="30" r="AE726"/>
      <c s="10" r="AF726"/>
      <c s="10" r="AG726"/>
      <c s="10" r="AH726"/>
      <c s="10" r="AI726"/>
      <c s="10" r="AJ726"/>
      <c s="10" r="AK726"/>
      <c s="30" r="AL726"/>
    </row>
    <row r="727">
      <c s="30" r="A727"/>
      <c s="30" r="B727"/>
      <c s="30" r="C727"/>
      <c s="30" r="D727"/>
      <c s="16" r="E727"/>
      <c s="16" r="F727"/>
      <c s="16" r="G727"/>
      <c s="16" r="H727"/>
      <c s="16" r="I727"/>
      <c s="16" r="J727"/>
      <c s="16" r="K727"/>
      <c s="80" r="L727"/>
      <c s="79" r="M727"/>
      <c s="79" r="N727"/>
      <c s="79" r="O727"/>
      <c s="79" r="P727"/>
      <c s="17" r="Q727"/>
      <c s="17" r="R727"/>
      <c s="7" r="S727"/>
      <c s="7" r="T727"/>
      <c s="7" r="U727"/>
      <c s="7" r="V727"/>
      <c s="30" r="W727"/>
      <c s="30" r="X727"/>
      <c s="30" r="Y727"/>
      <c s="30" r="Z727"/>
      <c s="30" r="AA727"/>
      <c s="30" r="AB727"/>
      <c s="30" r="AC727"/>
      <c s="30" r="AD727"/>
      <c s="30" r="AE727"/>
      <c s="10" r="AF727"/>
      <c s="10" r="AG727"/>
      <c s="10" r="AH727"/>
      <c s="10" r="AI727"/>
      <c s="10" r="AJ727"/>
      <c s="10" r="AK727"/>
      <c s="30" r="AL727"/>
    </row>
    <row r="728">
      <c s="30" r="A728"/>
      <c s="30" r="B728"/>
      <c s="30" r="C728"/>
      <c s="30" r="D728"/>
      <c s="16" r="E728"/>
      <c s="16" r="F728"/>
      <c s="16" r="G728"/>
      <c s="16" r="H728"/>
      <c s="16" r="I728"/>
      <c s="16" r="J728"/>
      <c s="16" r="K728"/>
      <c s="80" r="L728"/>
      <c s="79" r="M728"/>
      <c s="79" r="N728"/>
      <c s="79" r="O728"/>
      <c s="79" r="P728"/>
      <c s="17" r="Q728"/>
      <c s="17" r="R728"/>
      <c s="7" r="S728"/>
      <c s="7" r="T728"/>
      <c s="7" r="U728"/>
      <c s="7" r="V728"/>
      <c s="30" r="W728"/>
      <c s="30" r="X728"/>
      <c s="30" r="Y728"/>
      <c s="30" r="Z728"/>
      <c s="30" r="AA728"/>
      <c s="30" r="AB728"/>
      <c s="30" r="AC728"/>
      <c s="30" r="AD728"/>
      <c s="30" r="AE728"/>
      <c s="10" r="AF728"/>
      <c s="10" r="AG728"/>
      <c s="10" r="AH728"/>
      <c s="10" r="AI728"/>
      <c s="10" r="AJ728"/>
      <c s="10" r="AK728"/>
      <c s="30" r="AL728"/>
    </row>
    <row r="729">
      <c s="30" r="A729"/>
      <c s="30" r="B729"/>
      <c s="30" r="C729"/>
      <c s="30" r="D729"/>
      <c s="16" r="E729"/>
      <c s="16" r="F729"/>
      <c s="16" r="G729"/>
      <c s="16" r="H729"/>
      <c s="16" r="I729"/>
      <c s="16" r="J729"/>
      <c s="16" r="K729"/>
      <c s="80" r="L729"/>
      <c s="79" r="M729"/>
      <c s="79" r="N729"/>
      <c s="79" r="O729"/>
      <c s="79" r="P729"/>
      <c s="17" r="Q729"/>
      <c s="17" r="R729"/>
      <c s="7" r="S729"/>
      <c s="7" r="T729"/>
      <c s="7" r="U729"/>
      <c s="7" r="V729"/>
      <c s="30" r="W729"/>
      <c s="30" r="X729"/>
      <c s="30" r="Y729"/>
      <c s="30" r="Z729"/>
      <c s="30" r="AA729"/>
      <c s="30" r="AB729"/>
      <c s="30" r="AC729"/>
      <c s="30" r="AD729"/>
      <c s="30" r="AE729"/>
      <c s="10" r="AF729"/>
      <c s="10" r="AG729"/>
      <c s="10" r="AH729"/>
      <c s="10" r="AI729"/>
      <c s="10" r="AJ729"/>
      <c s="10" r="AK729"/>
      <c s="30" r="AL729"/>
    </row>
    <row r="730">
      <c s="30" r="A730"/>
      <c s="30" r="B730"/>
      <c s="30" r="C730"/>
      <c s="30" r="D730"/>
      <c s="16" r="E730"/>
      <c s="16" r="F730"/>
      <c s="16" r="G730"/>
      <c s="16" r="H730"/>
      <c s="16" r="I730"/>
      <c s="16" r="J730"/>
      <c s="16" r="K730"/>
      <c s="80" r="L730"/>
      <c s="79" r="M730"/>
      <c s="79" r="N730"/>
      <c s="79" r="O730"/>
      <c s="79" r="P730"/>
      <c s="17" r="Q730"/>
      <c s="17" r="R730"/>
      <c s="7" r="S730"/>
      <c s="7" r="T730"/>
      <c s="7" r="U730"/>
      <c s="7" r="V730"/>
      <c s="30" r="W730"/>
      <c s="30" r="X730"/>
      <c s="30" r="Y730"/>
      <c s="30" r="Z730"/>
      <c s="30" r="AA730"/>
      <c s="30" r="AB730"/>
      <c s="30" r="AC730"/>
      <c s="30" r="AD730"/>
      <c s="30" r="AE730"/>
      <c s="10" r="AF730"/>
      <c s="10" r="AG730"/>
      <c s="10" r="AH730"/>
      <c s="10" r="AI730"/>
      <c s="10" r="AJ730"/>
      <c s="10" r="AK730"/>
      <c s="30" r="AL730"/>
    </row>
    <row r="731">
      <c s="30" r="A731"/>
      <c s="30" r="B731"/>
      <c s="30" r="C731"/>
      <c s="30" r="D731"/>
      <c s="16" r="E731"/>
      <c s="16" r="F731"/>
      <c s="16" r="G731"/>
      <c s="16" r="H731"/>
      <c s="16" r="I731"/>
      <c s="16" r="J731"/>
      <c s="16" r="K731"/>
      <c s="80" r="L731"/>
      <c s="79" r="M731"/>
      <c s="79" r="N731"/>
      <c s="79" r="O731"/>
      <c s="79" r="P731"/>
      <c s="17" r="Q731"/>
      <c s="17" r="R731"/>
      <c s="7" r="S731"/>
      <c s="7" r="T731"/>
      <c s="7" r="U731"/>
      <c s="7" r="V731"/>
      <c s="30" r="W731"/>
      <c s="30" r="X731"/>
      <c s="30" r="Y731"/>
      <c s="30" r="Z731"/>
      <c s="30" r="AA731"/>
      <c s="30" r="AB731"/>
      <c s="30" r="AC731"/>
      <c s="30" r="AD731"/>
      <c s="30" r="AE731"/>
      <c s="10" r="AF731"/>
      <c s="10" r="AG731"/>
      <c s="10" r="AH731"/>
      <c s="10" r="AI731"/>
      <c s="10" r="AJ731"/>
      <c s="10" r="AK731"/>
      <c s="30" r="AL731"/>
    </row>
    <row r="732">
      <c s="30" r="A732"/>
      <c s="30" r="B732"/>
      <c s="30" r="C732"/>
      <c s="30" r="D732"/>
      <c s="16" r="E732"/>
      <c s="16" r="F732"/>
      <c s="16" r="G732"/>
      <c s="16" r="H732"/>
      <c s="16" r="I732"/>
      <c s="16" r="J732"/>
      <c s="16" r="K732"/>
      <c s="80" r="L732"/>
      <c s="79" r="M732"/>
      <c s="79" r="N732"/>
      <c s="79" r="O732"/>
      <c s="79" r="P732"/>
      <c s="17" r="Q732"/>
      <c s="17" r="R732"/>
      <c s="7" r="S732"/>
      <c s="7" r="T732"/>
      <c s="7" r="U732"/>
      <c s="7" r="V732"/>
      <c s="30" r="W732"/>
      <c s="30" r="X732"/>
      <c s="30" r="Y732"/>
      <c s="30" r="Z732"/>
      <c s="30" r="AA732"/>
      <c s="30" r="AB732"/>
      <c s="30" r="AC732"/>
      <c s="30" r="AD732"/>
      <c s="30" r="AE732"/>
      <c s="10" r="AF732"/>
      <c s="10" r="AG732"/>
      <c s="10" r="AH732"/>
      <c s="10" r="AI732"/>
      <c s="10" r="AJ732"/>
      <c s="10" r="AK732"/>
      <c s="30" r="AL732"/>
    </row>
    <row r="733">
      <c s="30" r="A733"/>
      <c s="30" r="B733"/>
      <c s="30" r="C733"/>
      <c s="30" r="D733"/>
      <c s="16" r="E733"/>
      <c s="16" r="F733"/>
      <c s="16" r="G733"/>
      <c s="16" r="H733"/>
      <c s="16" r="I733"/>
      <c s="16" r="J733"/>
      <c s="16" r="K733"/>
      <c s="80" r="L733"/>
      <c s="79" r="M733"/>
      <c s="79" r="N733"/>
      <c s="79" r="O733"/>
      <c s="79" r="P733"/>
      <c s="17" r="Q733"/>
      <c s="17" r="R733"/>
      <c s="7" r="S733"/>
      <c s="7" r="T733"/>
      <c s="7" r="U733"/>
      <c s="7" r="V733"/>
      <c s="30" r="W733"/>
      <c s="30" r="X733"/>
      <c s="30" r="Y733"/>
      <c s="30" r="Z733"/>
      <c s="30" r="AA733"/>
      <c s="30" r="AB733"/>
      <c s="30" r="AC733"/>
      <c s="30" r="AD733"/>
      <c s="30" r="AE733"/>
      <c s="10" r="AF733"/>
      <c s="10" r="AG733"/>
      <c s="10" r="AH733"/>
      <c s="10" r="AI733"/>
      <c s="10" r="AJ733"/>
      <c s="10" r="AK733"/>
      <c s="30" r="AL733"/>
    </row>
    <row r="734">
      <c s="30" r="A734"/>
      <c s="30" r="B734"/>
      <c s="30" r="C734"/>
      <c s="30" r="D734"/>
      <c s="16" r="E734"/>
      <c s="16" r="F734"/>
      <c s="16" r="G734"/>
      <c s="16" r="H734"/>
      <c s="16" r="I734"/>
      <c s="16" r="J734"/>
      <c s="16" r="K734"/>
      <c s="80" r="L734"/>
      <c s="79" r="M734"/>
      <c s="79" r="N734"/>
      <c s="79" r="O734"/>
      <c s="79" r="P734"/>
      <c s="17" r="Q734"/>
      <c s="17" r="R734"/>
      <c s="7" r="S734"/>
      <c s="7" r="T734"/>
      <c s="7" r="U734"/>
      <c s="7" r="V734"/>
      <c s="30" r="W734"/>
      <c s="30" r="X734"/>
      <c s="30" r="Y734"/>
      <c s="30" r="Z734"/>
      <c s="30" r="AA734"/>
      <c s="30" r="AB734"/>
      <c s="30" r="AC734"/>
      <c s="30" r="AD734"/>
      <c s="30" r="AE734"/>
      <c s="10" r="AF734"/>
      <c s="10" r="AG734"/>
      <c s="10" r="AH734"/>
      <c s="10" r="AI734"/>
      <c s="10" r="AJ734"/>
      <c s="10" r="AK734"/>
      <c s="30" r="AL734"/>
    </row>
    <row r="735">
      <c s="30" r="A735"/>
      <c s="30" r="B735"/>
      <c s="30" r="C735"/>
      <c s="30" r="D735"/>
      <c s="16" r="E735"/>
      <c s="16" r="F735"/>
      <c s="16" r="G735"/>
      <c s="16" r="H735"/>
      <c s="16" r="I735"/>
      <c s="16" r="J735"/>
      <c s="16" r="K735"/>
      <c s="80" r="L735"/>
      <c s="79" r="M735"/>
      <c s="79" r="N735"/>
      <c s="79" r="O735"/>
      <c s="79" r="P735"/>
      <c s="17" r="Q735"/>
      <c s="17" r="R735"/>
      <c s="7" r="S735"/>
      <c s="7" r="T735"/>
      <c s="7" r="U735"/>
      <c s="7" r="V735"/>
      <c s="30" r="W735"/>
      <c s="30" r="X735"/>
      <c s="30" r="Y735"/>
      <c s="30" r="Z735"/>
      <c s="30" r="AA735"/>
      <c s="30" r="AB735"/>
      <c s="30" r="AC735"/>
      <c s="30" r="AD735"/>
      <c s="30" r="AE735"/>
      <c s="10" r="AF735"/>
      <c s="10" r="AG735"/>
      <c s="10" r="AH735"/>
      <c s="10" r="AI735"/>
      <c s="10" r="AJ735"/>
      <c s="10" r="AK735"/>
      <c s="30" r="AL735"/>
    </row>
    <row r="736">
      <c s="30" r="A736"/>
      <c s="30" r="B736"/>
      <c s="30" r="C736"/>
      <c s="30" r="D736"/>
      <c s="16" r="E736"/>
      <c s="16" r="F736"/>
      <c s="16" r="G736"/>
      <c s="16" r="H736"/>
      <c s="16" r="I736"/>
      <c s="16" r="J736"/>
      <c s="16" r="K736"/>
      <c s="80" r="L736"/>
      <c s="79" r="M736"/>
      <c s="79" r="N736"/>
      <c s="79" r="O736"/>
      <c s="79" r="P736"/>
      <c s="17" r="Q736"/>
      <c s="17" r="R736"/>
      <c s="7" r="S736"/>
      <c s="7" r="T736"/>
      <c s="7" r="U736"/>
      <c s="7" r="V736"/>
      <c s="30" r="W736"/>
      <c s="30" r="X736"/>
      <c s="30" r="Y736"/>
      <c s="30" r="Z736"/>
      <c s="30" r="AA736"/>
      <c s="30" r="AB736"/>
      <c s="30" r="AC736"/>
      <c s="30" r="AD736"/>
      <c s="30" r="AE736"/>
      <c s="10" r="AF736"/>
      <c s="10" r="AG736"/>
      <c s="10" r="AH736"/>
      <c s="10" r="AI736"/>
      <c s="10" r="AJ736"/>
      <c s="10" r="AK736"/>
      <c s="30" r="AL736"/>
    </row>
    <row r="737">
      <c s="30" r="A737"/>
      <c s="30" r="B737"/>
      <c s="30" r="C737"/>
      <c s="30" r="D737"/>
      <c s="16" r="E737"/>
      <c s="16" r="F737"/>
      <c s="16" r="G737"/>
      <c s="16" r="H737"/>
      <c s="16" r="I737"/>
      <c s="16" r="J737"/>
      <c s="16" r="K737"/>
      <c s="80" r="L737"/>
      <c s="79" r="M737"/>
      <c s="79" r="N737"/>
      <c s="79" r="O737"/>
      <c s="79" r="P737"/>
      <c s="17" r="Q737"/>
      <c s="17" r="R737"/>
      <c s="7" r="S737"/>
      <c s="7" r="T737"/>
      <c s="7" r="U737"/>
      <c s="7" r="V737"/>
      <c s="30" r="W737"/>
      <c s="30" r="X737"/>
      <c s="30" r="Y737"/>
      <c s="30" r="Z737"/>
      <c s="30" r="AA737"/>
      <c s="30" r="AB737"/>
      <c s="30" r="AC737"/>
      <c s="30" r="AD737"/>
      <c s="30" r="AE737"/>
      <c s="10" r="AF737"/>
      <c s="10" r="AG737"/>
      <c s="10" r="AH737"/>
      <c s="10" r="AI737"/>
      <c s="10" r="AJ737"/>
      <c s="10" r="AK737"/>
      <c s="30" r="AL737"/>
    </row>
    <row r="738">
      <c s="30" r="A738"/>
      <c s="30" r="B738"/>
      <c s="30" r="C738"/>
      <c s="30" r="D738"/>
      <c s="16" r="E738"/>
      <c s="16" r="F738"/>
      <c s="16" r="G738"/>
      <c s="16" r="H738"/>
      <c s="16" r="I738"/>
      <c s="16" r="J738"/>
      <c s="16" r="K738"/>
      <c s="80" r="L738"/>
      <c s="79" r="M738"/>
      <c s="79" r="N738"/>
      <c s="79" r="O738"/>
      <c s="79" r="P738"/>
      <c s="17" r="Q738"/>
      <c s="17" r="R738"/>
      <c s="7" r="S738"/>
      <c s="7" r="T738"/>
      <c s="7" r="U738"/>
      <c s="7" r="V738"/>
      <c s="30" r="W738"/>
      <c s="30" r="X738"/>
      <c s="30" r="Y738"/>
      <c s="30" r="Z738"/>
      <c s="30" r="AA738"/>
      <c s="30" r="AB738"/>
      <c s="30" r="AC738"/>
      <c s="30" r="AD738"/>
      <c s="30" r="AE738"/>
      <c s="10" r="AF738"/>
      <c s="10" r="AG738"/>
      <c s="10" r="AH738"/>
      <c s="10" r="AI738"/>
      <c s="10" r="AJ738"/>
      <c s="10" r="AK738"/>
      <c s="30" r="AL738"/>
    </row>
    <row r="739">
      <c s="30" r="A739"/>
      <c s="30" r="B739"/>
      <c s="30" r="C739"/>
      <c s="30" r="D739"/>
      <c s="16" r="E739"/>
      <c s="16" r="F739"/>
      <c s="16" r="G739"/>
      <c s="16" r="H739"/>
      <c s="16" r="I739"/>
      <c s="16" r="J739"/>
      <c s="16" r="K739"/>
      <c s="80" r="L739"/>
      <c s="79" r="M739"/>
      <c s="79" r="N739"/>
      <c s="79" r="O739"/>
      <c s="79" r="P739"/>
      <c s="17" r="Q739"/>
      <c s="17" r="R739"/>
      <c s="7" r="S739"/>
      <c s="7" r="T739"/>
      <c s="7" r="U739"/>
      <c s="7" r="V739"/>
      <c s="30" r="W739"/>
      <c s="30" r="X739"/>
      <c s="30" r="Y739"/>
      <c s="30" r="Z739"/>
      <c s="30" r="AA739"/>
      <c s="30" r="AB739"/>
      <c s="30" r="AC739"/>
      <c s="30" r="AD739"/>
      <c s="30" r="AE739"/>
      <c s="10" r="AF739"/>
      <c s="10" r="AG739"/>
      <c s="10" r="AH739"/>
      <c s="10" r="AI739"/>
      <c s="10" r="AJ739"/>
      <c s="10" r="AK739"/>
      <c s="30" r="AL739"/>
    </row>
    <row r="740">
      <c s="30" r="A740"/>
      <c s="30" r="B740"/>
      <c s="30" r="C740"/>
      <c s="30" r="D740"/>
      <c s="16" r="E740"/>
      <c s="16" r="F740"/>
      <c s="16" r="G740"/>
      <c s="16" r="H740"/>
      <c s="16" r="I740"/>
      <c s="16" r="J740"/>
      <c s="16" r="K740"/>
      <c s="80" r="L740"/>
      <c s="79" r="M740"/>
      <c s="79" r="N740"/>
      <c s="79" r="O740"/>
      <c s="79" r="P740"/>
      <c s="17" r="Q740"/>
      <c s="17" r="R740"/>
      <c s="7" r="S740"/>
      <c s="7" r="T740"/>
      <c s="7" r="U740"/>
      <c s="7" r="V740"/>
      <c s="30" r="W740"/>
      <c s="30" r="X740"/>
      <c s="30" r="Y740"/>
      <c s="30" r="Z740"/>
      <c s="30" r="AA740"/>
      <c s="30" r="AB740"/>
      <c s="30" r="AC740"/>
      <c s="30" r="AD740"/>
      <c s="30" r="AE740"/>
      <c s="10" r="AF740"/>
      <c s="10" r="AG740"/>
      <c s="10" r="AH740"/>
      <c s="10" r="AI740"/>
      <c s="10" r="AJ740"/>
      <c s="10" r="AK740"/>
      <c s="30" r="AL740"/>
    </row>
    <row r="741">
      <c s="30" r="A741"/>
      <c s="30" r="B741"/>
      <c s="30" r="C741"/>
      <c s="30" r="D741"/>
      <c s="16" r="E741"/>
      <c s="16" r="F741"/>
      <c s="16" r="G741"/>
      <c s="16" r="H741"/>
      <c s="16" r="I741"/>
      <c s="16" r="J741"/>
      <c s="16" r="K741"/>
      <c s="80" r="L741"/>
      <c s="79" r="M741"/>
      <c s="79" r="N741"/>
      <c s="79" r="O741"/>
      <c s="79" r="P741"/>
      <c s="17" r="Q741"/>
      <c s="17" r="R741"/>
      <c s="7" r="S741"/>
      <c s="7" r="T741"/>
      <c s="7" r="U741"/>
      <c s="7" r="V741"/>
      <c s="30" r="W741"/>
      <c s="30" r="X741"/>
      <c s="30" r="Y741"/>
      <c s="30" r="Z741"/>
      <c s="30" r="AA741"/>
      <c s="30" r="AB741"/>
      <c s="30" r="AC741"/>
      <c s="30" r="AD741"/>
      <c s="30" r="AE741"/>
      <c s="10" r="AF741"/>
      <c s="10" r="AG741"/>
      <c s="10" r="AH741"/>
      <c s="10" r="AI741"/>
      <c s="10" r="AJ741"/>
      <c s="10" r="AK741"/>
      <c s="30" r="AL741"/>
    </row>
    <row r="742">
      <c s="30" r="A742"/>
      <c s="30" r="B742"/>
      <c s="30" r="C742"/>
      <c s="30" r="D742"/>
      <c s="16" r="E742"/>
      <c s="16" r="F742"/>
      <c s="16" r="G742"/>
      <c s="16" r="H742"/>
      <c s="16" r="I742"/>
      <c s="16" r="J742"/>
      <c s="16" r="K742"/>
      <c s="80" r="L742"/>
      <c s="79" r="M742"/>
      <c s="79" r="N742"/>
      <c s="79" r="O742"/>
      <c s="79" r="P742"/>
      <c s="17" r="Q742"/>
      <c s="17" r="R742"/>
      <c s="7" r="S742"/>
      <c s="7" r="T742"/>
      <c s="7" r="U742"/>
      <c s="7" r="V742"/>
      <c s="30" r="W742"/>
      <c s="30" r="X742"/>
      <c s="30" r="Y742"/>
      <c s="30" r="Z742"/>
      <c s="30" r="AA742"/>
      <c s="30" r="AB742"/>
      <c s="30" r="AC742"/>
      <c s="30" r="AD742"/>
      <c s="30" r="AE742"/>
      <c s="10" r="AF742"/>
      <c s="10" r="AG742"/>
      <c s="10" r="AH742"/>
      <c s="10" r="AI742"/>
      <c s="10" r="AJ742"/>
      <c s="10" r="AK742"/>
      <c s="30" r="AL742"/>
    </row>
    <row r="743">
      <c s="30" r="A743"/>
      <c s="30" r="B743"/>
      <c s="30" r="C743"/>
      <c s="30" r="D743"/>
      <c s="16" r="E743"/>
      <c s="16" r="F743"/>
      <c s="16" r="G743"/>
      <c s="16" r="H743"/>
      <c s="16" r="I743"/>
      <c s="16" r="J743"/>
      <c s="16" r="K743"/>
      <c s="80" r="L743"/>
      <c s="79" r="M743"/>
      <c s="79" r="N743"/>
      <c s="79" r="O743"/>
      <c s="79" r="P743"/>
      <c s="17" r="Q743"/>
      <c s="17" r="R743"/>
      <c s="7" r="S743"/>
      <c s="7" r="T743"/>
      <c s="7" r="U743"/>
      <c s="7" r="V743"/>
      <c s="30" r="W743"/>
      <c s="30" r="X743"/>
      <c s="30" r="Y743"/>
      <c s="30" r="Z743"/>
      <c s="30" r="AA743"/>
      <c s="30" r="AB743"/>
      <c s="30" r="AC743"/>
      <c s="30" r="AD743"/>
      <c s="30" r="AE743"/>
      <c s="10" r="AF743"/>
      <c s="10" r="AG743"/>
      <c s="10" r="AH743"/>
      <c s="10" r="AI743"/>
      <c s="10" r="AJ743"/>
      <c s="10" r="AK743"/>
      <c s="30" r="AL743"/>
    </row>
    <row r="744">
      <c s="30" r="A744"/>
      <c s="30" r="B744"/>
      <c s="30" r="C744"/>
      <c s="30" r="D744"/>
      <c s="16" r="E744"/>
      <c s="16" r="F744"/>
      <c s="16" r="G744"/>
      <c s="16" r="H744"/>
      <c s="16" r="I744"/>
      <c s="16" r="J744"/>
      <c s="16" r="K744"/>
      <c s="80" r="L744"/>
      <c s="79" r="M744"/>
      <c s="79" r="N744"/>
      <c s="79" r="O744"/>
      <c s="79" r="P744"/>
      <c s="17" r="Q744"/>
      <c s="17" r="R744"/>
      <c s="7" r="S744"/>
      <c s="7" r="T744"/>
      <c s="7" r="U744"/>
      <c s="7" r="V744"/>
      <c s="30" r="W744"/>
      <c s="30" r="X744"/>
      <c s="30" r="Y744"/>
      <c s="30" r="Z744"/>
      <c s="30" r="AA744"/>
      <c s="30" r="AB744"/>
      <c s="30" r="AC744"/>
      <c s="30" r="AD744"/>
      <c s="30" r="AE744"/>
      <c s="10" r="AF744"/>
      <c s="10" r="AG744"/>
      <c s="10" r="AH744"/>
      <c s="10" r="AI744"/>
      <c s="10" r="AJ744"/>
      <c s="10" r="AK744"/>
      <c s="30" r="AL744"/>
    </row>
    <row r="745">
      <c s="30" r="A745"/>
      <c s="30" r="B745"/>
      <c s="30" r="C745"/>
      <c s="30" r="D745"/>
      <c s="16" r="E745"/>
      <c s="16" r="F745"/>
      <c s="16" r="G745"/>
      <c s="16" r="H745"/>
      <c s="16" r="I745"/>
      <c s="16" r="J745"/>
      <c s="16" r="K745"/>
      <c s="80" r="L745"/>
      <c s="79" r="M745"/>
      <c s="79" r="N745"/>
      <c s="79" r="O745"/>
      <c s="79" r="P745"/>
      <c s="17" r="Q745"/>
      <c s="17" r="R745"/>
      <c s="7" r="S745"/>
      <c s="7" r="T745"/>
      <c s="7" r="U745"/>
      <c s="7" r="V745"/>
      <c s="30" r="W745"/>
      <c s="30" r="X745"/>
      <c s="30" r="Y745"/>
      <c s="30" r="Z745"/>
      <c s="30" r="AA745"/>
      <c s="30" r="AB745"/>
      <c s="30" r="AC745"/>
      <c s="30" r="AD745"/>
      <c s="30" r="AE745"/>
      <c s="10" r="AF745"/>
      <c s="10" r="AG745"/>
      <c s="10" r="AH745"/>
      <c s="10" r="AI745"/>
      <c s="10" r="AJ745"/>
      <c s="10" r="AK745"/>
      <c s="30" r="AL745"/>
    </row>
    <row r="746">
      <c s="30" r="A746"/>
      <c s="30" r="B746"/>
      <c s="30" r="C746"/>
      <c s="30" r="D746"/>
      <c s="16" r="E746"/>
      <c s="16" r="F746"/>
      <c s="16" r="G746"/>
      <c s="16" r="H746"/>
      <c s="16" r="I746"/>
      <c s="16" r="J746"/>
      <c s="16" r="K746"/>
      <c s="80" r="L746"/>
      <c s="79" r="M746"/>
      <c s="79" r="N746"/>
      <c s="79" r="O746"/>
      <c s="79" r="P746"/>
      <c s="17" r="Q746"/>
      <c s="17" r="R746"/>
      <c s="7" r="S746"/>
      <c s="7" r="T746"/>
      <c s="7" r="U746"/>
      <c s="7" r="V746"/>
      <c s="30" r="W746"/>
      <c s="30" r="X746"/>
      <c s="30" r="Y746"/>
      <c s="30" r="Z746"/>
      <c s="30" r="AA746"/>
      <c s="30" r="AB746"/>
      <c s="30" r="AC746"/>
      <c s="30" r="AD746"/>
      <c s="30" r="AE746"/>
      <c s="10" r="AF746"/>
      <c s="10" r="AG746"/>
      <c s="10" r="AH746"/>
      <c s="10" r="AI746"/>
      <c s="10" r="AJ746"/>
      <c s="10" r="AK746"/>
      <c s="30" r="AL746"/>
    </row>
    <row r="747">
      <c s="30" r="A747"/>
      <c s="30" r="B747"/>
      <c s="30" r="C747"/>
      <c s="30" r="D747"/>
      <c s="16" r="E747"/>
      <c s="16" r="F747"/>
      <c s="16" r="G747"/>
      <c s="16" r="H747"/>
      <c s="16" r="I747"/>
      <c s="16" r="J747"/>
      <c s="16" r="K747"/>
      <c s="80" r="L747"/>
      <c s="79" r="M747"/>
      <c s="79" r="N747"/>
      <c s="79" r="O747"/>
      <c s="79" r="P747"/>
      <c s="17" r="Q747"/>
      <c s="17" r="R747"/>
      <c s="7" r="S747"/>
      <c s="7" r="T747"/>
      <c s="7" r="U747"/>
      <c s="7" r="V747"/>
      <c s="30" r="W747"/>
      <c s="30" r="X747"/>
      <c s="30" r="Y747"/>
      <c s="30" r="Z747"/>
      <c s="30" r="AA747"/>
      <c s="30" r="AB747"/>
      <c s="30" r="AC747"/>
      <c s="30" r="AD747"/>
      <c s="30" r="AE747"/>
      <c s="10" r="AF747"/>
      <c s="10" r="AG747"/>
      <c s="10" r="AH747"/>
      <c s="10" r="AI747"/>
      <c s="10" r="AJ747"/>
      <c s="10" r="AK747"/>
      <c s="30" r="AL747"/>
    </row>
    <row r="748">
      <c s="30" r="A748"/>
      <c s="30" r="B748"/>
      <c s="30" r="C748"/>
      <c s="30" r="D748"/>
      <c s="16" r="E748"/>
      <c s="16" r="F748"/>
      <c s="16" r="G748"/>
      <c s="16" r="H748"/>
      <c s="16" r="I748"/>
      <c s="16" r="J748"/>
      <c s="16" r="K748"/>
      <c s="80" r="L748"/>
      <c s="79" r="M748"/>
      <c s="79" r="N748"/>
      <c s="79" r="O748"/>
      <c s="79" r="P748"/>
      <c s="17" r="Q748"/>
      <c s="17" r="R748"/>
      <c s="7" r="S748"/>
      <c s="7" r="T748"/>
      <c s="7" r="U748"/>
      <c s="7" r="V748"/>
      <c s="30" r="W748"/>
      <c s="30" r="X748"/>
      <c s="30" r="Y748"/>
      <c s="30" r="Z748"/>
      <c s="30" r="AA748"/>
      <c s="30" r="AB748"/>
      <c s="30" r="AC748"/>
      <c s="30" r="AD748"/>
      <c s="30" r="AE748"/>
      <c s="10" r="AF748"/>
      <c s="10" r="AG748"/>
      <c s="10" r="AH748"/>
      <c s="10" r="AI748"/>
      <c s="10" r="AJ748"/>
      <c s="10" r="AK748"/>
      <c s="30" r="AL748"/>
    </row>
    <row r="749">
      <c s="30" r="A749"/>
      <c s="30" r="B749"/>
      <c s="30" r="C749"/>
      <c s="30" r="D749"/>
      <c s="16" r="E749"/>
      <c s="16" r="F749"/>
      <c s="16" r="G749"/>
      <c s="16" r="H749"/>
      <c s="16" r="I749"/>
      <c s="16" r="J749"/>
      <c s="16" r="K749"/>
      <c s="80" r="L749"/>
      <c s="79" r="M749"/>
      <c s="79" r="N749"/>
      <c s="79" r="O749"/>
      <c s="79" r="P749"/>
      <c s="17" r="Q749"/>
      <c s="17" r="R749"/>
      <c s="7" r="S749"/>
      <c s="7" r="T749"/>
      <c s="7" r="U749"/>
      <c s="7" r="V749"/>
      <c s="30" r="W749"/>
      <c s="30" r="X749"/>
      <c s="30" r="Y749"/>
      <c s="30" r="Z749"/>
      <c s="30" r="AA749"/>
      <c s="30" r="AB749"/>
      <c s="30" r="AC749"/>
      <c s="30" r="AD749"/>
      <c s="30" r="AE749"/>
      <c s="10" r="AF749"/>
      <c s="10" r="AG749"/>
      <c s="10" r="AH749"/>
      <c s="10" r="AI749"/>
      <c s="10" r="AJ749"/>
      <c s="10" r="AK749"/>
      <c s="30" r="AL749"/>
    </row>
    <row r="750">
      <c s="30" r="A750"/>
      <c s="30" r="B750"/>
      <c s="30" r="C750"/>
      <c s="30" r="D750"/>
      <c s="16" r="E750"/>
      <c s="16" r="F750"/>
      <c s="16" r="G750"/>
      <c s="16" r="H750"/>
      <c s="16" r="I750"/>
      <c s="16" r="J750"/>
      <c s="16" r="K750"/>
      <c s="80" r="L750"/>
      <c s="79" r="M750"/>
      <c s="79" r="N750"/>
      <c s="79" r="O750"/>
      <c s="79" r="P750"/>
      <c s="17" r="Q750"/>
      <c s="17" r="R750"/>
      <c s="7" r="S750"/>
      <c s="7" r="T750"/>
      <c s="7" r="U750"/>
      <c s="7" r="V750"/>
      <c s="30" r="W750"/>
      <c s="30" r="X750"/>
      <c s="30" r="Y750"/>
      <c s="30" r="Z750"/>
      <c s="30" r="AA750"/>
      <c s="30" r="AB750"/>
      <c s="30" r="AC750"/>
      <c s="30" r="AD750"/>
      <c s="30" r="AE750"/>
      <c s="10" r="AF750"/>
      <c s="10" r="AG750"/>
      <c s="10" r="AH750"/>
      <c s="10" r="AI750"/>
      <c s="10" r="AJ750"/>
      <c s="10" r="AK750"/>
      <c s="30" r="AL750"/>
    </row>
    <row r="751">
      <c s="30" r="A751"/>
      <c s="30" r="B751"/>
      <c s="30" r="C751"/>
      <c s="30" r="D751"/>
      <c s="16" r="E751"/>
      <c s="16" r="F751"/>
      <c s="16" r="G751"/>
      <c s="16" r="H751"/>
      <c s="16" r="I751"/>
      <c s="16" r="J751"/>
      <c s="16" r="K751"/>
      <c s="80" r="L751"/>
      <c s="79" r="M751"/>
      <c s="79" r="N751"/>
      <c s="79" r="O751"/>
      <c s="79" r="P751"/>
      <c s="17" r="Q751"/>
      <c s="17" r="R751"/>
      <c s="7" r="S751"/>
      <c s="7" r="T751"/>
      <c s="7" r="U751"/>
      <c s="7" r="V751"/>
      <c s="30" r="W751"/>
      <c s="30" r="X751"/>
      <c s="30" r="Y751"/>
      <c s="30" r="Z751"/>
      <c s="30" r="AA751"/>
      <c s="30" r="AB751"/>
      <c s="30" r="AC751"/>
      <c s="30" r="AD751"/>
      <c s="30" r="AE751"/>
      <c s="10" r="AF751"/>
      <c s="10" r="AG751"/>
      <c s="10" r="AH751"/>
      <c s="10" r="AI751"/>
      <c s="10" r="AJ751"/>
      <c s="10" r="AK751"/>
      <c s="30" r="AL751"/>
    </row>
    <row r="752">
      <c s="30" r="A752"/>
      <c s="30" r="B752"/>
      <c s="30" r="C752"/>
      <c s="30" r="D752"/>
      <c s="16" r="E752"/>
      <c s="16" r="F752"/>
      <c s="16" r="G752"/>
      <c s="16" r="H752"/>
      <c s="16" r="I752"/>
      <c s="16" r="J752"/>
      <c s="16" r="K752"/>
      <c s="80" r="L752"/>
      <c s="79" r="M752"/>
      <c s="79" r="N752"/>
      <c s="79" r="O752"/>
      <c s="79" r="P752"/>
      <c s="17" r="Q752"/>
      <c s="17" r="R752"/>
      <c s="7" r="S752"/>
      <c s="7" r="T752"/>
      <c s="7" r="U752"/>
      <c s="7" r="V752"/>
      <c s="30" r="W752"/>
      <c s="30" r="X752"/>
      <c s="30" r="Y752"/>
      <c s="30" r="Z752"/>
      <c s="30" r="AA752"/>
      <c s="30" r="AB752"/>
      <c s="30" r="AC752"/>
      <c s="30" r="AD752"/>
      <c s="30" r="AE752"/>
      <c s="10" r="AF752"/>
      <c s="10" r="AG752"/>
      <c s="10" r="AH752"/>
      <c s="10" r="AI752"/>
      <c s="10" r="AJ752"/>
      <c s="10" r="AK752"/>
      <c s="30" r="AL752"/>
    </row>
    <row r="753">
      <c s="30" r="A753"/>
      <c s="30" r="B753"/>
      <c s="30" r="C753"/>
      <c s="30" r="D753"/>
      <c s="16" r="E753"/>
      <c s="16" r="F753"/>
      <c s="16" r="G753"/>
      <c s="16" r="H753"/>
      <c s="16" r="I753"/>
      <c s="16" r="J753"/>
      <c s="16" r="K753"/>
      <c s="80" r="L753"/>
      <c s="79" r="M753"/>
      <c s="79" r="N753"/>
      <c s="79" r="O753"/>
      <c s="79" r="P753"/>
      <c s="17" r="Q753"/>
      <c s="17" r="R753"/>
      <c s="7" r="S753"/>
      <c s="7" r="T753"/>
      <c s="7" r="U753"/>
      <c s="7" r="V753"/>
      <c s="30" r="W753"/>
      <c s="30" r="X753"/>
      <c s="30" r="Y753"/>
      <c s="30" r="Z753"/>
      <c s="30" r="AA753"/>
      <c s="30" r="AB753"/>
      <c s="30" r="AC753"/>
      <c s="30" r="AD753"/>
      <c s="30" r="AE753"/>
      <c s="10" r="AF753"/>
      <c s="10" r="AG753"/>
      <c s="10" r="AH753"/>
      <c s="10" r="AI753"/>
      <c s="10" r="AJ753"/>
      <c s="10" r="AK753"/>
      <c s="30" r="AL753"/>
    </row>
    <row r="754">
      <c s="30" r="A754"/>
      <c s="30" r="B754"/>
      <c s="30" r="C754"/>
      <c s="30" r="D754"/>
      <c s="16" r="E754"/>
      <c s="16" r="F754"/>
      <c s="16" r="G754"/>
      <c s="16" r="H754"/>
      <c s="16" r="I754"/>
      <c s="16" r="J754"/>
      <c s="16" r="K754"/>
      <c s="80" r="L754"/>
      <c s="79" r="M754"/>
      <c s="79" r="N754"/>
      <c s="79" r="O754"/>
      <c s="79" r="P754"/>
      <c s="17" r="Q754"/>
      <c s="17" r="R754"/>
      <c s="7" r="S754"/>
      <c s="7" r="T754"/>
      <c s="7" r="U754"/>
      <c s="7" r="V754"/>
      <c s="30" r="W754"/>
      <c s="30" r="X754"/>
      <c s="30" r="Y754"/>
      <c s="30" r="Z754"/>
      <c s="30" r="AA754"/>
      <c s="30" r="AB754"/>
      <c s="30" r="AC754"/>
      <c s="30" r="AD754"/>
      <c s="30" r="AE754"/>
      <c s="10" r="AF754"/>
      <c s="10" r="AG754"/>
      <c s="10" r="AH754"/>
      <c s="10" r="AI754"/>
      <c s="10" r="AJ754"/>
      <c s="10" r="AK754"/>
      <c s="30" r="AL754"/>
    </row>
    <row r="755">
      <c s="30" r="A755"/>
      <c s="30" r="B755"/>
      <c s="30" r="C755"/>
      <c s="30" r="D755"/>
      <c s="16" r="E755"/>
      <c s="16" r="F755"/>
      <c s="16" r="G755"/>
      <c s="16" r="H755"/>
      <c s="16" r="I755"/>
      <c s="16" r="J755"/>
      <c s="16" r="K755"/>
      <c s="80" r="L755"/>
      <c s="79" r="M755"/>
      <c s="79" r="N755"/>
      <c s="79" r="O755"/>
      <c s="79" r="P755"/>
      <c s="17" r="Q755"/>
      <c s="17" r="R755"/>
      <c s="7" r="S755"/>
      <c s="7" r="T755"/>
      <c s="7" r="U755"/>
      <c s="7" r="V755"/>
      <c s="30" r="W755"/>
      <c s="30" r="X755"/>
      <c s="30" r="Y755"/>
      <c s="30" r="Z755"/>
      <c s="30" r="AA755"/>
      <c s="30" r="AB755"/>
      <c s="30" r="AC755"/>
      <c s="30" r="AD755"/>
      <c s="30" r="AE755"/>
      <c s="10" r="AF755"/>
      <c s="10" r="AG755"/>
      <c s="10" r="AH755"/>
      <c s="10" r="AI755"/>
      <c s="10" r="AJ755"/>
      <c s="10" r="AK755"/>
      <c s="30" r="AL755"/>
    </row>
    <row r="756">
      <c s="30" r="A756"/>
      <c s="30" r="B756"/>
      <c s="30" r="C756"/>
      <c s="30" r="D756"/>
      <c s="16" r="E756"/>
      <c s="16" r="F756"/>
      <c s="16" r="G756"/>
      <c s="16" r="H756"/>
      <c s="16" r="I756"/>
      <c s="16" r="J756"/>
      <c s="16" r="K756"/>
      <c s="80" r="L756"/>
      <c s="79" r="M756"/>
      <c s="79" r="N756"/>
      <c s="79" r="O756"/>
      <c s="79" r="P756"/>
      <c s="17" r="Q756"/>
      <c s="17" r="R756"/>
      <c s="7" r="S756"/>
      <c s="7" r="T756"/>
      <c s="7" r="U756"/>
      <c s="7" r="V756"/>
      <c s="30" r="W756"/>
      <c s="30" r="X756"/>
      <c s="30" r="Y756"/>
      <c s="30" r="Z756"/>
      <c s="30" r="AA756"/>
      <c s="30" r="AB756"/>
      <c s="30" r="AC756"/>
      <c s="30" r="AD756"/>
      <c s="30" r="AE756"/>
      <c s="10" r="AF756"/>
      <c s="10" r="AG756"/>
      <c s="10" r="AH756"/>
      <c s="10" r="AI756"/>
      <c s="10" r="AJ756"/>
      <c s="10" r="AK756"/>
      <c s="30" r="AL756"/>
    </row>
    <row r="757">
      <c s="30" r="A757"/>
      <c s="30" r="B757"/>
      <c s="30" r="C757"/>
      <c s="30" r="D757"/>
      <c s="16" r="E757"/>
      <c s="16" r="F757"/>
      <c s="16" r="G757"/>
      <c s="16" r="H757"/>
      <c s="16" r="I757"/>
      <c s="16" r="J757"/>
      <c s="16" r="K757"/>
      <c s="80" r="L757"/>
      <c s="79" r="M757"/>
      <c s="79" r="N757"/>
      <c s="79" r="O757"/>
      <c s="79" r="P757"/>
      <c s="17" r="Q757"/>
      <c s="17" r="R757"/>
      <c s="7" r="S757"/>
      <c s="7" r="T757"/>
      <c s="7" r="U757"/>
      <c s="7" r="V757"/>
      <c s="30" r="W757"/>
      <c s="30" r="X757"/>
      <c s="30" r="Y757"/>
      <c s="30" r="Z757"/>
      <c s="30" r="AA757"/>
      <c s="30" r="AB757"/>
      <c s="30" r="AC757"/>
      <c s="30" r="AD757"/>
      <c s="30" r="AE757"/>
      <c s="10" r="AF757"/>
      <c s="10" r="AG757"/>
      <c s="10" r="AH757"/>
      <c s="10" r="AI757"/>
      <c s="10" r="AJ757"/>
      <c s="10" r="AK757"/>
      <c s="30" r="AL757"/>
    </row>
    <row r="758">
      <c s="30" r="A758"/>
      <c s="30" r="B758"/>
      <c s="30" r="C758"/>
      <c s="30" r="D758"/>
      <c s="16" r="E758"/>
      <c s="16" r="F758"/>
      <c s="16" r="G758"/>
      <c s="16" r="H758"/>
      <c s="16" r="I758"/>
      <c s="16" r="J758"/>
      <c s="16" r="K758"/>
      <c s="80" r="L758"/>
      <c s="79" r="M758"/>
      <c s="79" r="N758"/>
      <c s="79" r="O758"/>
      <c s="79" r="P758"/>
      <c s="17" r="Q758"/>
      <c s="17" r="R758"/>
      <c s="7" r="S758"/>
      <c s="7" r="T758"/>
      <c s="7" r="U758"/>
      <c s="7" r="V758"/>
      <c s="30" r="W758"/>
      <c s="30" r="X758"/>
      <c s="30" r="Y758"/>
      <c s="30" r="Z758"/>
      <c s="30" r="AA758"/>
      <c s="30" r="AB758"/>
      <c s="30" r="AC758"/>
      <c s="30" r="AD758"/>
      <c s="30" r="AE758"/>
      <c s="10" r="AF758"/>
      <c s="10" r="AG758"/>
      <c s="10" r="AH758"/>
      <c s="10" r="AI758"/>
      <c s="10" r="AJ758"/>
      <c s="10" r="AK758"/>
      <c s="30" r="AL758"/>
    </row>
    <row r="759">
      <c s="30" r="A759"/>
      <c s="30" r="B759"/>
      <c s="30" r="C759"/>
      <c s="30" r="D759"/>
      <c s="16" r="E759"/>
      <c s="16" r="F759"/>
      <c s="16" r="G759"/>
      <c s="16" r="H759"/>
      <c s="16" r="I759"/>
      <c s="16" r="J759"/>
      <c s="16" r="K759"/>
      <c s="80" r="L759"/>
      <c s="79" r="M759"/>
      <c s="79" r="N759"/>
      <c s="79" r="O759"/>
      <c s="79" r="P759"/>
      <c s="17" r="Q759"/>
      <c s="17" r="R759"/>
      <c s="7" r="S759"/>
      <c s="7" r="T759"/>
      <c s="7" r="U759"/>
      <c s="7" r="V759"/>
      <c s="30" r="W759"/>
      <c s="30" r="X759"/>
      <c s="30" r="Y759"/>
      <c s="30" r="Z759"/>
      <c s="30" r="AA759"/>
      <c s="30" r="AB759"/>
      <c s="30" r="AC759"/>
      <c s="30" r="AD759"/>
      <c s="30" r="AE759"/>
      <c s="10" r="AF759"/>
      <c s="10" r="AG759"/>
      <c s="10" r="AH759"/>
      <c s="10" r="AI759"/>
      <c s="10" r="AJ759"/>
      <c s="10" r="AK759"/>
      <c s="30" r="AL759"/>
    </row>
    <row r="760">
      <c s="30" r="A760"/>
      <c s="30" r="B760"/>
      <c s="30" r="C760"/>
      <c s="30" r="D760"/>
      <c s="16" r="E760"/>
      <c s="16" r="F760"/>
      <c s="16" r="G760"/>
      <c s="16" r="H760"/>
      <c s="16" r="I760"/>
      <c s="16" r="J760"/>
      <c s="16" r="K760"/>
      <c s="80" r="L760"/>
      <c s="79" r="M760"/>
      <c s="79" r="N760"/>
      <c s="79" r="O760"/>
      <c s="79" r="P760"/>
      <c s="17" r="Q760"/>
      <c s="17" r="R760"/>
      <c s="7" r="S760"/>
      <c s="7" r="T760"/>
      <c s="7" r="U760"/>
      <c s="7" r="V760"/>
      <c s="30" r="W760"/>
      <c s="30" r="X760"/>
      <c s="30" r="Y760"/>
      <c s="30" r="Z760"/>
      <c s="30" r="AA760"/>
      <c s="30" r="AB760"/>
      <c s="30" r="AC760"/>
      <c s="30" r="AD760"/>
      <c s="30" r="AE760"/>
      <c s="10" r="AF760"/>
      <c s="10" r="AG760"/>
      <c s="10" r="AH760"/>
      <c s="10" r="AI760"/>
      <c s="10" r="AJ760"/>
      <c s="10" r="AK760"/>
      <c s="30" r="AL760"/>
    </row>
    <row r="761">
      <c s="30" r="A761"/>
      <c s="30" r="B761"/>
      <c s="30" r="C761"/>
      <c s="30" r="D761"/>
      <c s="16" r="E761"/>
      <c s="16" r="F761"/>
      <c s="16" r="G761"/>
      <c s="16" r="H761"/>
      <c s="16" r="I761"/>
      <c s="16" r="J761"/>
      <c s="16" r="K761"/>
      <c s="80" r="L761"/>
      <c s="79" r="M761"/>
      <c s="79" r="N761"/>
      <c s="79" r="O761"/>
      <c s="79" r="P761"/>
      <c s="17" r="Q761"/>
      <c s="17" r="R761"/>
      <c s="7" r="S761"/>
      <c s="7" r="T761"/>
      <c s="7" r="U761"/>
      <c s="7" r="V761"/>
      <c s="30" r="W761"/>
      <c s="30" r="X761"/>
      <c s="30" r="Y761"/>
      <c s="30" r="Z761"/>
      <c s="30" r="AA761"/>
      <c s="30" r="AB761"/>
      <c s="30" r="AC761"/>
      <c s="30" r="AD761"/>
      <c s="30" r="AE761"/>
      <c s="10" r="AF761"/>
      <c s="10" r="AG761"/>
      <c s="10" r="AH761"/>
      <c s="10" r="AI761"/>
      <c s="10" r="AJ761"/>
      <c s="10" r="AK761"/>
      <c s="30" r="AL761"/>
    </row>
    <row r="762">
      <c s="30" r="A762"/>
      <c s="30" r="B762"/>
      <c s="30" r="C762"/>
      <c s="30" r="D762"/>
      <c s="16" r="E762"/>
      <c s="16" r="F762"/>
      <c s="16" r="G762"/>
      <c s="16" r="H762"/>
      <c s="16" r="I762"/>
      <c s="16" r="J762"/>
      <c s="16" r="K762"/>
      <c s="80" r="L762"/>
      <c s="79" r="M762"/>
      <c s="79" r="N762"/>
      <c s="79" r="O762"/>
      <c s="79" r="P762"/>
      <c s="17" r="Q762"/>
      <c s="17" r="R762"/>
      <c s="7" r="S762"/>
      <c s="7" r="T762"/>
      <c s="7" r="U762"/>
      <c s="7" r="V762"/>
      <c s="30" r="W762"/>
      <c s="30" r="X762"/>
      <c s="30" r="Y762"/>
      <c s="30" r="Z762"/>
      <c s="30" r="AA762"/>
      <c s="30" r="AB762"/>
      <c s="30" r="AC762"/>
      <c s="30" r="AD762"/>
      <c s="30" r="AE762"/>
      <c s="10" r="AF762"/>
      <c s="10" r="AG762"/>
      <c s="10" r="AH762"/>
      <c s="10" r="AI762"/>
      <c s="10" r="AJ762"/>
      <c s="10" r="AK762"/>
      <c s="30" r="AL762"/>
    </row>
    <row r="763">
      <c s="30" r="A763"/>
      <c s="30" r="B763"/>
      <c s="30" r="C763"/>
      <c s="30" r="D763"/>
      <c s="16" r="E763"/>
      <c s="16" r="F763"/>
      <c s="16" r="G763"/>
      <c s="16" r="H763"/>
      <c s="16" r="I763"/>
      <c s="16" r="J763"/>
      <c s="16" r="K763"/>
      <c s="80" r="L763"/>
      <c s="79" r="M763"/>
      <c s="79" r="N763"/>
      <c s="79" r="O763"/>
      <c s="79" r="P763"/>
      <c s="17" r="Q763"/>
      <c s="17" r="R763"/>
      <c s="7" r="S763"/>
      <c s="7" r="T763"/>
      <c s="7" r="U763"/>
      <c s="7" r="V763"/>
      <c s="30" r="W763"/>
      <c s="30" r="X763"/>
      <c s="30" r="Y763"/>
      <c s="30" r="Z763"/>
      <c s="30" r="AA763"/>
      <c s="30" r="AB763"/>
      <c s="30" r="AC763"/>
      <c s="30" r="AD763"/>
      <c s="30" r="AE763"/>
      <c s="10" r="AF763"/>
      <c s="10" r="AG763"/>
      <c s="10" r="AH763"/>
      <c s="10" r="AI763"/>
      <c s="10" r="AJ763"/>
      <c s="10" r="AK763"/>
      <c s="30" r="AL763"/>
    </row>
    <row r="764">
      <c s="30" r="A764"/>
      <c s="30" r="B764"/>
      <c s="30" r="C764"/>
      <c s="30" r="D764"/>
      <c s="16" r="E764"/>
      <c s="16" r="F764"/>
      <c s="16" r="G764"/>
      <c s="16" r="H764"/>
      <c s="16" r="I764"/>
      <c s="16" r="J764"/>
      <c s="16" r="K764"/>
      <c s="80" r="L764"/>
      <c s="79" r="M764"/>
      <c s="79" r="N764"/>
      <c s="79" r="O764"/>
      <c s="79" r="P764"/>
      <c s="17" r="Q764"/>
      <c s="17" r="R764"/>
      <c s="7" r="S764"/>
      <c s="7" r="T764"/>
      <c s="7" r="U764"/>
      <c s="7" r="V764"/>
      <c s="30" r="W764"/>
      <c s="30" r="X764"/>
      <c s="30" r="Y764"/>
      <c s="30" r="Z764"/>
      <c s="30" r="AA764"/>
      <c s="30" r="AB764"/>
      <c s="30" r="AC764"/>
      <c s="30" r="AD764"/>
      <c s="30" r="AE764"/>
      <c s="10" r="AF764"/>
      <c s="10" r="AG764"/>
      <c s="10" r="AH764"/>
      <c s="10" r="AI764"/>
      <c s="10" r="AJ764"/>
      <c s="10" r="AK764"/>
      <c s="30" r="AL764"/>
    </row>
    <row r="765">
      <c s="30" r="A765"/>
      <c s="30" r="B765"/>
      <c s="30" r="C765"/>
      <c s="30" r="D765"/>
      <c s="16" r="E765"/>
      <c s="16" r="F765"/>
      <c s="16" r="G765"/>
      <c s="16" r="H765"/>
      <c s="16" r="I765"/>
      <c s="16" r="J765"/>
      <c s="16" r="K765"/>
      <c s="80" r="L765"/>
      <c s="79" r="M765"/>
      <c s="79" r="N765"/>
      <c s="79" r="O765"/>
      <c s="79" r="P765"/>
      <c s="17" r="Q765"/>
      <c s="17" r="R765"/>
      <c s="7" r="S765"/>
      <c s="7" r="T765"/>
      <c s="7" r="U765"/>
      <c s="7" r="V765"/>
      <c s="30" r="W765"/>
      <c s="30" r="X765"/>
      <c s="30" r="Y765"/>
      <c s="30" r="Z765"/>
      <c s="30" r="AA765"/>
      <c s="30" r="AB765"/>
      <c s="30" r="AC765"/>
      <c s="30" r="AD765"/>
      <c s="30" r="AE765"/>
      <c s="10" r="AF765"/>
      <c s="10" r="AG765"/>
      <c s="10" r="AH765"/>
      <c s="10" r="AI765"/>
      <c s="10" r="AJ765"/>
      <c s="10" r="AK765"/>
      <c s="30" r="AL765"/>
    </row>
    <row r="766">
      <c s="30" r="A766"/>
      <c s="30" r="B766"/>
      <c s="30" r="C766"/>
      <c s="30" r="D766"/>
      <c s="16" r="E766"/>
      <c s="16" r="F766"/>
      <c s="16" r="G766"/>
      <c s="16" r="H766"/>
      <c s="16" r="I766"/>
      <c s="16" r="J766"/>
      <c s="16" r="K766"/>
      <c s="80" r="L766"/>
      <c s="79" r="M766"/>
      <c s="79" r="N766"/>
      <c s="79" r="O766"/>
      <c s="79" r="P766"/>
      <c s="17" r="Q766"/>
      <c s="17" r="R766"/>
      <c s="7" r="S766"/>
      <c s="7" r="T766"/>
      <c s="7" r="U766"/>
      <c s="7" r="V766"/>
      <c s="30" r="W766"/>
      <c s="30" r="X766"/>
      <c s="30" r="Y766"/>
      <c s="30" r="Z766"/>
      <c s="30" r="AA766"/>
      <c s="30" r="AB766"/>
      <c s="30" r="AC766"/>
      <c s="30" r="AD766"/>
      <c s="30" r="AE766"/>
      <c s="10" r="AF766"/>
      <c s="10" r="AG766"/>
      <c s="10" r="AH766"/>
      <c s="10" r="AI766"/>
      <c s="10" r="AJ766"/>
      <c s="10" r="AK766"/>
      <c s="30" r="AL766"/>
    </row>
    <row r="767">
      <c s="30" r="A767"/>
      <c s="30" r="B767"/>
      <c s="30" r="C767"/>
      <c s="30" r="D767"/>
      <c s="16" r="E767"/>
      <c s="16" r="F767"/>
      <c s="16" r="G767"/>
      <c s="16" r="H767"/>
      <c s="16" r="I767"/>
      <c s="16" r="J767"/>
      <c s="16" r="K767"/>
      <c s="80" r="L767"/>
      <c s="79" r="M767"/>
      <c s="79" r="N767"/>
      <c s="79" r="O767"/>
      <c s="79" r="P767"/>
      <c s="17" r="Q767"/>
      <c s="17" r="R767"/>
      <c s="7" r="S767"/>
      <c s="7" r="T767"/>
      <c s="7" r="U767"/>
      <c s="7" r="V767"/>
      <c s="30" r="W767"/>
      <c s="30" r="X767"/>
      <c s="30" r="Y767"/>
      <c s="30" r="Z767"/>
      <c s="30" r="AA767"/>
      <c s="30" r="AB767"/>
      <c s="30" r="AC767"/>
      <c s="30" r="AD767"/>
      <c s="30" r="AE767"/>
      <c s="10" r="AF767"/>
      <c s="10" r="AG767"/>
      <c s="10" r="AH767"/>
      <c s="10" r="AI767"/>
      <c s="10" r="AJ767"/>
      <c s="10" r="AK767"/>
      <c s="30" r="AL767"/>
    </row>
    <row r="768">
      <c s="30" r="A768"/>
      <c s="30" r="B768"/>
      <c s="30" r="C768"/>
      <c s="30" r="D768"/>
      <c s="16" r="E768"/>
      <c s="16" r="F768"/>
      <c s="16" r="G768"/>
      <c s="16" r="H768"/>
      <c s="16" r="I768"/>
      <c s="16" r="J768"/>
      <c s="16" r="K768"/>
      <c s="80" r="L768"/>
      <c s="79" r="M768"/>
      <c s="79" r="N768"/>
      <c s="79" r="O768"/>
      <c s="79" r="P768"/>
      <c s="17" r="Q768"/>
      <c s="17" r="R768"/>
      <c s="7" r="S768"/>
      <c s="7" r="T768"/>
      <c s="7" r="U768"/>
      <c s="7" r="V768"/>
      <c s="30" r="W768"/>
      <c s="30" r="X768"/>
      <c s="30" r="Y768"/>
      <c s="30" r="Z768"/>
      <c s="30" r="AA768"/>
      <c s="30" r="AB768"/>
      <c s="30" r="AC768"/>
      <c s="30" r="AD768"/>
      <c s="30" r="AE768"/>
      <c s="10" r="AF768"/>
      <c s="10" r="AG768"/>
      <c s="10" r="AH768"/>
      <c s="10" r="AI768"/>
      <c s="10" r="AJ768"/>
      <c s="10" r="AK768"/>
      <c s="30" r="AL768"/>
    </row>
    <row r="769">
      <c s="30" r="A769"/>
      <c s="30" r="B769"/>
      <c s="30" r="C769"/>
      <c s="30" r="D769"/>
      <c s="16" r="E769"/>
      <c s="16" r="F769"/>
      <c s="16" r="G769"/>
      <c s="16" r="H769"/>
      <c s="16" r="I769"/>
      <c s="16" r="J769"/>
      <c s="16" r="K769"/>
      <c s="80" r="L769"/>
      <c s="79" r="M769"/>
      <c s="79" r="N769"/>
      <c s="79" r="O769"/>
      <c s="79" r="P769"/>
      <c s="17" r="Q769"/>
      <c s="17" r="R769"/>
      <c s="7" r="S769"/>
      <c s="7" r="T769"/>
      <c s="7" r="U769"/>
      <c s="7" r="V769"/>
      <c s="30" r="W769"/>
      <c s="30" r="X769"/>
      <c s="30" r="Y769"/>
      <c s="30" r="Z769"/>
      <c s="30" r="AA769"/>
      <c s="30" r="AB769"/>
      <c s="30" r="AC769"/>
      <c s="30" r="AD769"/>
      <c s="30" r="AE769"/>
      <c s="10" r="AF769"/>
      <c s="10" r="AG769"/>
      <c s="10" r="AH769"/>
      <c s="10" r="AI769"/>
      <c s="10" r="AJ769"/>
      <c s="10" r="AK769"/>
      <c s="30" r="AL769"/>
    </row>
    <row r="770">
      <c s="30" r="A770"/>
      <c s="30" r="B770"/>
      <c s="30" r="C770"/>
      <c s="30" r="D770"/>
      <c s="16" r="E770"/>
      <c s="16" r="F770"/>
      <c s="16" r="G770"/>
      <c s="16" r="H770"/>
      <c s="16" r="I770"/>
      <c s="16" r="J770"/>
      <c s="16" r="K770"/>
      <c s="80" r="L770"/>
      <c s="79" r="M770"/>
      <c s="79" r="N770"/>
      <c s="79" r="O770"/>
      <c s="79" r="P770"/>
      <c s="17" r="Q770"/>
      <c s="17" r="R770"/>
      <c s="7" r="S770"/>
      <c s="7" r="T770"/>
      <c s="7" r="U770"/>
      <c s="7" r="V770"/>
      <c s="30" r="W770"/>
      <c s="30" r="X770"/>
      <c s="30" r="Y770"/>
      <c s="30" r="Z770"/>
      <c s="30" r="AA770"/>
      <c s="30" r="AB770"/>
      <c s="30" r="AC770"/>
      <c s="30" r="AD770"/>
      <c s="30" r="AE770"/>
      <c s="10" r="AF770"/>
      <c s="10" r="AG770"/>
      <c s="10" r="AH770"/>
      <c s="10" r="AI770"/>
      <c s="10" r="AJ770"/>
      <c s="10" r="AK770"/>
      <c s="30" r="AL770"/>
    </row>
    <row r="771">
      <c s="30" r="A771"/>
      <c s="30" r="B771"/>
      <c s="30" r="C771"/>
      <c s="30" r="D771"/>
      <c s="16" r="E771"/>
      <c s="16" r="F771"/>
      <c s="16" r="G771"/>
      <c s="16" r="H771"/>
      <c s="16" r="I771"/>
      <c s="16" r="J771"/>
      <c s="16" r="K771"/>
      <c s="80" r="L771"/>
      <c s="79" r="M771"/>
      <c s="79" r="N771"/>
      <c s="79" r="O771"/>
      <c s="79" r="P771"/>
      <c s="17" r="Q771"/>
      <c s="17" r="R771"/>
      <c s="7" r="S771"/>
      <c s="7" r="T771"/>
      <c s="7" r="U771"/>
      <c s="7" r="V771"/>
      <c s="30" r="W771"/>
      <c s="30" r="X771"/>
      <c s="30" r="Y771"/>
      <c s="30" r="Z771"/>
      <c s="30" r="AA771"/>
      <c s="30" r="AB771"/>
      <c s="30" r="AC771"/>
      <c s="30" r="AD771"/>
      <c s="30" r="AE771"/>
      <c s="10" r="AF771"/>
      <c s="10" r="AG771"/>
      <c s="10" r="AH771"/>
      <c s="10" r="AI771"/>
      <c s="10" r="AJ771"/>
      <c s="10" r="AK771"/>
      <c s="30" r="AL771"/>
    </row>
    <row r="772">
      <c s="30" r="A772"/>
      <c s="30" r="B772"/>
      <c s="30" r="C772"/>
      <c s="30" r="D772"/>
      <c s="16" r="E772"/>
      <c s="16" r="F772"/>
      <c s="16" r="G772"/>
      <c s="16" r="H772"/>
      <c s="16" r="I772"/>
      <c s="16" r="J772"/>
      <c s="16" r="K772"/>
      <c s="80" r="L772"/>
      <c s="79" r="M772"/>
      <c s="79" r="N772"/>
      <c s="79" r="O772"/>
      <c s="79" r="P772"/>
      <c s="17" r="Q772"/>
      <c s="17" r="R772"/>
      <c s="7" r="S772"/>
      <c s="7" r="T772"/>
      <c s="7" r="U772"/>
      <c s="7" r="V772"/>
      <c s="30" r="W772"/>
      <c s="30" r="X772"/>
      <c s="30" r="Y772"/>
      <c s="30" r="Z772"/>
      <c s="30" r="AA772"/>
      <c s="30" r="AB772"/>
      <c s="30" r="AC772"/>
      <c s="30" r="AD772"/>
      <c s="30" r="AE772"/>
      <c s="10" r="AF772"/>
      <c s="10" r="AG772"/>
      <c s="10" r="AH772"/>
      <c s="10" r="AI772"/>
      <c s="10" r="AJ772"/>
      <c s="10" r="AK772"/>
      <c s="30" r="AL772"/>
    </row>
    <row r="773">
      <c s="30" r="A773"/>
      <c s="30" r="B773"/>
      <c s="30" r="C773"/>
      <c s="30" r="D773"/>
      <c s="16" r="E773"/>
      <c s="16" r="F773"/>
      <c s="16" r="G773"/>
      <c s="16" r="H773"/>
      <c s="16" r="I773"/>
      <c s="16" r="J773"/>
      <c s="16" r="K773"/>
      <c s="80" r="L773"/>
      <c s="79" r="M773"/>
      <c s="79" r="N773"/>
      <c s="79" r="O773"/>
      <c s="79" r="P773"/>
      <c s="17" r="Q773"/>
      <c s="17" r="R773"/>
      <c s="7" r="S773"/>
      <c s="7" r="T773"/>
      <c s="7" r="U773"/>
      <c s="7" r="V773"/>
      <c s="30" r="W773"/>
      <c s="30" r="X773"/>
      <c s="30" r="Y773"/>
      <c s="30" r="Z773"/>
      <c s="30" r="AA773"/>
      <c s="30" r="AB773"/>
      <c s="30" r="AC773"/>
      <c s="30" r="AD773"/>
      <c s="30" r="AE773"/>
      <c s="10" r="AF773"/>
      <c s="10" r="AG773"/>
      <c s="10" r="AH773"/>
      <c s="10" r="AI773"/>
      <c s="10" r="AJ773"/>
      <c s="10" r="AK773"/>
      <c s="30" r="AL773"/>
    </row>
    <row r="774">
      <c s="30" r="A774"/>
      <c s="30" r="B774"/>
      <c s="30" r="C774"/>
      <c s="30" r="D774"/>
      <c s="16" r="E774"/>
      <c s="16" r="F774"/>
      <c s="16" r="G774"/>
      <c s="16" r="H774"/>
      <c s="16" r="I774"/>
      <c s="16" r="J774"/>
      <c s="16" r="K774"/>
      <c s="80" r="L774"/>
      <c s="79" r="M774"/>
      <c s="79" r="N774"/>
      <c s="79" r="O774"/>
      <c s="79" r="P774"/>
      <c s="17" r="Q774"/>
      <c s="17" r="R774"/>
      <c s="7" r="S774"/>
      <c s="7" r="T774"/>
      <c s="7" r="U774"/>
      <c s="7" r="V774"/>
      <c s="30" r="W774"/>
      <c s="30" r="X774"/>
      <c s="30" r="Y774"/>
      <c s="30" r="Z774"/>
      <c s="30" r="AA774"/>
      <c s="30" r="AB774"/>
      <c s="30" r="AC774"/>
      <c s="30" r="AD774"/>
      <c s="30" r="AE774"/>
      <c s="10" r="AF774"/>
      <c s="10" r="AG774"/>
      <c s="10" r="AH774"/>
      <c s="10" r="AI774"/>
      <c s="10" r="AJ774"/>
      <c s="10" r="AK774"/>
      <c s="30" r="AL774"/>
    </row>
    <row r="775">
      <c s="30" r="A775"/>
      <c s="30" r="B775"/>
      <c s="30" r="C775"/>
      <c s="30" r="D775"/>
      <c s="16" r="E775"/>
      <c s="16" r="F775"/>
      <c s="16" r="G775"/>
      <c s="16" r="H775"/>
      <c s="16" r="I775"/>
      <c s="16" r="J775"/>
      <c s="16" r="K775"/>
      <c s="80" r="L775"/>
      <c s="79" r="M775"/>
      <c s="79" r="N775"/>
      <c s="79" r="O775"/>
      <c s="79" r="P775"/>
      <c s="17" r="Q775"/>
      <c s="17" r="R775"/>
      <c s="7" r="S775"/>
      <c s="7" r="T775"/>
      <c s="7" r="U775"/>
      <c s="7" r="V775"/>
      <c s="30" r="W775"/>
      <c s="30" r="X775"/>
      <c s="30" r="Y775"/>
      <c s="30" r="Z775"/>
      <c s="30" r="AA775"/>
      <c s="30" r="AB775"/>
      <c s="30" r="AC775"/>
      <c s="30" r="AD775"/>
      <c s="30" r="AE775"/>
      <c s="10" r="AF775"/>
      <c s="10" r="AG775"/>
      <c s="10" r="AH775"/>
      <c s="10" r="AI775"/>
      <c s="10" r="AJ775"/>
      <c s="10" r="AK775"/>
      <c s="30" r="AL775"/>
    </row>
    <row r="776">
      <c s="30" r="A776"/>
      <c s="30" r="B776"/>
      <c s="30" r="C776"/>
      <c s="30" r="D776"/>
      <c s="16" r="E776"/>
      <c s="16" r="F776"/>
      <c s="16" r="G776"/>
      <c s="16" r="H776"/>
      <c s="16" r="I776"/>
      <c s="16" r="J776"/>
      <c s="16" r="K776"/>
      <c s="80" r="L776"/>
      <c s="79" r="M776"/>
      <c s="79" r="N776"/>
      <c s="79" r="O776"/>
      <c s="79" r="P776"/>
      <c s="17" r="Q776"/>
      <c s="17" r="R776"/>
      <c s="7" r="S776"/>
      <c s="7" r="T776"/>
      <c s="7" r="U776"/>
      <c s="7" r="V776"/>
      <c s="30" r="W776"/>
      <c s="30" r="X776"/>
      <c s="30" r="Y776"/>
      <c s="30" r="Z776"/>
      <c s="30" r="AA776"/>
      <c s="30" r="AB776"/>
      <c s="30" r="AC776"/>
      <c s="30" r="AD776"/>
      <c s="30" r="AE776"/>
      <c s="10" r="AF776"/>
      <c s="10" r="AG776"/>
      <c s="10" r="AH776"/>
      <c s="10" r="AI776"/>
      <c s="10" r="AJ776"/>
      <c s="10" r="AK776"/>
      <c s="30" r="AL776"/>
    </row>
    <row r="777">
      <c s="30" r="A777"/>
      <c s="30" r="B777"/>
      <c s="30" r="C777"/>
      <c s="30" r="D777"/>
      <c s="16" r="E777"/>
      <c s="16" r="F777"/>
      <c s="16" r="G777"/>
      <c s="16" r="H777"/>
      <c s="16" r="I777"/>
      <c s="16" r="J777"/>
      <c s="16" r="K777"/>
      <c s="80" r="L777"/>
      <c s="79" r="M777"/>
      <c s="79" r="N777"/>
      <c s="79" r="O777"/>
      <c s="79" r="P777"/>
      <c s="17" r="Q777"/>
      <c s="17" r="R777"/>
      <c s="7" r="S777"/>
      <c s="7" r="T777"/>
      <c s="7" r="U777"/>
      <c s="7" r="V777"/>
      <c s="30" r="W777"/>
      <c s="30" r="X777"/>
      <c s="30" r="Y777"/>
      <c s="30" r="Z777"/>
      <c s="30" r="AA777"/>
      <c s="30" r="AB777"/>
      <c s="30" r="AC777"/>
      <c s="30" r="AD777"/>
      <c s="30" r="AE777"/>
      <c s="10" r="AF777"/>
      <c s="10" r="AG777"/>
      <c s="10" r="AH777"/>
      <c s="10" r="AI777"/>
      <c s="10" r="AJ777"/>
      <c s="10" r="AK777"/>
      <c s="30" r="AL777"/>
    </row>
    <row r="778">
      <c s="30" r="A778"/>
      <c s="30" r="B778"/>
      <c s="30" r="C778"/>
      <c s="30" r="D778"/>
      <c s="16" r="E778"/>
      <c s="16" r="F778"/>
      <c s="16" r="G778"/>
      <c s="16" r="H778"/>
      <c s="16" r="I778"/>
      <c s="16" r="J778"/>
      <c s="16" r="K778"/>
      <c s="80" r="L778"/>
      <c s="79" r="M778"/>
      <c s="79" r="N778"/>
      <c s="79" r="O778"/>
      <c s="79" r="P778"/>
      <c s="17" r="Q778"/>
      <c s="17" r="R778"/>
      <c s="7" r="S778"/>
      <c s="7" r="T778"/>
      <c s="7" r="U778"/>
      <c s="7" r="V778"/>
      <c s="30" r="W778"/>
      <c s="30" r="X778"/>
      <c s="30" r="Y778"/>
      <c s="30" r="Z778"/>
      <c s="30" r="AA778"/>
      <c s="30" r="AB778"/>
      <c s="30" r="AC778"/>
      <c s="30" r="AD778"/>
      <c s="30" r="AE778"/>
      <c s="10" r="AF778"/>
      <c s="10" r="AG778"/>
      <c s="10" r="AH778"/>
      <c s="10" r="AI778"/>
      <c s="10" r="AJ778"/>
      <c s="10" r="AK778"/>
      <c s="30" r="AL778"/>
    </row>
    <row r="779">
      <c s="30" r="A779"/>
      <c s="30" r="B779"/>
      <c s="30" r="C779"/>
      <c s="30" r="D779"/>
      <c s="16" r="E779"/>
      <c s="16" r="F779"/>
      <c s="16" r="G779"/>
      <c s="16" r="H779"/>
      <c s="16" r="I779"/>
      <c s="16" r="J779"/>
      <c s="16" r="K779"/>
      <c s="80" r="L779"/>
      <c s="79" r="M779"/>
      <c s="79" r="N779"/>
      <c s="79" r="O779"/>
      <c s="79" r="P779"/>
      <c s="17" r="Q779"/>
      <c s="17" r="R779"/>
      <c s="7" r="S779"/>
      <c s="7" r="T779"/>
      <c s="7" r="U779"/>
      <c s="7" r="V779"/>
      <c s="30" r="W779"/>
      <c s="30" r="X779"/>
      <c s="30" r="Y779"/>
      <c s="30" r="Z779"/>
      <c s="30" r="AA779"/>
      <c s="30" r="AB779"/>
      <c s="30" r="AC779"/>
      <c s="30" r="AD779"/>
      <c s="30" r="AE779"/>
      <c s="10" r="AF779"/>
      <c s="10" r="AG779"/>
      <c s="10" r="AH779"/>
      <c s="10" r="AI779"/>
      <c s="10" r="AJ779"/>
      <c s="10" r="AK779"/>
      <c s="30" r="AL779"/>
    </row>
    <row r="780">
      <c s="30" r="A780"/>
      <c s="30" r="B780"/>
      <c s="30" r="C780"/>
      <c s="30" r="D780"/>
      <c s="16" r="E780"/>
      <c s="16" r="F780"/>
      <c s="16" r="G780"/>
      <c s="16" r="H780"/>
      <c s="16" r="I780"/>
      <c s="16" r="J780"/>
      <c s="16" r="K780"/>
      <c s="80" r="L780"/>
      <c s="79" r="M780"/>
      <c s="79" r="N780"/>
      <c s="79" r="O780"/>
      <c s="79" r="P780"/>
      <c s="17" r="Q780"/>
      <c s="17" r="R780"/>
      <c s="7" r="S780"/>
      <c s="7" r="T780"/>
      <c s="7" r="U780"/>
      <c s="7" r="V780"/>
      <c s="30" r="W780"/>
      <c s="30" r="X780"/>
      <c s="30" r="Y780"/>
      <c s="30" r="Z780"/>
      <c s="30" r="AA780"/>
      <c s="30" r="AB780"/>
      <c s="30" r="AC780"/>
      <c s="30" r="AD780"/>
      <c s="30" r="AE780"/>
      <c s="10" r="AF780"/>
      <c s="10" r="AG780"/>
      <c s="10" r="AH780"/>
      <c s="10" r="AI780"/>
      <c s="10" r="AJ780"/>
      <c s="10" r="AK780"/>
      <c s="30" r="AL780"/>
    </row>
    <row r="781">
      <c s="30" r="A781"/>
      <c s="30" r="B781"/>
      <c s="30" r="C781"/>
      <c s="30" r="D781"/>
      <c s="16" r="E781"/>
      <c s="16" r="F781"/>
      <c s="16" r="G781"/>
      <c s="16" r="H781"/>
      <c s="16" r="I781"/>
      <c s="16" r="J781"/>
      <c s="16" r="K781"/>
      <c s="80" r="L781"/>
      <c s="79" r="M781"/>
      <c s="79" r="N781"/>
      <c s="79" r="O781"/>
      <c s="79" r="P781"/>
      <c s="17" r="Q781"/>
      <c s="17" r="R781"/>
      <c s="7" r="S781"/>
      <c s="7" r="T781"/>
      <c s="7" r="U781"/>
      <c s="7" r="V781"/>
      <c s="30" r="W781"/>
      <c s="30" r="X781"/>
      <c s="30" r="Y781"/>
      <c s="30" r="Z781"/>
      <c s="30" r="AA781"/>
      <c s="30" r="AB781"/>
      <c s="30" r="AC781"/>
      <c s="30" r="AD781"/>
      <c s="30" r="AE781"/>
      <c s="10" r="AF781"/>
      <c s="10" r="AG781"/>
      <c s="10" r="AH781"/>
      <c s="10" r="AI781"/>
      <c s="10" r="AJ781"/>
      <c s="10" r="AK781"/>
      <c s="30" r="AL781"/>
    </row>
    <row r="782">
      <c s="30" r="A782"/>
      <c s="30" r="B782"/>
      <c s="30" r="C782"/>
      <c s="30" r="D782"/>
      <c s="16" r="E782"/>
      <c s="16" r="F782"/>
      <c s="16" r="G782"/>
      <c s="16" r="H782"/>
      <c s="16" r="I782"/>
      <c s="16" r="J782"/>
      <c s="16" r="K782"/>
      <c s="80" r="L782"/>
      <c s="79" r="M782"/>
      <c s="79" r="N782"/>
      <c s="79" r="O782"/>
      <c s="79" r="P782"/>
      <c s="17" r="Q782"/>
      <c s="17" r="R782"/>
      <c s="7" r="S782"/>
      <c s="7" r="T782"/>
      <c s="7" r="U782"/>
      <c s="7" r="V782"/>
      <c s="30" r="W782"/>
      <c s="30" r="X782"/>
      <c s="30" r="Y782"/>
      <c s="30" r="Z782"/>
      <c s="30" r="AA782"/>
      <c s="30" r="AB782"/>
      <c s="30" r="AC782"/>
      <c s="30" r="AD782"/>
      <c s="30" r="AE782"/>
      <c s="10" r="AF782"/>
      <c s="10" r="AG782"/>
      <c s="10" r="AH782"/>
      <c s="10" r="AI782"/>
      <c s="10" r="AJ782"/>
      <c s="10" r="AK782"/>
      <c s="30" r="AL782"/>
    </row>
    <row r="783">
      <c s="30" r="A783"/>
      <c s="30" r="B783"/>
      <c s="30" r="C783"/>
      <c s="30" r="D783"/>
      <c s="16" r="E783"/>
      <c s="16" r="F783"/>
      <c s="16" r="G783"/>
      <c s="16" r="H783"/>
      <c s="16" r="I783"/>
      <c s="16" r="J783"/>
      <c s="16" r="K783"/>
      <c s="80" r="L783"/>
      <c s="79" r="M783"/>
      <c s="79" r="N783"/>
      <c s="79" r="O783"/>
      <c s="79" r="P783"/>
      <c s="17" r="Q783"/>
      <c s="17" r="R783"/>
      <c s="7" r="S783"/>
      <c s="7" r="T783"/>
      <c s="7" r="U783"/>
      <c s="7" r="V783"/>
      <c s="30" r="W783"/>
      <c s="30" r="X783"/>
      <c s="30" r="Y783"/>
      <c s="30" r="Z783"/>
      <c s="30" r="AA783"/>
      <c s="30" r="AB783"/>
      <c s="30" r="AC783"/>
      <c s="30" r="AD783"/>
      <c s="30" r="AE783"/>
      <c s="10" r="AF783"/>
      <c s="10" r="AG783"/>
      <c s="10" r="AH783"/>
      <c s="10" r="AI783"/>
      <c s="10" r="AJ783"/>
      <c s="10" r="AK783"/>
      <c s="30" r="AL783"/>
    </row>
    <row r="784">
      <c s="30" r="A784"/>
      <c s="30" r="B784"/>
      <c s="30" r="C784"/>
      <c s="30" r="D784"/>
      <c s="16" r="E784"/>
      <c s="16" r="F784"/>
      <c s="16" r="G784"/>
      <c s="16" r="H784"/>
      <c s="16" r="I784"/>
      <c s="16" r="J784"/>
      <c s="16" r="K784"/>
      <c s="80" r="L784"/>
      <c s="79" r="M784"/>
      <c s="79" r="N784"/>
      <c s="79" r="O784"/>
      <c s="79" r="P784"/>
      <c s="17" r="Q784"/>
      <c s="17" r="R784"/>
      <c s="7" r="S784"/>
      <c s="7" r="T784"/>
      <c s="7" r="U784"/>
      <c s="7" r="V784"/>
      <c s="30" r="W784"/>
      <c s="30" r="X784"/>
      <c s="30" r="Y784"/>
      <c s="30" r="Z784"/>
      <c s="30" r="AA784"/>
      <c s="30" r="AB784"/>
      <c s="30" r="AC784"/>
      <c s="30" r="AD784"/>
      <c s="30" r="AE784"/>
      <c s="10" r="AF784"/>
      <c s="10" r="AG784"/>
      <c s="10" r="AH784"/>
      <c s="10" r="AI784"/>
      <c s="10" r="AJ784"/>
      <c s="10" r="AK784"/>
      <c s="30" r="AL784"/>
    </row>
    <row r="785">
      <c s="30" r="A785"/>
      <c s="30" r="B785"/>
      <c s="30" r="C785"/>
      <c s="30" r="D785"/>
      <c s="16" r="E785"/>
      <c s="16" r="F785"/>
      <c s="16" r="G785"/>
      <c s="16" r="H785"/>
      <c s="16" r="I785"/>
      <c s="16" r="J785"/>
      <c s="16" r="K785"/>
      <c s="80" r="L785"/>
      <c s="79" r="M785"/>
      <c s="79" r="N785"/>
      <c s="79" r="O785"/>
      <c s="79" r="P785"/>
      <c s="17" r="Q785"/>
      <c s="17" r="R785"/>
      <c s="7" r="S785"/>
      <c s="7" r="T785"/>
      <c s="7" r="U785"/>
      <c s="7" r="V785"/>
      <c s="30" r="W785"/>
      <c s="30" r="X785"/>
      <c s="30" r="Y785"/>
      <c s="30" r="Z785"/>
      <c s="30" r="AA785"/>
      <c s="30" r="AB785"/>
      <c s="30" r="AC785"/>
      <c s="30" r="AD785"/>
      <c s="30" r="AE785"/>
      <c s="10" r="AF785"/>
      <c s="10" r="AG785"/>
      <c s="10" r="AH785"/>
      <c s="10" r="AI785"/>
      <c s="10" r="AJ785"/>
      <c s="10" r="AK785"/>
      <c s="30" r="AL785"/>
    </row>
    <row r="786">
      <c s="30" r="A786"/>
      <c s="30" r="B786"/>
      <c s="30" r="C786"/>
      <c s="30" r="D786"/>
      <c s="16" r="E786"/>
      <c s="16" r="F786"/>
      <c s="16" r="G786"/>
      <c s="16" r="H786"/>
      <c s="16" r="I786"/>
      <c s="16" r="J786"/>
      <c s="16" r="K786"/>
      <c s="80" r="L786"/>
      <c s="79" r="M786"/>
      <c s="79" r="N786"/>
      <c s="79" r="O786"/>
      <c s="79" r="P786"/>
      <c s="17" r="Q786"/>
      <c s="17" r="R786"/>
      <c s="7" r="S786"/>
      <c s="7" r="T786"/>
      <c s="7" r="U786"/>
      <c s="7" r="V786"/>
      <c s="30" r="W786"/>
      <c s="30" r="X786"/>
      <c s="30" r="Y786"/>
      <c s="30" r="Z786"/>
      <c s="30" r="AA786"/>
      <c s="30" r="AB786"/>
      <c s="30" r="AC786"/>
      <c s="30" r="AD786"/>
      <c s="30" r="AE786"/>
      <c s="10" r="AF786"/>
      <c s="10" r="AG786"/>
      <c s="10" r="AH786"/>
      <c s="10" r="AI786"/>
      <c s="10" r="AJ786"/>
      <c s="10" r="AK786"/>
      <c s="30" r="AL786"/>
    </row>
    <row r="787">
      <c s="30" r="A787"/>
      <c s="30" r="B787"/>
      <c s="30" r="C787"/>
      <c s="30" r="D787"/>
      <c s="16" r="E787"/>
      <c s="16" r="F787"/>
      <c s="16" r="G787"/>
      <c s="16" r="H787"/>
      <c s="16" r="I787"/>
      <c s="16" r="J787"/>
      <c s="16" r="K787"/>
      <c s="80" r="L787"/>
      <c s="79" r="M787"/>
      <c s="79" r="N787"/>
      <c s="79" r="O787"/>
      <c s="79" r="P787"/>
      <c s="17" r="Q787"/>
      <c s="17" r="R787"/>
      <c s="7" r="S787"/>
      <c s="7" r="T787"/>
      <c s="7" r="U787"/>
      <c s="7" r="V787"/>
      <c s="30" r="W787"/>
      <c s="30" r="X787"/>
      <c s="30" r="Y787"/>
      <c s="30" r="Z787"/>
      <c s="30" r="AA787"/>
      <c s="30" r="AB787"/>
      <c s="30" r="AC787"/>
      <c s="30" r="AD787"/>
      <c s="30" r="AE787"/>
      <c s="10" r="AF787"/>
      <c s="10" r="AG787"/>
      <c s="10" r="AH787"/>
      <c s="10" r="AI787"/>
      <c s="10" r="AJ787"/>
      <c s="10" r="AK787"/>
      <c s="30" r="AL787"/>
    </row>
    <row r="788">
      <c s="30" r="A788"/>
      <c s="30" r="B788"/>
      <c s="30" r="C788"/>
      <c s="30" r="D788"/>
      <c s="16" r="E788"/>
      <c s="16" r="F788"/>
      <c s="16" r="G788"/>
      <c s="16" r="H788"/>
      <c s="16" r="I788"/>
      <c s="16" r="J788"/>
      <c s="16" r="K788"/>
      <c s="80" r="L788"/>
      <c s="79" r="M788"/>
      <c s="79" r="N788"/>
      <c s="79" r="O788"/>
      <c s="79" r="P788"/>
      <c s="17" r="Q788"/>
      <c s="17" r="R788"/>
      <c s="7" r="S788"/>
      <c s="7" r="T788"/>
      <c s="7" r="U788"/>
      <c s="7" r="V788"/>
      <c s="30" r="W788"/>
      <c s="30" r="X788"/>
      <c s="30" r="Y788"/>
      <c s="30" r="Z788"/>
      <c s="30" r="AA788"/>
      <c s="30" r="AB788"/>
      <c s="30" r="AC788"/>
      <c s="30" r="AD788"/>
      <c s="30" r="AE788"/>
      <c s="10" r="AF788"/>
      <c s="10" r="AG788"/>
      <c s="10" r="AH788"/>
      <c s="10" r="AI788"/>
      <c s="10" r="AJ788"/>
      <c s="10" r="AK788"/>
      <c s="30" r="AL788"/>
    </row>
    <row r="789">
      <c s="30" r="A789"/>
      <c s="30" r="B789"/>
      <c s="30" r="C789"/>
      <c s="30" r="D789"/>
      <c s="16" r="E789"/>
      <c s="16" r="F789"/>
      <c s="16" r="G789"/>
      <c s="16" r="H789"/>
      <c s="16" r="I789"/>
      <c s="16" r="J789"/>
      <c s="16" r="K789"/>
      <c s="80" r="L789"/>
      <c s="79" r="M789"/>
      <c s="79" r="N789"/>
      <c s="79" r="O789"/>
      <c s="79" r="P789"/>
      <c s="17" r="Q789"/>
      <c s="17" r="R789"/>
      <c s="7" r="S789"/>
      <c s="7" r="T789"/>
      <c s="7" r="U789"/>
      <c s="7" r="V789"/>
      <c s="30" r="W789"/>
      <c s="30" r="X789"/>
      <c s="30" r="Y789"/>
      <c s="30" r="Z789"/>
      <c s="30" r="AA789"/>
      <c s="30" r="AB789"/>
      <c s="30" r="AC789"/>
      <c s="30" r="AD789"/>
      <c s="30" r="AE789"/>
      <c s="10" r="AF789"/>
      <c s="10" r="AG789"/>
      <c s="10" r="AH789"/>
      <c s="10" r="AI789"/>
      <c s="10" r="AJ789"/>
      <c s="10" r="AK789"/>
      <c s="30" r="AL789"/>
    </row>
    <row r="790">
      <c s="30" r="A790"/>
      <c s="30" r="B790"/>
      <c s="30" r="C790"/>
      <c s="30" r="D790"/>
      <c s="16" r="E790"/>
      <c s="16" r="F790"/>
      <c s="16" r="G790"/>
      <c s="16" r="H790"/>
      <c s="16" r="I790"/>
      <c s="16" r="J790"/>
      <c s="16" r="K790"/>
      <c s="80" r="L790"/>
      <c s="79" r="M790"/>
      <c s="79" r="N790"/>
      <c s="79" r="O790"/>
      <c s="79" r="P790"/>
      <c s="17" r="Q790"/>
      <c s="17" r="R790"/>
      <c s="7" r="S790"/>
      <c s="7" r="T790"/>
      <c s="7" r="U790"/>
      <c s="7" r="V790"/>
      <c s="30" r="W790"/>
      <c s="30" r="X790"/>
      <c s="30" r="Y790"/>
      <c s="30" r="Z790"/>
      <c s="30" r="AA790"/>
      <c s="30" r="AB790"/>
      <c s="30" r="AC790"/>
      <c s="30" r="AD790"/>
      <c s="30" r="AE790"/>
      <c s="10" r="AF790"/>
      <c s="10" r="AG790"/>
      <c s="10" r="AH790"/>
      <c s="10" r="AI790"/>
      <c s="10" r="AJ790"/>
      <c s="10" r="AK790"/>
      <c s="30" r="AL790"/>
    </row>
    <row r="791">
      <c s="30" r="A791"/>
      <c s="30" r="B791"/>
      <c s="30" r="C791"/>
      <c s="30" r="D791"/>
      <c s="16" r="E791"/>
      <c s="16" r="F791"/>
      <c s="16" r="G791"/>
      <c s="16" r="H791"/>
      <c s="16" r="I791"/>
      <c s="16" r="J791"/>
      <c s="16" r="K791"/>
      <c s="80" r="L791"/>
      <c s="79" r="M791"/>
      <c s="79" r="N791"/>
      <c s="79" r="O791"/>
      <c s="79" r="P791"/>
      <c s="17" r="Q791"/>
      <c s="17" r="R791"/>
      <c s="7" r="S791"/>
      <c s="7" r="T791"/>
      <c s="7" r="U791"/>
      <c s="7" r="V791"/>
      <c s="30" r="W791"/>
      <c s="30" r="X791"/>
      <c s="30" r="Y791"/>
      <c s="30" r="Z791"/>
      <c s="30" r="AA791"/>
      <c s="30" r="AB791"/>
      <c s="30" r="AC791"/>
      <c s="30" r="AD791"/>
      <c s="30" r="AE791"/>
      <c s="10" r="AF791"/>
      <c s="10" r="AG791"/>
      <c s="10" r="AH791"/>
      <c s="10" r="AI791"/>
      <c s="10" r="AJ791"/>
      <c s="10" r="AK791"/>
      <c s="30" r="AL791"/>
    </row>
    <row r="792">
      <c s="30" r="A792"/>
      <c s="30" r="B792"/>
      <c s="30" r="C792"/>
      <c s="30" r="D792"/>
      <c s="16" r="E792"/>
      <c s="16" r="F792"/>
      <c s="16" r="G792"/>
      <c s="16" r="H792"/>
      <c s="16" r="I792"/>
      <c s="16" r="J792"/>
      <c s="16" r="K792"/>
      <c s="80" r="L792"/>
      <c s="79" r="M792"/>
      <c s="79" r="N792"/>
      <c s="79" r="O792"/>
      <c s="79" r="P792"/>
      <c s="17" r="Q792"/>
      <c s="17" r="R792"/>
      <c s="7" r="S792"/>
      <c s="7" r="T792"/>
      <c s="7" r="U792"/>
      <c s="7" r="V792"/>
      <c s="30" r="W792"/>
      <c s="30" r="X792"/>
      <c s="30" r="Y792"/>
      <c s="30" r="Z792"/>
      <c s="30" r="AA792"/>
      <c s="30" r="AB792"/>
      <c s="30" r="AC792"/>
      <c s="30" r="AD792"/>
      <c s="30" r="AE792"/>
      <c s="10" r="AF792"/>
      <c s="10" r="AG792"/>
      <c s="10" r="AH792"/>
      <c s="10" r="AI792"/>
      <c s="10" r="AJ792"/>
      <c s="10" r="AK792"/>
      <c s="30" r="AL792"/>
    </row>
    <row r="793">
      <c s="30" r="A793"/>
      <c s="30" r="B793"/>
      <c s="30" r="C793"/>
      <c s="30" r="D793"/>
      <c s="16" r="E793"/>
      <c s="16" r="F793"/>
      <c s="16" r="G793"/>
      <c s="16" r="H793"/>
      <c s="16" r="I793"/>
      <c s="16" r="J793"/>
      <c s="16" r="K793"/>
      <c s="80" r="L793"/>
      <c s="79" r="M793"/>
      <c s="79" r="N793"/>
      <c s="79" r="O793"/>
      <c s="79" r="P793"/>
      <c s="17" r="Q793"/>
      <c s="17" r="R793"/>
      <c s="7" r="S793"/>
      <c s="7" r="T793"/>
      <c s="7" r="U793"/>
      <c s="7" r="V793"/>
      <c s="30" r="W793"/>
      <c s="30" r="X793"/>
      <c s="30" r="Y793"/>
      <c s="30" r="Z793"/>
      <c s="30" r="AA793"/>
      <c s="30" r="AB793"/>
      <c s="30" r="AC793"/>
      <c s="30" r="AD793"/>
      <c s="30" r="AE793"/>
      <c s="10" r="AF793"/>
      <c s="10" r="AG793"/>
      <c s="10" r="AH793"/>
      <c s="10" r="AI793"/>
      <c s="10" r="AJ793"/>
      <c s="10" r="AK793"/>
      <c s="30" r="AL793"/>
    </row>
    <row r="794">
      <c s="30" r="A794"/>
      <c s="30" r="B794"/>
      <c s="30" r="C794"/>
      <c s="30" r="D794"/>
      <c s="16" r="E794"/>
      <c s="16" r="F794"/>
      <c s="16" r="G794"/>
      <c s="16" r="H794"/>
      <c s="16" r="I794"/>
      <c s="16" r="J794"/>
      <c s="16" r="K794"/>
      <c s="80" r="L794"/>
      <c s="79" r="M794"/>
      <c s="79" r="N794"/>
      <c s="79" r="O794"/>
      <c s="79" r="P794"/>
      <c s="17" r="Q794"/>
      <c s="17" r="R794"/>
      <c s="7" r="S794"/>
      <c s="7" r="T794"/>
      <c s="7" r="U794"/>
      <c s="7" r="V794"/>
      <c s="30" r="W794"/>
      <c s="30" r="X794"/>
      <c s="30" r="Y794"/>
      <c s="30" r="Z794"/>
      <c s="30" r="AA794"/>
      <c s="30" r="AB794"/>
      <c s="30" r="AC794"/>
      <c s="30" r="AD794"/>
      <c s="30" r="AE794"/>
      <c s="10" r="AF794"/>
      <c s="10" r="AG794"/>
      <c s="10" r="AH794"/>
      <c s="10" r="AI794"/>
      <c s="10" r="AJ794"/>
      <c s="10" r="AK794"/>
      <c s="30" r="AL794"/>
    </row>
    <row r="795">
      <c s="30" r="A795"/>
      <c s="30" r="B795"/>
      <c s="30" r="C795"/>
      <c s="30" r="D795"/>
      <c s="16" r="E795"/>
      <c s="16" r="F795"/>
      <c s="16" r="G795"/>
      <c s="16" r="H795"/>
      <c s="16" r="I795"/>
      <c s="16" r="J795"/>
      <c s="16" r="K795"/>
      <c s="80" r="L795"/>
      <c s="79" r="M795"/>
      <c s="79" r="N795"/>
      <c s="79" r="O795"/>
      <c s="79" r="P795"/>
      <c s="17" r="Q795"/>
      <c s="17" r="R795"/>
      <c s="7" r="S795"/>
      <c s="7" r="T795"/>
      <c s="7" r="U795"/>
      <c s="7" r="V795"/>
      <c s="30" r="W795"/>
      <c s="30" r="X795"/>
      <c s="30" r="Y795"/>
      <c s="30" r="Z795"/>
      <c s="30" r="AA795"/>
      <c s="30" r="AB795"/>
      <c s="30" r="AC795"/>
      <c s="30" r="AD795"/>
      <c s="30" r="AE795"/>
      <c s="10" r="AF795"/>
      <c s="10" r="AG795"/>
      <c s="10" r="AH795"/>
      <c s="10" r="AI795"/>
      <c s="10" r="AJ795"/>
      <c s="10" r="AK795"/>
      <c s="30" r="AL795"/>
    </row>
    <row r="796">
      <c s="30" r="A796"/>
      <c s="30" r="B796"/>
      <c s="30" r="C796"/>
      <c s="30" r="D796"/>
      <c s="16" r="E796"/>
      <c s="16" r="F796"/>
      <c s="16" r="G796"/>
      <c s="16" r="H796"/>
      <c s="16" r="I796"/>
      <c s="16" r="J796"/>
      <c s="16" r="K796"/>
      <c s="80" r="L796"/>
      <c s="79" r="M796"/>
      <c s="79" r="N796"/>
      <c s="79" r="O796"/>
      <c s="79" r="P796"/>
      <c s="17" r="Q796"/>
      <c s="17" r="R796"/>
      <c s="7" r="S796"/>
      <c s="7" r="T796"/>
      <c s="7" r="U796"/>
      <c s="7" r="V796"/>
      <c s="30" r="W796"/>
      <c s="30" r="X796"/>
      <c s="30" r="Y796"/>
      <c s="30" r="Z796"/>
      <c s="30" r="AA796"/>
      <c s="30" r="AB796"/>
      <c s="30" r="AC796"/>
      <c s="30" r="AD796"/>
      <c s="30" r="AE796"/>
      <c s="10" r="AF796"/>
      <c s="10" r="AG796"/>
      <c s="10" r="AH796"/>
      <c s="10" r="AI796"/>
      <c s="10" r="AJ796"/>
      <c s="10" r="AK796"/>
      <c s="30" r="AL796"/>
    </row>
    <row r="797">
      <c s="30" r="A797"/>
      <c s="30" r="B797"/>
      <c s="30" r="C797"/>
      <c s="30" r="D797"/>
      <c s="16" r="E797"/>
      <c s="16" r="F797"/>
      <c s="16" r="G797"/>
      <c s="16" r="H797"/>
      <c s="16" r="I797"/>
      <c s="16" r="J797"/>
      <c s="16" r="K797"/>
      <c s="80" r="L797"/>
      <c s="79" r="M797"/>
      <c s="79" r="N797"/>
      <c s="79" r="O797"/>
      <c s="79" r="P797"/>
      <c s="17" r="Q797"/>
      <c s="17" r="R797"/>
      <c s="7" r="S797"/>
      <c s="7" r="T797"/>
      <c s="7" r="U797"/>
      <c s="7" r="V797"/>
      <c s="30" r="W797"/>
      <c s="30" r="X797"/>
      <c s="30" r="Y797"/>
      <c s="30" r="Z797"/>
      <c s="30" r="AA797"/>
      <c s="30" r="AB797"/>
      <c s="30" r="AC797"/>
      <c s="30" r="AD797"/>
      <c s="30" r="AE797"/>
      <c s="10" r="AF797"/>
      <c s="10" r="AG797"/>
      <c s="10" r="AH797"/>
      <c s="10" r="AI797"/>
      <c s="10" r="AJ797"/>
      <c s="10" r="AK797"/>
      <c s="30" r="AL797"/>
    </row>
    <row r="798">
      <c s="30" r="A798"/>
      <c s="30" r="B798"/>
      <c s="30" r="C798"/>
      <c s="30" r="D798"/>
      <c s="16" r="E798"/>
      <c s="16" r="F798"/>
      <c s="16" r="G798"/>
      <c s="16" r="H798"/>
      <c s="16" r="I798"/>
      <c s="16" r="J798"/>
      <c s="16" r="K798"/>
      <c s="80" r="L798"/>
      <c s="79" r="M798"/>
      <c s="79" r="N798"/>
      <c s="79" r="O798"/>
      <c s="79" r="P798"/>
      <c s="17" r="Q798"/>
      <c s="17" r="R798"/>
      <c s="7" r="S798"/>
      <c s="7" r="T798"/>
      <c s="7" r="U798"/>
      <c s="7" r="V798"/>
      <c s="30" r="W798"/>
      <c s="30" r="X798"/>
      <c s="30" r="Y798"/>
      <c s="30" r="Z798"/>
      <c s="30" r="AA798"/>
      <c s="30" r="AB798"/>
      <c s="30" r="AC798"/>
      <c s="30" r="AD798"/>
      <c s="30" r="AE798"/>
      <c s="10" r="AF798"/>
      <c s="10" r="AG798"/>
      <c s="10" r="AH798"/>
      <c s="10" r="AI798"/>
      <c s="10" r="AJ798"/>
      <c s="10" r="AK798"/>
      <c s="30" r="AL798"/>
    </row>
    <row r="799">
      <c s="30" r="A799"/>
      <c s="30" r="B799"/>
      <c s="30" r="C799"/>
      <c s="30" r="D799"/>
      <c s="16" r="E799"/>
      <c s="16" r="F799"/>
      <c s="16" r="G799"/>
      <c s="16" r="H799"/>
      <c s="16" r="I799"/>
      <c s="16" r="J799"/>
      <c s="16" r="K799"/>
      <c s="80" r="L799"/>
      <c s="79" r="M799"/>
      <c s="79" r="N799"/>
      <c s="79" r="O799"/>
      <c s="79" r="P799"/>
      <c s="17" r="Q799"/>
      <c s="17" r="R799"/>
      <c s="7" r="S799"/>
      <c s="7" r="T799"/>
      <c s="7" r="U799"/>
      <c s="7" r="V799"/>
      <c s="30" r="W799"/>
      <c s="30" r="X799"/>
      <c s="30" r="Y799"/>
      <c s="30" r="Z799"/>
      <c s="30" r="AA799"/>
      <c s="30" r="AB799"/>
      <c s="30" r="AC799"/>
      <c s="30" r="AD799"/>
      <c s="30" r="AE799"/>
      <c s="10" r="AF799"/>
      <c s="10" r="AG799"/>
      <c s="10" r="AH799"/>
      <c s="10" r="AI799"/>
      <c s="10" r="AJ799"/>
      <c s="10" r="AK799"/>
      <c s="30" r="AL799"/>
    </row>
    <row r="800">
      <c s="30" r="A800"/>
      <c s="30" r="B800"/>
      <c s="30" r="C800"/>
      <c s="30" r="D800"/>
      <c s="16" r="E800"/>
      <c s="16" r="F800"/>
      <c s="16" r="G800"/>
      <c s="16" r="H800"/>
      <c s="16" r="I800"/>
      <c s="16" r="J800"/>
      <c s="16" r="K800"/>
      <c s="80" r="L800"/>
      <c s="79" r="M800"/>
      <c s="79" r="N800"/>
      <c s="79" r="O800"/>
      <c s="79" r="P800"/>
      <c s="17" r="Q800"/>
      <c s="17" r="R800"/>
      <c s="7" r="S800"/>
      <c s="7" r="T800"/>
      <c s="7" r="U800"/>
      <c s="7" r="V800"/>
      <c s="30" r="W800"/>
      <c s="30" r="X800"/>
      <c s="30" r="Y800"/>
      <c s="30" r="Z800"/>
      <c s="30" r="AA800"/>
      <c s="30" r="AB800"/>
      <c s="30" r="AC800"/>
      <c s="30" r="AD800"/>
      <c s="30" r="AE800"/>
      <c s="10" r="AF800"/>
      <c s="10" r="AG800"/>
      <c s="10" r="AH800"/>
      <c s="10" r="AI800"/>
      <c s="10" r="AJ800"/>
      <c s="10" r="AK800"/>
      <c s="30" r="AL800"/>
    </row>
    <row r="801">
      <c s="30" r="A801"/>
      <c s="30" r="B801"/>
      <c s="30" r="C801"/>
      <c s="30" r="D801"/>
      <c s="16" r="E801"/>
      <c s="16" r="F801"/>
      <c s="16" r="G801"/>
      <c s="16" r="H801"/>
      <c s="16" r="I801"/>
      <c s="16" r="J801"/>
      <c s="16" r="K801"/>
      <c s="80" r="L801"/>
      <c s="79" r="M801"/>
      <c s="79" r="N801"/>
      <c s="79" r="O801"/>
      <c s="79" r="P801"/>
      <c s="17" r="Q801"/>
      <c s="17" r="R801"/>
      <c s="7" r="S801"/>
      <c s="7" r="T801"/>
      <c s="7" r="U801"/>
      <c s="7" r="V801"/>
      <c s="30" r="W801"/>
      <c s="30" r="X801"/>
      <c s="30" r="Y801"/>
      <c s="30" r="Z801"/>
      <c s="30" r="AA801"/>
      <c s="30" r="AB801"/>
      <c s="30" r="AC801"/>
      <c s="30" r="AD801"/>
      <c s="30" r="AE801"/>
      <c s="10" r="AF801"/>
      <c s="10" r="AG801"/>
      <c s="10" r="AH801"/>
      <c s="10" r="AI801"/>
      <c s="10" r="AJ801"/>
      <c s="10" r="AK801"/>
      <c s="30" r="AL801"/>
    </row>
    <row r="802">
      <c s="30" r="A802"/>
      <c s="30" r="B802"/>
      <c s="30" r="C802"/>
      <c s="30" r="D802"/>
      <c s="16" r="E802"/>
      <c s="16" r="F802"/>
      <c s="16" r="G802"/>
      <c s="16" r="H802"/>
      <c s="16" r="I802"/>
      <c s="16" r="J802"/>
      <c s="16" r="K802"/>
      <c s="80" r="L802"/>
      <c s="79" r="M802"/>
      <c s="79" r="N802"/>
      <c s="79" r="O802"/>
      <c s="79" r="P802"/>
      <c s="17" r="Q802"/>
      <c s="17" r="R802"/>
      <c s="7" r="S802"/>
      <c s="7" r="T802"/>
      <c s="7" r="U802"/>
      <c s="7" r="V802"/>
      <c s="30" r="W802"/>
      <c s="30" r="X802"/>
      <c s="30" r="Y802"/>
      <c s="30" r="Z802"/>
      <c s="30" r="AA802"/>
      <c s="30" r="AB802"/>
      <c s="30" r="AC802"/>
      <c s="30" r="AD802"/>
      <c s="30" r="AE802"/>
      <c s="10" r="AF802"/>
      <c s="10" r="AG802"/>
      <c s="10" r="AH802"/>
      <c s="10" r="AI802"/>
      <c s="10" r="AJ802"/>
      <c s="10" r="AK802"/>
      <c s="30" r="AL802"/>
    </row>
    <row r="803">
      <c s="30" r="A803"/>
      <c s="30" r="B803"/>
      <c s="30" r="C803"/>
      <c s="30" r="D803"/>
      <c s="16" r="E803"/>
      <c s="16" r="F803"/>
      <c s="16" r="G803"/>
      <c s="16" r="H803"/>
      <c s="16" r="I803"/>
      <c s="16" r="J803"/>
      <c s="16" r="K803"/>
      <c s="80" r="L803"/>
      <c s="79" r="M803"/>
      <c s="79" r="N803"/>
      <c s="79" r="O803"/>
      <c s="79" r="P803"/>
      <c s="17" r="Q803"/>
      <c s="17" r="R803"/>
      <c s="7" r="S803"/>
      <c s="7" r="T803"/>
      <c s="7" r="U803"/>
      <c s="7" r="V803"/>
      <c s="30" r="W803"/>
      <c s="30" r="X803"/>
      <c s="30" r="Y803"/>
      <c s="30" r="Z803"/>
      <c s="30" r="AA803"/>
      <c s="30" r="AB803"/>
      <c s="30" r="AC803"/>
      <c s="30" r="AD803"/>
      <c s="30" r="AE803"/>
      <c s="10" r="AF803"/>
      <c s="10" r="AG803"/>
      <c s="10" r="AH803"/>
      <c s="10" r="AI803"/>
      <c s="10" r="AJ803"/>
      <c s="10" r="AK803"/>
      <c s="30" r="AL803"/>
    </row>
    <row r="804">
      <c s="30" r="A804"/>
      <c s="30" r="B804"/>
      <c s="30" r="C804"/>
      <c s="30" r="D804"/>
      <c s="16" r="E804"/>
      <c s="16" r="F804"/>
      <c s="16" r="G804"/>
      <c s="16" r="H804"/>
      <c s="16" r="I804"/>
      <c s="16" r="J804"/>
      <c s="16" r="K804"/>
      <c s="80" r="L804"/>
      <c s="79" r="M804"/>
      <c s="79" r="N804"/>
      <c s="79" r="O804"/>
      <c s="79" r="P804"/>
      <c s="17" r="Q804"/>
      <c s="17" r="R804"/>
      <c s="7" r="S804"/>
      <c s="7" r="T804"/>
      <c s="7" r="U804"/>
      <c s="7" r="V804"/>
      <c s="30" r="W804"/>
      <c s="30" r="X804"/>
      <c s="30" r="Y804"/>
      <c s="30" r="Z804"/>
      <c s="30" r="AA804"/>
      <c s="30" r="AB804"/>
      <c s="30" r="AC804"/>
      <c s="30" r="AD804"/>
      <c s="30" r="AE804"/>
      <c s="10" r="AF804"/>
      <c s="10" r="AG804"/>
      <c s="10" r="AH804"/>
      <c s="10" r="AI804"/>
      <c s="10" r="AJ804"/>
      <c s="10" r="AK804"/>
      <c s="30" r="AL804"/>
    </row>
    <row r="805">
      <c s="30" r="A805"/>
      <c s="30" r="B805"/>
      <c s="30" r="C805"/>
      <c s="30" r="D805"/>
      <c s="16" r="E805"/>
      <c s="16" r="F805"/>
      <c s="16" r="G805"/>
      <c s="16" r="H805"/>
      <c s="16" r="I805"/>
      <c s="16" r="J805"/>
      <c s="16" r="K805"/>
      <c s="80" r="L805"/>
      <c s="79" r="M805"/>
      <c s="79" r="N805"/>
      <c s="79" r="O805"/>
      <c s="79" r="P805"/>
      <c s="17" r="Q805"/>
      <c s="17" r="R805"/>
      <c s="7" r="S805"/>
      <c s="7" r="T805"/>
      <c s="7" r="U805"/>
      <c s="7" r="V805"/>
      <c s="30" r="W805"/>
      <c s="30" r="X805"/>
      <c s="30" r="Y805"/>
      <c s="30" r="Z805"/>
      <c s="30" r="AA805"/>
      <c s="30" r="AB805"/>
      <c s="30" r="AC805"/>
      <c s="30" r="AD805"/>
      <c s="30" r="AE805"/>
      <c s="10" r="AF805"/>
      <c s="10" r="AG805"/>
      <c s="10" r="AH805"/>
      <c s="10" r="AI805"/>
      <c s="10" r="AJ805"/>
      <c s="10" r="AK805"/>
      <c s="30" r="AL805"/>
    </row>
    <row r="806">
      <c s="30" r="A806"/>
      <c s="30" r="B806"/>
      <c s="30" r="C806"/>
      <c s="30" r="D806"/>
      <c s="16" r="E806"/>
      <c s="16" r="F806"/>
      <c s="16" r="G806"/>
      <c s="16" r="H806"/>
      <c s="16" r="I806"/>
      <c s="16" r="J806"/>
      <c s="16" r="K806"/>
      <c s="80" r="L806"/>
      <c s="79" r="M806"/>
      <c s="79" r="N806"/>
      <c s="79" r="O806"/>
      <c s="79" r="P806"/>
      <c s="17" r="Q806"/>
      <c s="17" r="R806"/>
      <c s="7" r="S806"/>
      <c s="7" r="T806"/>
      <c s="7" r="U806"/>
      <c s="7" r="V806"/>
      <c s="30" r="W806"/>
      <c s="30" r="X806"/>
      <c s="30" r="Y806"/>
      <c s="30" r="Z806"/>
      <c s="30" r="AA806"/>
      <c s="30" r="AB806"/>
      <c s="30" r="AC806"/>
      <c s="30" r="AD806"/>
      <c s="30" r="AE806"/>
      <c s="10" r="AF806"/>
      <c s="10" r="AG806"/>
      <c s="10" r="AH806"/>
      <c s="10" r="AI806"/>
      <c s="10" r="AJ806"/>
      <c s="10" r="AK806"/>
      <c s="30" r="AL806"/>
    </row>
    <row r="807">
      <c s="30" r="A807"/>
      <c s="30" r="B807"/>
      <c s="30" r="C807"/>
      <c s="30" r="D807"/>
      <c s="16" r="E807"/>
      <c s="16" r="F807"/>
      <c s="16" r="G807"/>
      <c s="16" r="H807"/>
      <c s="16" r="I807"/>
      <c s="16" r="J807"/>
      <c s="16" r="K807"/>
      <c s="80" r="L807"/>
      <c s="79" r="M807"/>
      <c s="79" r="N807"/>
      <c s="79" r="O807"/>
      <c s="79" r="P807"/>
      <c s="17" r="Q807"/>
      <c s="17" r="R807"/>
      <c s="7" r="S807"/>
      <c s="7" r="T807"/>
      <c s="7" r="U807"/>
      <c s="7" r="V807"/>
      <c s="30" r="W807"/>
      <c s="30" r="X807"/>
      <c s="30" r="Y807"/>
      <c s="30" r="Z807"/>
      <c s="30" r="AA807"/>
      <c s="30" r="AB807"/>
      <c s="30" r="AC807"/>
      <c s="30" r="AD807"/>
      <c s="30" r="AE807"/>
      <c s="10" r="AF807"/>
      <c s="10" r="AG807"/>
      <c s="10" r="AH807"/>
      <c s="10" r="AI807"/>
      <c s="10" r="AJ807"/>
      <c s="10" r="AK807"/>
      <c s="30" r="AL807"/>
    </row>
    <row r="808">
      <c s="30" r="A808"/>
      <c s="30" r="B808"/>
      <c s="30" r="C808"/>
      <c s="30" r="D808"/>
      <c s="16" r="E808"/>
      <c s="16" r="F808"/>
      <c s="16" r="G808"/>
      <c s="16" r="H808"/>
      <c s="16" r="I808"/>
      <c s="16" r="J808"/>
      <c s="16" r="K808"/>
      <c s="80" r="L808"/>
      <c s="79" r="M808"/>
      <c s="79" r="N808"/>
      <c s="79" r="O808"/>
      <c s="79" r="P808"/>
      <c s="17" r="Q808"/>
      <c s="17" r="R808"/>
      <c s="7" r="S808"/>
      <c s="7" r="T808"/>
      <c s="7" r="U808"/>
      <c s="7" r="V808"/>
      <c s="30" r="W808"/>
      <c s="30" r="X808"/>
      <c s="30" r="Y808"/>
      <c s="30" r="Z808"/>
      <c s="30" r="AA808"/>
      <c s="30" r="AB808"/>
      <c s="30" r="AC808"/>
      <c s="30" r="AD808"/>
      <c s="30" r="AE808"/>
      <c s="10" r="AF808"/>
      <c s="10" r="AG808"/>
      <c s="10" r="AH808"/>
      <c s="10" r="AI808"/>
      <c s="10" r="AJ808"/>
      <c s="10" r="AK808"/>
      <c s="30" r="AL808"/>
    </row>
    <row r="809">
      <c s="30" r="A809"/>
      <c s="30" r="B809"/>
      <c s="30" r="C809"/>
      <c s="30" r="D809"/>
      <c s="16" r="E809"/>
      <c s="16" r="F809"/>
      <c s="16" r="G809"/>
      <c s="16" r="H809"/>
      <c s="16" r="I809"/>
      <c s="16" r="J809"/>
      <c s="16" r="K809"/>
      <c s="80" r="L809"/>
      <c s="79" r="M809"/>
      <c s="79" r="N809"/>
      <c s="79" r="O809"/>
      <c s="79" r="P809"/>
      <c s="17" r="Q809"/>
      <c s="17" r="R809"/>
      <c s="7" r="S809"/>
      <c s="7" r="T809"/>
      <c s="7" r="U809"/>
      <c s="7" r="V809"/>
      <c s="30" r="W809"/>
      <c s="30" r="X809"/>
      <c s="30" r="Y809"/>
      <c s="30" r="Z809"/>
      <c s="30" r="AA809"/>
      <c s="30" r="AB809"/>
      <c s="30" r="AC809"/>
      <c s="30" r="AD809"/>
      <c s="30" r="AE809"/>
      <c s="10" r="AF809"/>
      <c s="10" r="AG809"/>
      <c s="10" r="AH809"/>
      <c s="10" r="AI809"/>
      <c s="10" r="AJ809"/>
      <c s="10" r="AK809"/>
      <c s="30" r="AL809"/>
    </row>
    <row r="810">
      <c s="30" r="A810"/>
      <c s="30" r="B810"/>
      <c s="30" r="C810"/>
      <c s="30" r="D810"/>
      <c s="16" r="E810"/>
      <c s="16" r="F810"/>
      <c s="16" r="G810"/>
      <c s="16" r="H810"/>
      <c s="16" r="I810"/>
      <c s="16" r="J810"/>
      <c s="16" r="K810"/>
      <c s="80" r="L810"/>
      <c s="79" r="M810"/>
      <c s="79" r="N810"/>
      <c s="79" r="O810"/>
      <c s="79" r="P810"/>
      <c s="17" r="Q810"/>
      <c s="17" r="R810"/>
      <c s="7" r="S810"/>
      <c s="7" r="T810"/>
      <c s="7" r="U810"/>
      <c s="7" r="V810"/>
      <c s="30" r="W810"/>
      <c s="30" r="X810"/>
      <c s="30" r="Y810"/>
      <c s="30" r="Z810"/>
      <c s="30" r="AA810"/>
      <c s="30" r="AB810"/>
      <c s="30" r="AC810"/>
      <c s="30" r="AD810"/>
      <c s="30" r="AE810"/>
      <c s="10" r="AF810"/>
      <c s="10" r="AG810"/>
      <c s="10" r="AH810"/>
      <c s="10" r="AI810"/>
      <c s="10" r="AJ810"/>
      <c s="10" r="AK810"/>
      <c s="30" r="AL810"/>
    </row>
    <row r="811">
      <c s="30" r="A811"/>
      <c s="30" r="B811"/>
      <c s="30" r="C811"/>
      <c s="30" r="D811"/>
      <c s="16" r="E811"/>
      <c s="16" r="F811"/>
      <c s="16" r="G811"/>
      <c s="16" r="H811"/>
      <c s="16" r="I811"/>
      <c s="16" r="J811"/>
      <c s="16" r="K811"/>
      <c s="80" r="L811"/>
      <c s="79" r="M811"/>
      <c s="79" r="N811"/>
      <c s="79" r="O811"/>
      <c s="79" r="P811"/>
      <c s="17" r="Q811"/>
      <c s="17" r="R811"/>
      <c s="7" r="S811"/>
      <c s="7" r="T811"/>
      <c s="7" r="U811"/>
      <c s="7" r="V811"/>
      <c s="30" r="W811"/>
      <c s="30" r="X811"/>
      <c s="30" r="Y811"/>
      <c s="30" r="Z811"/>
      <c s="30" r="AA811"/>
      <c s="30" r="AB811"/>
      <c s="30" r="AC811"/>
      <c s="30" r="AD811"/>
      <c s="30" r="AE811"/>
      <c s="10" r="AF811"/>
      <c s="10" r="AG811"/>
      <c s="10" r="AH811"/>
      <c s="10" r="AI811"/>
      <c s="10" r="AJ811"/>
      <c s="10" r="AK811"/>
      <c s="30" r="AL811"/>
    </row>
    <row r="812">
      <c s="30" r="A812"/>
      <c s="30" r="B812"/>
      <c s="30" r="C812"/>
      <c s="30" r="D812"/>
      <c s="16" r="E812"/>
      <c s="16" r="F812"/>
      <c s="16" r="G812"/>
      <c s="16" r="H812"/>
      <c s="16" r="I812"/>
      <c s="16" r="J812"/>
      <c s="16" r="K812"/>
      <c s="80" r="L812"/>
      <c s="79" r="M812"/>
      <c s="79" r="N812"/>
      <c s="79" r="O812"/>
      <c s="79" r="P812"/>
      <c s="17" r="Q812"/>
      <c s="17" r="R812"/>
      <c s="7" r="S812"/>
      <c s="7" r="T812"/>
      <c s="7" r="U812"/>
      <c s="7" r="V812"/>
      <c s="30" r="W812"/>
      <c s="30" r="X812"/>
      <c s="30" r="Y812"/>
      <c s="30" r="Z812"/>
      <c s="30" r="AA812"/>
      <c s="30" r="AB812"/>
      <c s="30" r="AC812"/>
      <c s="30" r="AD812"/>
      <c s="30" r="AE812"/>
      <c s="10" r="AF812"/>
      <c s="10" r="AG812"/>
      <c s="10" r="AH812"/>
      <c s="10" r="AI812"/>
      <c s="10" r="AJ812"/>
      <c s="10" r="AK812"/>
      <c s="30" r="AL812"/>
    </row>
    <row r="813">
      <c s="30" r="A813"/>
      <c s="30" r="B813"/>
      <c s="30" r="C813"/>
      <c s="30" r="D813"/>
      <c s="16" r="E813"/>
      <c s="16" r="F813"/>
      <c s="16" r="G813"/>
      <c s="16" r="H813"/>
      <c s="16" r="I813"/>
      <c s="16" r="J813"/>
      <c s="16" r="K813"/>
      <c s="80" r="L813"/>
      <c s="79" r="M813"/>
      <c s="79" r="N813"/>
      <c s="79" r="O813"/>
      <c s="79" r="P813"/>
      <c s="17" r="Q813"/>
      <c s="17" r="R813"/>
      <c s="7" r="S813"/>
      <c s="7" r="T813"/>
      <c s="7" r="U813"/>
      <c s="7" r="V813"/>
      <c s="30" r="W813"/>
      <c s="30" r="X813"/>
      <c s="30" r="Y813"/>
      <c s="30" r="Z813"/>
      <c s="30" r="AA813"/>
      <c s="30" r="AB813"/>
      <c s="30" r="AC813"/>
      <c s="30" r="AD813"/>
      <c s="30" r="AE813"/>
      <c s="10" r="AF813"/>
      <c s="10" r="AG813"/>
      <c s="10" r="AH813"/>
      <c s="10" r="AI813"/>
      <c s="10" r="AJ813"/>
      <c s="10" r="AK813"/>
      <c s="30" r="AL813"/>
    </row>
    <row r="814">
      <c s="30" r="A814"/>
      <c s="30" r="B814"/>
      <c s="30" r="C814"/>
      <c s="30" r="D814"/>
      <c s="16" r="E814"/>
      <c s="16" r="F814"/>
      <c s="16" r="G814"/>
      <c s="16" r="H814"/>
      <c s="16" r="I814"/>
      <c s="16" r="J814"/>
      <c s="16" r="K814"/>
      <c s="80" r="L814"/>
      <c s="79" r="M814"/>
      <c s="79" r="N814"/>
      <c s="79" r="O814"/>
      <c s="79" r="P814"/>
      <c s="17" r="Q814"/>
      <c s="17" r="R814"/>
      <c s="7" r="S814"/>
      <c s="7" r="T814"/>
      <c s="7" r="U814"/>
      <c s="7" r="V814"/>
      <c s="30" r="W814"/>
      <c s="30" r="X814"/>
      <c s="30" r="Y814"/>
      <c s="30" r="Z814"/>
      <c s="30" r="AA814"/>
      <c s="30" r="AB814"/>
      <c s="30" r="AC814"/>
      <c s="30" r="AD814"/>
      <c s="30" r="AE814"/>
      <c s="10" r="AF814"/>
      <c s="10" r="AG814"/>
      <c s="10" r="AH814"/>
      <c s="10" r="AI814"/>
      <c s="10" r="AJ814"/>
      <c s="10" r="AK814"/>
      <c s="30" r="AL814"/>
    </row>
    <row r="815">
      <c s="30" r="A815"/>
      <c s="30" r="B815"/>
      <c s="30" r="C815"/>
      <c s="30" r="D815"/>
      <c s="16" r="E815"/>
      <c s="16" r="F815"/>
      <c s="16" r="G815"/>
      <c s="16" r="H815"/>
      <c s="16" r="I815"/>
      <c s="16" r="J815"/>
      <c s="16" r="K815"/>
      <c s="80" r="L815"/>
      <c s="79" r="M815"/>
      <c s="79" r="N815"/>
      <c s="79" r="O815"/>
      <c s="79" r="P815"/>
      <c s="17" r="Q815"/>
      <c s="17" r="R815"/>
      <c s="7" r="S815"/>
      <c s="7" r="T815"/>
      <c s="7" r="U815"/>
      <c s="7" r="V815"/>
      <c s="30" r="W815"/>
      <c s="30" r="X815"/>
      <c s="30" r="Y815"/>
      <c s="30" r="Z815"/>
      <c s="30" r="AA815"/>
      <c s="30" r="AB815"/>
      <c s="30" r="AC815"/>
      <c s="30" r="AD815"/>
      <c s="30" r="AE815"/>
      <c s="10" r="AF815"/>
      <c s="10" r="AG815"/>
      <c s="10" r="AH815"/>
      <c s="10" r="AI815"/>
      <c s="10" r="AJ815"/>
      <c s="10" r="AK815"/>
      <c s="30" r="AL815"/>
    </row>
    <row r="816">
      <c s="30" r="A816"/>
      <c s="30" r="B816"/>
      <c s="30" r="C816"/>
      <c s="30" r="D816"/>
      <c s="16" r="E816"/>
      <c s="16" r="F816"/>
      <c s="16" r="G816"/>
      <c s="16" r="H816"/>
      <c s="16" r="I816"/>
      <c s="16" r="J816"/>
      <c s="16" r="K816"/>
      <c s="80" r="L816"/>
      <c s="79" r="M816"/>
      <c s="79" r="N816"/>
      <c s="79" r="O816"/>
      <c s="79" r="P816"/>
      <c s="17" r="Q816"/>
      <c s="17" r="R816"/>
      <c s="7" r="S816"/>
      <c s="7" r="T816"/>
      <c s="7" r="U816"/>
      <c s="7" r="V816"/>
      <c s="30" r="W816"/>
      <c s="30" r="X816"/>
      <c s="30" r="Y816"/>
      <c s="30" r="Z816"/>
      <c s="30" r="AA816"/>
      <c s="30" r="AB816"/>
      <c s="30" r="AC816"/>
      <c s="30" r="AD816"/>
      <c s="30" r="AE816"/>
      <c s="10" r="AF816"/>
      <c s="10" r="AG816"/>
      <c s="10" r="AH816"/>
      <c s="10" r="AI816"/>
      <c s="10" r="AJ816"/>
      <c s="10" r="AK816"/>
      <c s="30" r="AL816"/>
    </row>
    <row r="817">
      <c s="30" r="A817"/>
      <c s="30" r="B817"/>
      <c s="30" r="C817"/>
      <c s="30" r="D817"/>
      <c s="16" r="E817"/>
      <c s="16" r="F817"/>
      <c s="16" r="G817"/>
      <c s="16" r="H817"/>
      <c s="16" r="I817"/>
      <c s="16" r="J817"/>
      <c s="16" r="K817"/>
      <c s="80" r="L817"/>
      <c s="79" r="M817"/>
      <c s="79" r="N817"/>
      <c s="79" r="O817"/>
      <c s="79" r="P817"/>
      <c s="17" r="Q817"/>
      <c s="17" r="R817"/>
      <c s="7" r="S817"/>
      <c s="7" r="T817"/>
      <c s="7" r="U817"/>
      <c s="7" r="V817"/>
      <c s="30" r="W817"/>
      <c s="30" r="X817"/>
      <c s="30" r="Y817"/>
      <c s="30" r="Z817"/>
      <c s="30" r="AA817"/>
      <c s="30" r="AB817"/>
      <c s="30" r="AC817"/>
      <c s="30" r="AD817"/>
      <c s="30" r="AE817"/>
      <c s="10" r="AF817"/>
      <c s="10" r="AG817"/>
      <c s="10" r="AH817"/>
      <c s="10" r="AI817"/>
      <c s="10" r="AJ817"/>
      <c s="10" r="AK817"/>
      <c s="30" r="AL817"/>
    </row>
    <row r="818">
      <c s="30" r="A818"/>
      <c s="30" r="B818"/>
      <c s="30" r="C818"/>
      <c s="30" r="D818"/>
      <c s="16" r="E818"/>
      <c s="16" r="F818"/>
      <c s="16" r="G818"/>
      <c s="16" r="H818"/>
      <c s="16" r="I818"/>
      <c s="16" r="J818"/>
      <c s="16" r="K818"/>
      <c s="80" r="L818"/>
      <c s="79" r="M818"/>
      <c s="79" r="N818"/>
      <c s="79" r="O818"/>
      <c s="79" r="P818"/>
      <c s="17" r="Q818"/>
      <c s="17" r="R818"/>
      <c s="7" r="S818"/>
      <c s="7" r="T818"/>
      <c s="7" r="U818"/>
      <c s="7" r="V818"/>
      <c s="30" r="W818"/>
      <c s="30" r="X818"/>
      <c s="30" r="Y818"/>
      <c s="30" r="Z818"/>
      <c s="30" r="AA818"/>
      <c s="30" r="AB818"/>
      <c s="30" r="AC818"/>
      <c s="30" r="AD818"/>
      <c s="30" r="AE818"/>
      <c s="10" r="AF818"/>
      <c s="10" r="AG818"/>
      <c s="10" r="AH818"/>
      <c s="10" r="AI818"/>
      <c s="10" r="AJ818"/>
      <c s="10" r="AK818"/>
      <c s="30" r="AL818"/>
    </row>
    <row r="819">
      <c s="30" r="A819"/>
      <c s="30" r="B819"/>
      <c s="30" r="C819"/>
      <c s="30" r="D819"/>
      <c s="16" r="E819"/>
      <c s="16" r="F819"/>
      <c s="16" r="G819"/>
      <c s="16" r="H819"/>
      <c s="16" r="I819"/>
      <c s="16" r="J819"/>
      <c s="16" r="K819"/>
      <c s="80" r="L819"/>
      <c s="79" r="M819"/>
      <c s="79" r="N819"/>
      <c s="79" r="O819"/>
      <c s="79" r="P819"/>
      <c s="17" r="Q819"/>
      <c s="17" r="R819"/>
      <c s="7" r="S819"/>
      <c s="7" r="T819"/>
      <c s="7" r="U819"/>
      <c s="7" r="V819"/>
      <c s="30" r="W819"/>
      <c s="30" r="X819"/>
      <c s="30" r="Y819"/>
      <c s="30" r="Z819"/>
      <c s="30" r="AA819"/>
      <c s="30" r="AB819"/>
      <c s="30" r="AC819"/>
      <c s="30" r="AD819"/>
      <c s="30" r="AE819"/>
      <c s="10" r="AF819"/>
      <c s="10" r="AG819"/>
      <c s="10" r="AH819"/>
      <c s="10" r="AI819"/>
      <c s="10" r="AJ819"/>
      <c s="10" r="AK819"/>
      <c s="30" r="AL819"/>
    </row>
    <row r="820">
      <c s="30" r="A820"/>
      <c s="30" r="B820"/>
      <c s="30" r="C820"/>
      <c s="30" r="D820"/>
      <c s="16" r="E820"/>
      <c s="16" r="F820"/>
      <c s="16" r="G820"/>
      <c s="16" r="H820"/>
      <c s="16" r="I820"/>
      <c s="16" r="J820"/>
      <c s="16" r="K820"/>
      <c s="80" r="L820"/>
      <c s="79" r="M820"/>
      <c s="79" r="N820"/>
      <c s="79" r="O820"/>
      <c s="79" r="P820"/>
      <c s="17" r="Q820"/>
      <c s="17" r="R820"/>
      <c s="7" r="S820"/>
      <c s="7" r="T820"/>
      <c s="7" r="U820"/>
      <c s="7" r="V820"/>
      <c s="30" r="W820"/>
      <c s="30" r="X820"/>
      <c s="30" r="Y820"/>
      <c s="30" r="Z820"/>
      <c s="30" r="AA820"/>
      <c s="30" r="AB820"/>
      <c s="30" r="AC820"/>
      <c s="30" r="AD820"/>
      <c s="30" r="AE820"/>
      <c s="10" r="AF820"/>
      <c s="10" r="AG820"/>
      <c s="10" r="AH820"/>
      <c s="10" r="AI820"/>
      <c s="10" r="AJ820"/>
      <c s="10" r="AK820"/>
      <c s="30" r="AL820"/>
    </row>
    <row r="821">
      <c s="30" r="A821"/>
      <c s="30" r="B821"/>
      <c s="30" r="C821"/>
      <c s="30" r="D821"/>
      <c s="16" r="E821"/>
      <c s="16" r="F821"/>
      <c s="16" r="G821"/>
      <c s="16" r="H821"/>
      <c s="16" r="I821"/>
      <c s="16" r="J821"/>
      <c s="16" r="K821"/>
      <c s="80" r="L821"/>
      <c s="79" r="M821"/>
      <c s="79" r="N821"/>
      <c s="79" r="O821"/>
      <c s="79" r="P821"/>
      <c s="17" r="Q821"/>
      <c s="17" r="R821"/>
      <c s="7" r="S821"/>
      <c s="7" r="T821"/>
      <c s="7" r="U821"/>
      <c s="7" r="V821"/>
      <c s="30" r="W821"/>
      <c s="30" r="X821"/>
      <c s="30" r="Y821"/>
      <c s="30" r="Z821"/>
      <c s="30" r="AA821"/>
      <c s="30" r="AB821"/>
      <c s="30" r="AC821"/>
      <c s="30" r="AD821"/>
      <c s="30" r="AE821"/>
      <c s="10" r="AF821"/>
      <c s="10" r="AG821"/>
      <c s="10" r="AH821"/>
      <c s="10" r="AI821"/>
      <c s="10" r="AJ821"/>
      <c s="10" r="AK821"/>
      <c s="30" r="AL821"/>
    </row>
    <row r="822">
      <c s="30" r="A822"/>
      <c s="30" r="B822"/>
      <c s="30" r="C822"/>
      <c s="30" r="D822"/>
      <c s="16" r="E822"/>
      <c s="16" r="F822"/>
      <c s="16" r="G822"/>
      <c s="16" r="H822"/>
      <c s="16" r="I822"/>
      <c s="16" r="J822"/>
      <c s="16" r="K822"/>
      <c s="80" r="L822"/>
      <c s="79" r="M822"/>
      <c s="79" r="N822"/>
      <c s="79" r="O822"/>
      <c s="79" r="P822"/>
      <c s="17" r="Q822"/>
      <c s="17" r="R822"/>
      <c s="7" r="S822"/>
      <c s="7" r="T822"/>
      <c s="7" r="U822"/>
      <c s="7" r="V822"/>
      <c s="30" r="W822"/>
      <c s="30" r="X822"/>
      <c s="30" r="Y822"/>
      <c s="30" r="Z822"/>
      <c s="30" r="AA822"/>
      <c s="30" r="AB822"/>
      <c s="30" r="AC822"/>
      <c s="30" r="AD822"/>
      <c s="30" r="AE822"/>
      <c s="10" r="AF822"/>
      <c s="10" r="AG822"/>
      <c s="10" r="AH822"/>
      <c s="10" r="AI822"/>
      <c s="10" r="AJ822"/>
      <c s="10" r="AK822"/>
      <c s="30" r="AL822"/>
    </row>
    <row r="823">
      <c s="30" r="A823"/>
      <c s="30" r="B823"/>
      <c s="30" r="C823"/>
      <c s="30" r="D823"/>
      <c s="16" r="E823"/>
      <c s="16" r="F823"/>
      <c s="16" r="G823"/>
      <c s="16" r="H823"/>
      <c s="16" r="I823"/>
      <c s="16" r="J823"/>
      <c s="16" r="K823"/>
      <c s="80" r="L823"/>
      <c s="79" r="M823"/>
      <c s="79" r="N823"/>
      <c s="79" r="O823"/>
      <c s="79" r="P823"/>
      <c s="17" r="Q823"/>
      <c s="17" r="R823"/>
      <c s="7" r="S823"/>
      <c s="7" r="T823"/>
      <c s="7" r="U823"/>
      <c s="7" r="V823"/>
      <c s="30" r="W823"/>
      <c s="30" r="X823"/>
      <c s="30" r="Y823"/>
      <c s="30" r="Z823"/>
      <c s="30" r="AA823"/>
      <c s="30" r="AB823"/>
      <c s="30" r="AC823"/>
      <c s="30" r="AD823"/>
      <c s="30" r="AE823"/>
      <c s="10" r="AF823"/>
      <c s="10" r="AG823"/>
      <c s="10" r="AH823"/>
      <c s="10" r="AI823"/>
      <c s="10" r="AJ823"/>
      <c s="10" r="AK823"/>
      <c s="30" r="AL823"/>
    </row>
    <row r="824">
      <c s="30" r="A824"/>
      <c s="30" r="B824"/>
      <c s="30" r="C824"/>
      <c s="30" r="D824"/>
      <c s="16" r="E824"/>
      <c s="16" r="F824"/>
      <c s="16" r="G824"/>
      <c s="16" r="H824"/>
      <c s="16" r="I824"/>
      <c s="16" r="J824"/>
      <c s="16" r="K824"/>
      <c s="80" r="L824"/>
      <c s="79" r="M824"/>
      <c s="79" r="N824"/>
      <c s="79" r="O824"/>
      <c s="79" r="P824"/>
      <c s="17" r="Q824"/>
      <c s="17" r="R824"/>
      <c s="7" r="S824"/>
      <c s="7" r="T824"/>
      <c s="7" r="U824"/>
      <c s="7" r="V824"/>
      <c s="30" r="W824"/>
      <c s="30" r="X824"/>
      <c s="30" r="Y824"/>
      <c s="30" r="Z824"/>
      <c s="30" r="AA824"/>
      <c s="30" r="AB824"/>
      <c s="30" r="AC824"/>
      <c s="30" r="AD824"/>
      <c s="30" r="AE824"/>
      <c s="10" r="AF824"/>
      <c s="10" r="AG824"/>
      <c s="10" r="AH824"/>
      <c s="10" r="AI824"/>
      <c s="10" r="AJ824"/>
      <c s="10" r="AK824"/>
      <c s="30" r="AL824"/>
    </row>
    <row r="825">
      <c s="30" r="A825"/>
      <c s="30" r="B825"/>
      <c s="30" r="C825"/>
      <c s="30" r="D825"/>
      <c s="16" r="E825"/>
      <c s="16" r="F825"/>
      <c s="16" r="G825"/>
      <c s="16" r="H825"/>
      <c s="16" r="I825"/>
      <c s="16" r="J825"/>
      <c s="16" r="K825"/>
      <c s="80" r="L825"/>
      <c s="79" r="M825"/>
      <c s="79" r="N825"/>
      <c s="79" r="O825"/>
      <c s="79" r="P825"/>
      <c s="17" r="Q825"/>
      <c s="17" r="R825"/>
      <c s="7" r="S825"/>
      <c s="7" r="T825"/>
      <c s="7" r="U825"/>
      <c s="7" r="V825"/>
      <c s="30" r="W825"/>
      <c s="30" r="X825"/>
      <c s="30" r="Y825"/>
      <c s="30" r="Z825"/>
      <c s="30" r="AA825"/>
      <c s="30" r="AB825"/>
      <c s="30" r="AC825"/>
      <c s="30" r="AD825"/>
      <c s="30" r="AE825"/>
      <c s="10" r="AF825"/>
      <c s="10" r="AG825"/>
      <c s="10" r="AH825"/>
      <c s="10" r="AI825"/>
      <c s="10" r="AJ825"/>
      <c s="10" r="AK825"/>
      <c s="30" r="AL825"/>
    </row>
    <row r="826">
      <c s="30" r="A826"/>
      <c s="30" r="B826"/>
      <c s="30" r="C826"/>
      <c s="30" r="D826"/>
      <c s="16" r="E826"/>
      <c s="16" r="F826"/>
      <c s="16" r="G826"/>
      <c s="16" r="H826"/>
      <c s="16" r="I826"/>
      <c s="16" r="J826"/>
      <c s="16" r="K826"/>
      <c s="80" r="L826"/>
      <c s="79" r="M826"/>
      <c s="79" r="N826"/>
      <c s="79" r="O826"/>
      <c s="79" r="P826"/>
      <c s="17" r="Q826"/>
      <c s="17" r="R826"/>
      <c s="7" r="S826"/>
      <c s="7" r="T826"/>
      <c s="7" r="U826"/>
      <c s="7" r="V826"/>
      <c s="30" r="W826"/>
      <c s="30" r="X826"/>
      <c s="30" r="Y826"/>
      <c s="30" r="Z826"/>
      <c s="30" r="AA826"/>
      <c s="30" r="AB826"/>
      <c s="30" r="AC826"/>
      <c s="30" r="AD826"/>
      <c s="30" r="AE826"/>
      <c s="10" r="AF826"/>
      <c s="10" r="AG826"/>
      <c s="10" r="AH826"/>
      <c s="10" r="AI826"/>
      <c s="10" r="AJ826"/>
      <c s="10" r="AK826"/>
      <c s="30" r="AL826"/>
    </row>
    <row r="827">
      <c s="30" r="A827"/>
      <c s="30" r="B827"/>
      <c s="30" r="C827"/>
      <c s="30" r="D827"/>
      <c s="16" r="E827"/>
      <c s="16" r="F827"/>
      <c s="16" r="G827"/>
      <c s="16" r="H827"/>
      <c s="16" r="I827"/>
      <c s="16" r="J827"/>
      <c s="16" r="K827"/>
      <c s="80" r="L827"/>
      <c s="79" r="M827"/>
      <c s="79" r="N827"/>
      <c s="79" r="O827"/>
      <c s="79" r="P827"/>
      <c s="17" r="Q827"/>
      <c s="17" r="R827"/>
      <c s="7" r="S827"/>
      <c s="7" r="T827"/>
      <c s="7" r="U827"/>
      <c s="7" r="V827"/>
      <c s="30" r="W827"/>
      <c s="30" r="X827"/>
      <c s="30" r="Y827"/>
      <c s="30" r="Z827"/>
      <c s="30" r="AA827"/>
      <c s="30" r="AB827"/>
      <c s="30" r="AC827"/>
      <c s="30" r="AD827"/>
      <c s="30" r="AE827"/>
      <c s="10" r="AF827"/>
      <c s="10" r="AG827"/>
      <c s="10" r="AH827"/>
      <c s="10" r="AI827"/>
      <c s="10" r="AJ827"/>
      <c s="10" r="AK827"/>
      <c s="30" r="AL827"/>
    </row>
    <row r="828">
      <c s="30" r="A828"/>
      <c s="30" r="B828"/>
      <c s="30" r="C828"/>
      <c s="30" r="D828"/>
      <c s="16" r="E828"/>
      <c s="16" r="F828"/>
      <c s="16" r="G828"/>
      <c s="16" r="H828"/>
      <c s="16" r="I828"/>
      <c s="16" r="J828"/>
      <c s="16" r="K828"/>
      <c s="80" r="L828"/>
      <c s="79" r="M828"/>
      <c s="79" r="N828"/>
      <c s="79" r="O828"/>
      <c s="79" r="P828"/>
      <c s="17" r="Q828"/>
      <c s="17" r="R828"/>
      <c s="7" r="S828"/>
      <c s="7" r="T828"/>
      <c s="7" r="U828"/>
      <c s="7" r="V828"/>
      <c s="30" r="W828"/>
      <c s="30" r="X828"/>
      <c s="30" r="Y828"/>
      <c s="30" r="Z828"/>
      <c s="30" r="AA828"/>
      <c s="30" r="AB828"/>
      <c s="30" r="AC828"/>
      <c s="30" r="AD828"/>
      <c s="30" r="AE828"/>
      <c s="10" r="AF828"/>
      <c s="10" r="AG828"/>
      <c s="10" r="AH828"/>
      <c s="10" r="AI828"/>
      <c s="10" r="AJ828"/>
      <c s="10" r="AK828"/>
      <c s="30" r="AL828"/>
    </row>
    <row r="829">
      <c s="30" r="A829"/>
      <c s="30" r="B829"/>
      <c s="30" r="C829"/>
      <c s="30" r="D829"/>
      <c s="16" r="E829"/>
      <c s="16" r="F829"/>
      <c s="16" r="G829"/>
      <c s="16" r="H829"/>
      <c s="16" r="I829"/>
      <c s="16" r="J829"/>
      <c s="16" r="K829"/>
      <c s="80" r="L829"/>
      <c s="79" r="M829"/>
      <c s="79" r="N829"/>
      <c s="79" r="O829"/>
      <c s="79" r="P829"/>
      <c s="17" r="Q829"/>
      <c s="17" r="R829"/>
      <c s="7" r="S829"/>
      <c s="7" r="T829"/>
      <c s="7" r="U829"/>
      <c s="7" r="V829"/>
      <c s="30" r="W829"/>
      <c s="30" r="X829"/>
      <c s="30" r="Y829"/>
      <c s="30" r="Z829"/>
      <c s="30" r="AA829"/>
      <c s="30" r="AB829"/>
      <c s="30" r="AC829"/>
      <c s="30" r="AD829"/>
      <c s="30" r="AE829"/>
      <c s="10" r="AF829"/>
      <c s="10" r="AG829"/>
      <c s="10" r="AH829"/>
      <c s="10" r="AI829"/>
      <c s="10" r="AJ829"/>
      <c s="10" r="AK829"/>
      <c s="30" r="AL829"/>
    </row>
    <row r="830">
      <c s="30" r="A830"/>
      <c s="30" r="B830"/>
      <c s="30" r="C830"/>
      <c s="30" r="D830"/>
      <c s="16" r="E830"/>
      <c s="16" r="F830"/>
      <c s="16" r="G830"/>
      <c s="16" r="H830"/>
      <c s="16" r="I830"/>
      <c s="16" r="J830"/>
      <c s="16" r="K830"/>
      <c s="80" r="L830"/>
      <c s="79" r="M830"/>
      <c s="79" r="N830"/>
      <c s="79" r="O830"/>
      <c s="79" r="P830"/>
      <c s="17" r="Q830"/>
      <c s="17" r="R830"/>
      <c s="7" r="S830"/>
      <c s="7" r="T830"/>
      <c s="7" r="U830"/>
      <c s="7" r="V830"/>
      <c s="30" r="W830"/>
      <c s="30" r="X830"/>
      <c s="30" r="Y830"/>
      <c s="30" r="Z830"/>
      <c s="30" r="AA830"/>
      <c s="30" r="AB830"/>
      <c s="30" r="AC830"/>
      <c s="30" r="AD830"/>
      <c s="30" r="AE830"/>
      <c s="10" r="AF830"/>
      <c s="10" r="AG830"/>
      <c s="10" r="AH830"/>
      <c s="10" r="AI830"/>
      <c s="10" r="AJ830"/>
      <c s="10" r="AK830"/>
      <c s="30" r="AL830"/>
    </row>
    <row r="831">
      <c s="30" r="A831"/>
      <c s="30" r="B831"/>
      <c s="30" r="C831"/>
      <c s="30" r="D831"/>
      <c s="16" r="E831"/>
      <c s="16" r="F831"/>
      <c s="16" r="G831"/>
      <c s="16" r="H831"/>
      <c s="16" r="I831"/>
      <c s="16" r="J831"/>
      <c s="16" r="K831"/>
      <c s="80" r="L831"/>
      <c s="79" r="M831"/>
      <c s="79" r="N831"/>
      <c s="79" r="O831"/>
      <c s="79" r="P831"/>
      <c s="17" r="Q831"/>
      <c s="17" r="R831"/>
      <c s="7" r="S831"/>
      <c s="7" r="T831"/>
      <c s="7" r="U831"/>
      <c s="7" r="V831"/>
      <c s="30" r="W831"/>
      <c s="30" r="X831"/>
      <c s="30" r="Y831"/>
      <c s="30" r="Z831"/>
      <c s="30" r="AA831"/>
      <c s="30" r="AB831"/>
      <c s="30" r="AC831"/>
      <c s="30" r="AD831"/>
      <c s="30" r="AE831"/>
      <c s="10" r="AF831"/>
      <c s="10" r="AG831"/>
      <c s="10" r="AH831"/>
      <c s="10" r="AI831"/>
      <c s="10" r="AJ831"/>
      <c s="10" r="AK831"/>
      <c s="30" r="AL831"/>
    </row>
    <row r="832">
      <c s="30" r="A832"/>
      <c s="30" r="B832"/>
      <c s="30" r="C832"/>
      <c s="30" r="D832"/>
      <c s="16" r="E832"/>
      <c s="16" r="F832"/>
      <c s="16" r="G832"/>
      <c s="16" r="H832"/>
      <c s="16" r="I832"/>
      <c s="16" r="J832"/>
      <c s="16" r="K832"/>
      <c s="80" r="L832"/>
      <c s="79" r="M832"/>
      <c s="79" r="N832"/>
      <c s="79" r="O832"/>
      <c s="79" r="P832"/>
      <c s="17" r="Q832"/>
      <c s="17" r="R832"/>
      <c s="7" r="S832"/>
      <c s="7" r="T832"/>
      <c s="7" r="U832"/>
      <c s="7" r="V832"/>
      <c s="30" r="W832"/>
      <c s="30" r="X832"/>
      <c s="30" r="Y832"/>
      <c s="30" r="Z832"/>
      <c s="30" r="AA832"/>
      <c s="30" r="AB832"/>
      <c s="30" r="AC832"/>
      <c s="30" r="AD832"/>
      <c s="30" r="AE832"/>
      <c s="10" r="AF832"/>
      <c s="10" r="AG832"/>
      <c s="10" r="AH832"/>
      <c s="10" r="AI832"/>
      <c s="10" r="AJ832"/>
      <c s="10" r="AK832"/>
      <c s="30" r="AL832"/>
    </row>
    <row r="833">
      <c s="30" r="A833"/>
      <c s="30" r="B833"/>
      <c s="30" r="C833"/>
      <c s="30" r="D833"/>
      <c s="16" r="E833"/>
      <c s="16" r="F833"/>
      <c s="16" r="G833"/>
      <c s="16" r="H833"/>
      <c s="16" r="I833"/>
      <c s="16" r="J833"/>
      <c s="16" r="K833"/>
      <c s="80" r="L833"/>
      <c s="79" r="M833"/>
      <c s="79" r="N833"/>
      <c s="79" r="O833"/>
      <c s="79" r="P833"/>
      <c s="17" r="Q833"/>
      <c s="17" r="R833"/>
      <c s="7" r="S833"/>
      <c s="7" r="T833"/>
      <c s="7" r="U833"/>
      <c s="7" r="V833"/>
      <c s="30" r="W833"/>
      <c s="30" r="X833"/>
      <c s="30" r="Y833"/>
      <c s="30" r="Z833"/>
      <c s="30" r="AA833"/>
      <c s="30" r="AB833"/>
      <c s="30" r="AC833"/>
      <c s="30" r="AD833"/>
      <c s="30" r="AE833"/>
      <c s="10" r="AF833"/>
      <c s="10" r="AG833"/>
      <c s="10" r="AH833"/>
      <c s="10" r="AI833"/>
      <c s="10" r="AJ833"/>
      <c s="10" r="AK833"/>
      <c s="30" r="AL833"/>
    </row>
    <row r="834">
      <c s="30" r="A834"/>
      <c s="30" r="B834"/>
      <c s="30" r="C834"/>
      <c s="30" r="D834"/>
      <c s="16" r="E834"/>
      <c s="16" r="F834"/>
      <c s="16" r="G834"/>
      <c s="16" r="H834"/>
      <c s="16" r="I834"/>
      <c s="16" r="J834"/>
      <c s="16" r="K834"/>
      <c s="80" r="L834"/>
      <c s="79" r="M834"/>
      <c s="79" r="N834"/>
      <c s="79" r="O834"/>
      <c s="79" r="P834"/>
      <c s="17" r="Q834"/>
      <c s="17" r="R834"/>
      <c s="7" r="S834"/>
      <c s="7" r="T834"/>
      <c s="7" r="U834"/>
      <c s="7" r="V834"/>
      <c s="30" r="W834"/>
      <c s="30" r="X834"/>
      <c s="30" r="Y834"/>
      <c s="30" r="Z834"/>
      <c s="30" r="AA834"/>
      <c s="30" r="AB834"/>
      <c s="30" r="AC834"/>
      <c s="30" r="AD834"/>
      <c s="30" r="AE834"/>
      <c s="10" r="AF834"/>
      <c s="10" r="AG834"/>
      <c s="10" r="AH834"/>
      <c s="10" r="AI834"/>
      <c s="10" r="AJ834"/>
      <c s="10" r="AK834"/>
      <c s="30" r="AL834"/>
    </row>
    <row r="835">
      <c s="30" r="A835"/>
      <c s="30" r="B835"/>
      <c s="30" r="C835"/>
      <c s="30" r="D835"/>
      <c s="16" r="E835"/>
      <c s="16" r="F835"/>
      <c s="16" r="G835"/>
      <c s="16" r="H835"/>
      <c s="16" r="I835"/>
      <c s="16" r="J835"/>
      <c s="16" r="K835"/>
      <c s="80" r="L835"/>
      <c s="79" r="M835"/>
      <c s="79" r="N835"/>
      <c s="79" r="O835"/>
      <c s="79" r="P835"/>
      <c s="17" r="Q835"/>
      <c s="17" r="R835"/>
      <c s="7" r="S835"/>
      <c s="7" r="T835"/>
      <c s="7" r="U835"/>
      <c s="7" r="V835"/>
      <c s="30" r="W835"/>
      <c s="30" r="X835"/>
      <c s="30" r="Y835"/>
      <c s="30" r="Z835"/>
      <c s="30" r="AA835"/>
      <c s="30" r="AB835"/>
      <c s="30" r="AC835"/>
      <c s="30" r="AD835"/>
      <c s="30" r="AE835"/>
      <c s="10" r="AF835"/>
      <c s="10" r="AG835"/>
      <c s="10" r="AH835"/>
      <c s="10" r="AI835"/>
      <c s="10" r="AJ835"/>
      <c s="10" r="AK835"/>
      <c s="30" r="AL835"/>
    </row>
    <row r="836">
      <c s="30" r="A836"/>
      <c s="30" r="B836"/>
      <c s="30" r="C836"/>
      <c s="30" r="D836"/>
      <c s="16" r="E836"/>
      <c s="16" r="F836"/>
      <c s="16" r="G836"/>
      <c s="16" r="H836"/>
      <c s="16" r="I836"/>
      <c s="16" r="J836"/>
      <c s="16" r="K836"/>
      <c s="80" r="L836"/>
      <c s="79" r="M836"/>
      <c s="79" r="N836"/>
      <c s="79" r="O836"/>
      <c s="79" r="P836"/>
      <c s="17" r="Q836"/>
      <c s="17" r="R836"/>
      <c s="7" r="S836"/>
      <c s="7" r="T836"/>
      <c s="7" r="U836"/>
      <c s="7" r="V836"/>
      <c s="30" r="W836"/>
      <c s="30" r="X836"/>
      <c s="30" r="Y836"/>
      <c s="30" r="Z836"/>
      <c s="30" r="AA836"/>
      <c s="30" r="AB836"/>
      <c s="30" r="AC836"/>
      <c s="30" r="AD836"/>
      <c s="30" r="AE836"/>
      <c s="10" r="AF836"/>
      <c s="10" r="AG836"/>
      <c s="10" r="AH836"/>
      <c s="10" r="AI836"/>
      <c s="10" r="AJ836"/>
      <c s="10" r="AK836"/>
      <c s="30" r="AL836"/>
    </row>
    <row r="837">
      <c s="30" r="A837"/>
      <c s="30" r="B837"/>
      <c s="30" r="C837"/>
      <c s="30" r="D837"/>
      <c s="16" r="E837"/>
      <c s="16" r="F837"/>
      <c s="16" r="G837"/>
      <c s="16" r="H837"/>
      <c s="16" r="I837"/>
      <c s="16" r="J837"/>
      <c s="16" r="K837"/>
      <c s="80" r="L837"/>
      <c s="79" r="M837"/>
      <c s="79" r="N837"/>
      <c s="79" r="O837"/>
      <c s="79" r="P837"/>
      <c s="17" r="Q837"/>
      <c s="17" r="R837"/>
      <c s="7" r="S837"/>
      <c s="7" r="T837"/>
      <c s="7" r="U837"/>
      <c s="7" r="V837"/>
      <c s="30" r="W837"/>
      <c s="30" r="X837"/>
      <c s="30" r="Y837"/>
      <c s="30" r="Z837"/>
      <c s="30" r="AA837"/>
      <c s="30" r="AB837"/>
      <c s="30" r="AC837"/>
      <c s="30" r="AD837"/>
      <c s="30" r="AE837"/>
      <c s="10" r="AF837"/>
      <c s="10" r="AG837"/>
      <c s="10" r="AH837"/>
      <c s="10" r="AI837"/>
      <c s="10" r="AJ837"/>
      <c s="10" r="AK837"/>
      <c s="30" r="AL837"/>
    </row>
    <row r="838">
      <c s="30" r="A838"/>
      <c s="30" r="B838"/>
      <c s="30" r="C838"/>
      <c s="30" r="D838"/>
      <c s="16" r="E838"/>
      <c s="16" r="F838"/>
      <c s="16" r="G838"/>
      <c s="16" r="H838"/>
      <c s="16" r="I838"/>
      <c s="16" r="J838"/>
      <c s="16" r="K838"/>
      <c s="80" r="L838"/>
      <c s="79" r="M838"/>
      <c s="79" r="N838"/>
      <c s="79" r="O838"/>
      <c s="79" r="P838"/>
      <c s="17" r="Q838"/>
      <c s="17" r="R838"/>
      <c s="7" r="S838"/>
      <c s="7" r="T838"/>
      <c s="7" r="U838"/>
      <c s="7" r="V838"/>
      <c s="30" r="W838"/>
      <c s="30" r="X838"/>
      <c s="30" r="Y838"/>
      <c s="30" r="Z838"/>
      <c s="30" r="AA838"/>
      <c s="30" r="AB838"/>
      <c s="30" r="AC838"/>
      <c s="30" r="AD838"/>
      <c s="30" r="AE838"/>
      <c s="10" r="AF838"/>
      <c s="10" r="AG838"/>
      <c s="10" r="AH838"/>
      <c s="10" r="AI838"/>
      <c s="10" r="AJ838"/>
      <c s="10" r="AK838"/>
      <c s="30" r="AL838"/>
    </row>
    <row r="839">
      <c s="30" r="A839"/>
      <c s="30" r="B839"/>
      <c s="30" r="C839"/>
      <c s="30" r="D839"/>
      <c s="16" r="E839"/>
      <c s="16" r="F839"/>
      <c s="16" r="G839"/>
      <c s="16" r="H839"/>
      <c s="16" r="I839"/>
      <c s="16" r="J839"/>
      <c s="16" r="K839"/>
      <c s="80" r="L839"/>
      <c s="79" r="M839"/>
      <c s="79" r="N839"/>
      <c s="79" r="O839"/>
      <c s="79" r="P839"/>
      <c s="17" r="Q839"/>
      <c s="17" r="R839"/>
      <c s="7" r="S839"/>
      <c s="7" r="T839"/>
      <c s="7" r="U839"/>
      <c s="7" r="V839"/>
      <c s="30" r="W839"/>
      <c s="30" r="X839"/>
      <c s="30" r="Y839"/>
      <c s="30" r="Z839"/>
      <c s="30" r="AA839"/>
      <c s="30" r="AB839"/>
      <c s="30" r="AC839"/>
      <c s="30" r="AD839"/>
      <c s="30" r="AE839"/>
      <c s="10" r="AF839"/>
      <c s="10" r="AG839"/>
      <c s="10" r="AH839"/>
      <c s="10" r="AI839"/>
      <c s="10" r="AJ839"/>
      <c s="10" r="AK839"/>
      <c s="30" r="AL839"/>
    </row>
    <row r="840">
      <c s="30" r="A840"/>
      <c s="30" r="B840"/>
      <c s="30" r="C840"/>
      <c s="30" r="D840"/>
      <c s="16" r="E840"/>
      <c s="16" r="F840"/>
      <c s="16" r="G840"/>
      <c s="16" r="H840"/>
      <c s="16" r="I840"/>
      <c s="16" r="J840"/>
      <c s="16" r="K840"/>
      <c s="80" r="L840"/>
      <c s="79" r="M840"/>
      <c s="79" r="N840"/>
      <c s="79" r="O840"/>
      <c s="79" r="P840"/>
      <c s="17" r="Q840"/>
      <c s="17" r="R840"/>
      <c s="7" r="S840"/>
      <c s="7" r="T840"/>
      <c s="7" r="U840"/>
      <c s="7" r="V840"/>
      <c s="30" r="W840"/>
      <c s="30" r="X840"/>
      <c s="30" r="Y840"/>
      <c s="30" r="Z840"/>
      <c s="30" r="AA840"/>
      <c s="30" r="AB840"/>
      <c s="30" r="AC840"/>
      <c s="30" r="AD840"/>
      <c s="30" r="AE840"/>
      <c s="10" r="AF840"/>
      <c s="10" r="AG840"/>
      <c s="10" r="AH840"/>
      <c s="10" r="AI840"/>
      <c s="10" r="AJ840"/>
      <c s="10" r="AK840"/>
      <c s="30" r="AL840"/>
    </row>
    <row r="841">
      <c s="30" r="A841"/>
      <c s="30" r="B841"/>
      <c s="30" r="C841"/>
      <c s="30" r="D841"/>
      <c s="16" r="E841"/>
      <c s="16" r="F841"/>
      <c s="16" r="G841"/>
      <c s="16" r="H841"/>
      <c s="16" r="I841"/>
      <c s="16" r="J841"/>
      <c s="16" r="K841"/>
      <c s="80" r="L841"/>
      <c s="79" r="M841"/>
      <c s="79" r="N841"/>
      <c s="79" r="O841"/>
      <c s="79" r="P841"/>
      <c s="17" r="Q841"/>
      <c s="17" r="R841"/>
      <c s="7" r="S841"/>
      <c s="7" r="T841"/>
      <c s="7" r="U841"/>
      <c s="7" r="V841"/>
      <c s="30" r="W841"/>
      <c s="30" r="X841"/>
      <c s="30" r="Y841"/>
      <c s="30" r="Z841"/>
      <c s="30" r="AA841"/>
      <c s="30" r="AB841"/>
      <c s="30" r="AC841"/>
      <c s="30" r="AD841"/>
      <c s="30" r="AE841"/>
      <c s="10" r="AF841"/>
      <c s="10" r="AG841"/>
      <c s="10" r="AH841"/>
      <c s="10" r="AI841"/>
      <c s="10" r="AJ841"/>
      <c s="10" r="AK841"/>
      <c s="30" r="AL841"/>
    </row>
    <row r="842">
      <c s="30" r="A842"/>
      <c s="30" r="B842"/>
      <c s="30" r="C842"/>
      <c s="30" r="D842"/>
      <c s="16" r="E842"/>
      <c s="16" r="F842"/>
      <c s="16" r="G842"/>
      <c s="16" r="H842"/>
      <c s="16" r="I842"/>
      <c s="16" r="J842"/>
      <c s="16" r="K842"/>
      <c s="80" r="L842"/>
      <c s="79" r="M842"/>
      <c s="79" r="N842"/>
      <c s="79" r="O842"/>
      <c s="79" r="P842"/>
      <c s="17" r="Q842"/>
      <c s="17" r="R842"/>
      <c s="7" r="S842"/>
      <c s="7" r="T842"/>
      <c s="7" r="U842"/>
      <c s="7" r="V842"/>
      <c s="30" r="W842"/>
      <c s="30" r="X842"/>
      <c s="30" r="Y842"/>
      <c s="30" r="Z842"/>
      <c s="30" r="AA842"/>
      <c s="30" r="AB842"/>
      <c s="30" r="AC842"/>
      <c s="30" r="AD842"/>
      <c s="30" r="AE842"/>
      <c s="10" r="AF842"/>
      <c s="10" r="AG842"/>
      <c s="10" r="AH842"/>
      <c s="10" r="AI842"/>
      <c s="10" r="AJ842"/>
      <c s="10" r="AK842"/>
      <c s="30" r="AL842"/>
    </row>
    <row r="843">
      <c s="30" r="A843"/>
      <c s="30" r="B843"/>
      <c s="30" r="C843"/>
      <c s="30" r="D843"/>
      <c s="16" r="E843"/>
      <c s="16" r="F843"/>
      <c s="16" r="G843"/>
      <c s="16" r="H843"/>
      <c s="16" r="I843"/>
      <c s="16" r="J843"/>
      <c s="16" r="K843"/>
      <c s="80" r="L843"/>
      <c s="79" r="M843"/>
      <c s="79" r="N843"/>
      <c s="79" r="O843"/>
      <c s="79" r="P843"/>
      <c s="17" r="Q843"/>
      <c s="17" r="R843"/>
      <c s="7" r="S843"/>
      <c s="7" r="T843"/>
      <c s="7" r="U843"/>
      <c s="7" r="V843"/>
      <c s="30" r="W843"/>
      <c s="30" r="X843"/>
      <c s="30" r="Y843"/>
      <c s="30" r="Z843"/>
      <c s="30" r="AA843"/>
      <c s="30" r="AB843"/>
      <c s="30" r="AC843"/>
      <c s="30" r="AD843"/>
      <c s="30" r="AE843"/>
      <c s="10" r="AF843"/>
      <c s="10" r="AG843"/>
      <c s="10" r="AH843"/>
      <c s="10" r="AI843"/>
      <c s="10" r="AJ843"/>
      <c s="10" r="AK843"/>
      <c s="30" r="AL843"/>
    </row>
    <row r="844">
      <c s="30" r="A844"/>
      <c s="30" r="B844"/>
      <c s="30" r="C844"/>
      <c s="30" r="D844"/>
      <c s="16" r="E844"/>
      <c s="16" r="F844"/>
      <c s="16" r="G844"/>
      <c s="16" r="H844"/>
      <c s="16" r="I844"/>
      <c s="16" r="J844"/>
      <c s="16" r="K844"/>
      <c s="80" r="L844"/>
      <c s="79" r="M844"/>
      <c s="79" r="N844"/>
      <c s="79" r="O844"/>
      <c s="79" r="P844"/>
      <c s="17" r="Q844"/>
      <c s="17" r="R844"/>
      <c s="7" r="S844"/>
      <c s="7" r="T844"/>
      <c s="7" r="U844"/>
      <c s="7" r="V844"/>
      <c s="30" r="W844"/>
      <c s="30" r="X844"/>
      <c s="30" r="Y844"/>
      <c s="30" r="Z844"/>
      <c s="30" r="AA844"/>
      <c s="30" r="AB844"/>
      <c s="30" r="AC844"/>
      <c s="30" r="AD844"/>
      <c s="30" r="AE844"/>
      <c s="10" r="AF844"/>
      <c s="10" r="AG844"/>
      <c s="10" r="AH844"/>
      <c s="10" r="AI844"/>
      <c s="10" r="AJ844"/>
      <c s="10" r="AK844"/>
      <c s="30" r="AL844"/>
    </row>
    <row r="845">
      <c s="30" r="A845"/>
      <c s="30" r="B845"/>
      <c s="30" r="C845"/>
      <c s="30" r="D845"/>
      <c s="16" r="E845"/>
      <c s="16" r="F845"/>
      <c s="16" r="G845"/>
      <c s="16" r="H845"/>
      <c s="16" r="I845"/>
      <c s="16" r="J845"/>
      <c s="16" r="K845"/>
      <c s="80" r="L845"/>
      <c s="79" r="M845"/>
      <c s="79" r="N845"/>
      <c s="79" r="O845"/>
      <c s="79" r="P845"/>
      <c s="17" r="Q845"/>
      <c s="17" r="R845"/>
      <c s="7" r="S845"/>
      <c s="7" r="T845"/>
      <c s="7" r="U845"/>
      <c s="7" r="V845"/>
      <c s="30" r="W845"/>
      <c s="30" r="X845"/>
      <c s="30" r="Y845"/>
      <c s="30" r="Z845"/>
      <c s="30" r="AA845"/>
      <c s="30" r="AB845"/>
      <c s="30" r="AC845"/>
      <c s="30" r="AD845"/>
      <c s="30" r="AE845"/>
      <c s="10" r="AF845"/>
      <c s="10" r="AG845"/>
      <c s="10" r="AH845"/>
      <c s="10" r="AI845"/>
      <c s="10" r="AJ845"/>
      <c s="10" r="AK845"/>
      <c s="30" r="AL845"/>
    </row>
    <row r="846">
      <c s="30" r="A846"/>
      <c s="30" r="B846"/>
      <c s="30" r="C846"/>
      <c s="30" r="D846"/>
      <c s="16" r="E846"/>
      <c s="16" r="F846"/>
      <c s="16" r="G846"/>
      <c s="16" r="H846"/>
      <c s="16" r="I846"/>
      <c s="16" r="J846"/>
      <c s="16" r="K846"/>
      <c s="80" r="L846"/>
      <c s="79" r="M846"/>
      <c s="79" r="N846"/>
      <c s="79" r="O846"/>
      <c s="79" r="P846"/>
      <c s="17" r="Q846"/>
      <c s="17" r="R846"/>
      <c s="7" r="S846"/>
      <c s="7" r="T846"/>
      <c s="7" r="U846"/>
      <c s="7" r="V846"/>
      <c s="30" r="W846"/>
      <c s="30" r="X846"/>
      <c s="30" r="Y846"/>
      <c s="30" r="Z846"/>
      <c s="30" r="AA846"/>
      <c s="30" r="AB846"/>
      <c s="30" r="AC846"/>
      <c s="30" r="AD846"/>
      <c s="30" r="AE846"/>
      <c s="10" r="AF846"/>
      <c s="10" r="AG846"/>
      <c s="10" r="AH846"/>
      <c s="10" r="AI846"/>
      <c s="10" r="AJ846"/>
      <c s="10" r="AK846"/>
      <c s="30" r="AL846"/>
    </row>
    <row r="847">
      <c s="30" r="A847"/>
      <c s="30" r="B847"/>
      <c s="30" r="C847"/>
      <c s="30" r="D847"/>
      <c s="16" r="E847"/>
      <c s="16" r="F847"/>
      <c s="16" r="G847"/>
      <c s="16" r="H847"/>
      <c s="16" r="I847"/>
      <c s="16" r="J847"/>
      <c s="16" r="K847"/>
      <c s="80" r="L847"/>
      <c s="79" r="M847"/>
      <c s="79" r="N847"/>
      <c s="79" r="O847"/>
      <c s="79" r="P847"/>
      <c s="17" r="Q847"/>
      <c s="17" r="R847"/>
      <c s="7" r="S847"/>
      <c s="7" r="T847"/>
      <c s="7" r="U847"/>
      <c s="7" r="V847"/>
      <c s="30" r="W847"/>
      <c s="30" r="X847"/>
      <c s="30" r="Y847"/>
      <c s="30" r="Z847"/>
      <c s="30" r="AA847"/>
      <c s="30" r="AB847"/>
      <c s="30" r="AC847"/>
      <c s="30" r="AD847"/>
      <c s="30" r="AE847"/>
      <c s="10" r="AF847"/>
      <c s="10" r="AG847"/>
      <c s="10" r="AH847"/>
      <c s="10" r="AI847"/>
      <c s="10" r="AJ847"/>
      <c s="10" r="AK847"/>
      <c s="30" r="AL847"/>
    </row>
    <row r="848">
      <c s="30" r="A848"/>
      <c s="30" r="B848"/>
      <c s="30" r="C848"/>
      <c s="30" r="D848"/>
      <c s="16" r="E848"/>
      <c s="16" r="F848"/>
      <c s="16" r="G848"/>
      <c s="16" r="H848"/>
      <c s="16" r="I848"/>
      <c s="16" r="J848"/>
      <c s="16" r="K848"/>
      <c s="80" r="L848"/>
      <c s="79" r="M848"/>
      <c s="79" r="N848"/>
      <c s="79" r="O848"/>
      <c s="79" r="P848"/>
      <c s="17" r="Q848"/>
      <c s="17" r="R848"/>
      <c s="7" r="S848"/>
      <c s="7" r="T848"/>
      <c s="7" r="U848"/>
      <c s="7" r="V848"/>
      <c s="30" r="W848"/>
      <c s="30" r="X848"/>
      <c s="30" r="Y848"/>
      <c s="30" r="Z848"/>
      <c s="30" r="AA848"/>
      <c s="30" r="AB848"/>
      <c s="30" r="AC848"/>
      <c s="30" r="AD848"/>
      <c s="30" r="AE848"/>
      <c s="10" r="AF848"/>
      <c s="10" r="AG848"/>
      <c s="10" r="AH848"/>
      <c s="10" r="AI848"/>
      <c s="10" r="AJ848"/>
      <c s="10" r="AK848"/>
      <c s="30" r="AL848"/>
    </row>
    <row r="849">
      <c s="30" r="A849"/>
      <c s="30" r="B849"/>
      <c s="30" r="C849"/>
      <c s="30" r="D849"/>
      <c s="16" r="E849"/>
      <c s="16" r="F849"/>
      <c s="16" r="G849"/>
      <c s="16" r="H849"/>
      <c s="16" r="I849"/>
      <c s="16" r="J849"/>
      <c s="16" r="K849"/>
      <c s="80" r="L849"/>
      <c s="79" r="M849"/>
      <c s="79" r="N849"/>
      <c s="79" r="O849"/>
      <c s="79" r="P849"/>
      <c s="17" r="Q849"/>
      <c s="17" r="R849"/>
      <c s="7" r="S849"/>
      <c s="7" r="T849"/>
      <c s="7" r="U849"/>
      <c s="7" r="V849"/>
      <c s="30" r="W849"/>
      <c s="30" r="X849"/>
      <c s="30" r="Y849"/>
      <c s="30" r="Z849"/>
      <c s="30" r="AA849"/>
      <c s="30" r="AB849"/>
      <c s="30" r="AC849"/>
      <c s="30" r="AD849"/>
      <c s="30" r="AE849"/>
      <c s="10" r="AF849"/>
      <c s="10" r="AG849"/>
      <c s="10" r="AH849"/>
      <c s="10" r="AI849"/>
      <c s="10" r="AJ849"/>
      <c s="10" r="AK849"/>
      <c s="30" r="AL849"/>
    </row>
    <row r="850">
      <c s="30" r="A850"/>
      <c s="30" r="B850"/>
      <c s="30" r="C850"/>
      <c s="30" r="D850"/>
      <c s="16" r="E850"/>
      <c s="16" r="F850"/>
      <c s="16" r="G850"/>
      <c s="16" r="H850"/>
      <c s="16" r="I850"/>
      <c s="16" r="J850"/>
      <c s="16" r="K850"/>
      <c s="80" r="L850"/>
      <c s="79" r="M850"/>
      <c s="79" r="N850"/>
      <c s="79" r="O850"/>
      <c s="79" r="P850"/>
      <c s="17" r="Q850"/>
      <c s="17" r="R850"/>
      <c s="7" r="S850"/>
      <c s="7" r="T850"/>
      <c s="7" r="U850"/>
      <c s="7" r="V850"/>
      <c s="30" r="W850"/>
      <c s="30" r="X850"/>
      <c s="30" r="Y850"/>
      <c s="30" r="Z850"/>
      <c s="30" r="AA850"/>
      <c s="30" r="AB850"/>
      <c s="30" r="AC850"/>
      <c s="30" r="AD850"/>
      <c s="30" r="AE850"/>
      <c s="10" r="AF850"/>
      <c s="10" r="AG850"/>
      <c s="10" r="AH850"/>
      <c s="10" r="AI850"/>
      <c s="10" r="AJ850"/>
      <c s="10" r="AK850"/>
      <c s="30" r="AL850"/>
    </row>
    <row r="851">
      <c s="30" r="A851"/>
      <c s="30" r="B851"/>
      <c s="30" r="C851"/>
      <c s="30" r="D851"/>
      <c s="16" r="E851"/>
      <c s="16" r="F851"/>
      <c s="16" r="G851"/>
      <c s="16" r="H851"/>
      <c s="16" r="I851"/>
      <c s="16" r="J851"/>
      <c s="16" r="K851"/>
      <c s="80" r="L851"/>
      <c s="79" r="M851"/>
      <c s="79" r="N851"/>
      <c s="79" r="O851"/>
      <c s="79" r="P851"/>
      <c s="17" r="Q851"/>
      <c s="17" r="R851"/>
      <c s="7" r="S851"/>
      <c s="7" r="T851"/>
      <c s="7" r="U851"/>
      <c s="7" r="V851"/>
      <c s="30" r="W851"/>
      <c s="30" r="X851"/>
      <c s="30" r="Y851"/>
      <c s="30" r="Z851"/>
      <c s="30" r="AA851"/>
      <c s="30" r="AB851"/>
      <c s="30" r="AC851"/>
      <c s="30" r="AD851"/>
      <c s="30" r="AE851"/>
      <c s="10" r="AF851"/>
      <c s="10" r="AG851"/>
      <c s="10" r="AH851"/>
      <c s="10" r="AI851"/>
      <c s="10" r="AJ851"/>
      <c s="10" r="AK851"/>
      <c s="30" r="AL851"/>
    </row>
    <row r="852">
      <c s="30" r="A852"/>
      <c s="30" r="B852"/>
      <c s="30" r="C852"/>
      <c s="30" r="D852"/>
      <c s="16" r="E852"/>
      <c s="16" r="F852"/>
      <c s="16" r="G852"/>
      <c s="16" r="H852"/>
      <c s="16" r="I852"/>
      <c s="16" r="J852"/>
      <c s="16" r="K852"/>
      <c s="80" r="L852"/>
      <c s="79" r="M852"/>
      <c s="79" r="N852"/>
      <c s="79" r="O852"/>
      <c s="79" r="P852"/>
      <c s="17" r="Q852"/>
      <c s="17" r="R852"/>
      <c s="7" r="S852"/>
      <c s="7" r="T852"/>
      <c s="7" r="U852"/>
      <c s="7" r="V852"/>
      <c s="30" r="W852"/>
      <c s="30" r="X852"/>
      <c s="30" r="Y852"/>
      <c s="30" r="Z852"/>
      <c s="30" r="AA852"/>
      <c s="30" r="AB852"/>
      <c s="30" r="AC852"/>
      <c s="30" r="AD852"/>
      <c s="30" r="AE852"/>
      <c s="10" r="AF852"/>
      <c s="10" r="AG852"/>
      <c s="10" r="AH852"/>
      <c s="10" r="AI852"/>
      <c s="10" r="AJ852"/>
      <c s="10" r="AK852"/>
      <c s="30" r="AL852"/>
    </row>
    <row r="853">
      <c s="30" r="A853"/>
      <c s="30" r="B853"/>
      <c s="30" r="C853"/>
      <c s="30" r="D853"/>
      <c s="16" r="E853"/>
      <c s="16" r="F853"/>
      <c s="16" r="G853"/>
      <c s="16" r="H853"/>
      <c s="16" r="I853"/>
      <c s="16" r="J853"/>
      <c s="16" r="K853"/>
      <c s="80" r="L853"/>
      <c s="79" r="M853"/>
      <c s="79" r="N853"/>
      <c s="79" r="O853"/>
      <c s="79" r="P853"/>
      <c s="17" r="Q853"/>
      <c s="17" r="R853"/>
      <c s="7" r="S853"/>
      <c s="7" r="T853"/>
      <c s="7" r="U853"/>
      <c s="7" r="V853"/>
      <c s="30" r="W853"/>
      <c s="30" r="X853"/>
      <c s="30" r="Y853"/>
      <c s="30" r="Z853"/>
      <c s="30" r="AA853"/>
      <c s="30" r="AB853"/>
      <c s="30" r="AC853"/>
      <c s="30" r="AD853"/>
      <c s="30" r="AE853"/>
      <c s="10" r="AF853"/>
      <c s="10" r="AG853"/>
      <c s="10" r="AH853"/>
      <c s="10" r="AI853"/>
      <c s="10" r="AJ853"/>
      <c s="10" r="AK853"/>
      <c s="30" r="AL853"/>
    </row>
    <row r="854">
      <c s="30" r="A854"/>
      <c s="30" r="B854"/>
      <c s="30" r="C854"/>
      <c s="30" r="D854"/>
      <c s="16" r="E854"/>
      <c s="16" r="F854"/>
      <c s="16" r="G854"/>
      <c s="16" r="H854"/>
      <c s="16" r="I854"/>
      <c s="16" r="J854"/>
      <c s="16" r="K854"/>
      <c s="80" r="L854"/>
      <c s="79" r="M854"/>
      <c s="79" r="N854"/>
      <c s="79" r="O854"/>
      <c s="79" r="P854"/>
      <c s="17" r="Q854"/>
      <c s="17" r="R854"/>
      <c s="7" r="S854"/>
      <c s="7" r="T854"/>
      <c s="7" r="U854"/>
      <c s="7" r="V854"/>
      <c s="30" r="W854"/>
      <c s="30" r="X854"/>
      <c s="30" r="Y854"/>
      <c s="30" r="Z854"/>
      <c s="30" r="AA854"/>
      <c s="30" r="AB854"/>
      <c s="30" r="AC854"/>
      <c s="30" r="AD854"/>
      <c s="30" r="AE854"/>
      <c s="10" r="AF854"/>
      <c s="10" r="AG854"/>
      <c s="10" r="AH854"/>
      <c s="10" r="AI854"/>
      <c s="10" r="AJ854"/>
      <c s="10" r="AK854"/>
      <c s="30" r="AL854"/>
    </row>
    <row r="855">
      <c s="30" r="A855"/>
      <c s="30" r="B855"/>
      <c s="30" r="C855"/>
      <c s="30" r="D855"/>
      <c s="16" r="E855"/>
      <c s="16" r="F855"/>
      <c s="16" r="G855"/>
      <c s="16" r="H855"/>
      <c s="16" r="I855"/>
      <c s="16" r="J855"/>
      <c s="16" r="K855"/>
      <c s="80" r="L855"/>
      <c s="79" r="M855"/>
      <c s="79" r="N855"/>
      <c s="79" r="O855"/>
      <c s="79" r="P855"/>
      <c s="17" r="Q855"/>
      <c s="17" r="R855"/>
      <c s="7" r="S855"/>
      <c s="7" r="T855"/>
      <c s="7" r="U855"/>
      <c s="7" r="V855"/>
      <c s="30" r="W855"/>
      <c s="30" r="X855"/>
      <c s="30" r="Y855"/>
      <c s="30" r="Z855"/>
      <c s="30" r="AA855"/>
      <c s="30" r="AB855"/>
      <c s="30" r="AC855"/>
      <c s="30" r="AD855"/>
      <c s="30" r="AE855"/>
      <c s="10" r="AF855"/>
      <c s="10" r="AG855"/>
      <c s="10" r="AH855"/>
      <c s="10" r="AI855"/>
      <c s="10" r="AJ855"/>
      <c s="10" r="AK855"/>
      <c s="30" r="AL855"/>
    </row>
    <row r="856">
      <c s="30" r="A856"/>
      <c s="30" r="B856"/>
      <c s="30" r="C856"/>
      <c s="30" r="D856"/>
      <c s="16" r="E856"/>
      <c s="16" r="F856"/>
      <c s="16" r="G856"/>
      <c s="16" r="H856"/>
      <c s="16" r="I856"/>
      <c s="16" r="J856"/>
      <c s="16" r="K856"/>
      <c s="80" r="L856"/>
      <c s="79" r="M856"/>
      <c s="79" r="N856"/>
      <c s="79" r="O856"/>
      <c s="79" r="P856"/>
      <c s="17" r="Q856"/>
      <c s="17" r="R856"/>
      <c s="7" r="S856"/>
      <c s="7" r="T856"/>
      <c s="7" r="U856"/>
      <c s="7" r="V856"/>
      <c s="30" r="W856"/>
      <c s="30" r="X856"/>
      <c s="30" r="Y856"/>
      <c s="30" r="Z856"/>
      <c s="30" r="AA856"/>
      <c s="30" r="AB856"/>
      <c s="30" r="AC856"/>
      <c s="30" r="AD856"/>
      <c s="30" r="AE856"/>
      <c s="10" r="AF856"/>
      <c s="10" r="AG856"/>
      <c s="10" r="AH856"/>
      <c s="10" r="AI856"/>
      <c s="10" r="AJ856"/>
      <c s="10" r="AK856"/>
      <c s="30" r="AL856"/>
    </row>
    <row r="857">
      <c s="30" r="A857"/>
      <c s="30" r="B857"/>
      <c s="30" r="C857"/>
      <c s="30" r="D857"/>
      <c s="16" r="E857"/>
      <c s="16" r="F857"/>
      <c s="16" r="G857"/>
      <c s="16" r="H857"/>
      <c s="16" r="I857"/>
      <c s="16" r="J857"/>
      <c s="16" r="K857"/>
      <c s="80" r="L857"/>
      <c s="79" r="M857"/>
      <c s="79" r="N857"/>
      <c s="79" r="O857"/>
      <c s="79" r="P857"/>
      <c s="17" r="Q857"/>
      <c s="17" r="R857"/>
      <c s="7" r="S857"/>
      <c s="7" r="T857"/>
      <c s="7" r="U857"/>
      <c s="7" r="V857"/>
      <c s="30" r="W857"/>
      <c s="30" r="X857"/>
      <c s="30" r="Y857"/>
      <c s="30" r="Z857"/>
      <c s="30" r="AA857"/>
      <c s="30" r="AB857"/>
      <c s="30" r="AC857"/>
      <c s="30" r="AD857"/>
      <c s="30" r="AE857"/>
      <c s="10" r="AF857"/>
      <c s="10" r="AG857"/>
      <c s="10" r="AH857"/>
      <c s="10" r="AI857"/>
      <c s="10" r="AJ857"/>
      <c s="10" r="AK857"/>
      <c s="30" r="AL857"/>
    </row>
    <row r="858">
      <c s="30" r="A858"/>
      <c s="30" r="B858"/>
      <c s="30" r="C858"/>
      <c s="30" r="D858"/>
      <c s="16" r="E858"/>
      <c s="16" r="F858"/>
      <c s="16" r="G858"/>
      <c s="16" r="H858"/>
      <c s="16" r="I858"/>
      <c s="16" r="J858"/>
      <c s="16" r="K858"/>
      <c s="80" r="L858"/>
      <c s="79" r="M858"/>
      <c s="79" r="N858"/>
      <c s="79" r="O858"/>
      <c s="79" r="P858"/>
      <c s="17" r="Q858"/>
      <c s="17" r="R858"/>
      <c s="7" r="S858"/>
      <c s="7" r="T858"/>
      <c s="7" r="U858"/>
      <c s="7" r="V858"/>
      <c s="30" r="W858"/>
      <c s="30" r="X858"/>
      <c s="30" r="Y858"/>
      <c s="30" r="Z858"/>
      <c s="30" r="AA858"/>
      <c s="30" r="AB858"/>
      <c s="30" r="AC858"/>
      <c s="30" r="AD858"/>
      <c s="30" r="AE858"/>
      <c s="10" r="AF858"/>
      <c s="10" r="AG858"/>
      <c s="10" r="AH858"/>
      <c s="10" r="AI858"/>
      <c s="10" r="AJ858"/>
      <c s="10" r="AK858"/>
      <c s="30" r="AL858"/>
    </row>
    <row r="859">
      <c s="30" r="A859"/>
      <c s="30" r="B859"/>
      <c s="30" r="C859"/>
      <c s="30" r="D859"/>
      <c s="16" r="E859"/>
      <c s="16" r="F859"/>
      <c s="16" r="G859"/>
      <c s="16" r="H859"/>
      <c s="16" r="I859"/>
      <c s="16" r="J859"/>
      <c s="16" r="K859"/>
      <c s="80" r="L859"/>
      <c s="79" r="M859"/>
      <c s="79" r="N859"/>
      <c s="79" r="O859"/>
      <c s="79" r="P859"/>
      <c s="17" r="Q859"/>
      <c s="17" r="R859"/>
      <c s="7" r="S859"/>
      <c s="7" r="T859"/>
      <c s="7" r="U859"/>
      <c s="7" r="V859"/>
      <c s="30" r="W859"/>
      <c s="30" r="X859"/>
      <c s="30" r="Y859"/>
      <c s="30" r="Z859"/>
      <c s="30" r="AA859"/>
      <c s="30" r="AB859"/>
      <c s="30" r="AC859"/>
      <c s="30" r="AD859"/>
      <c s="30" r="AE859"/>
      <c s="10" r="AF859"/>
      <c s="10" r="AG859"/>
      <c s="10" r="AH859"/>
      <c s="10" r="AI859"/>
      <c s="10" r="AJ859"/>
      <c s="10" r="AK859"/>
      <c s="30" r="AL859"/>
    </row>
    <row r="860">
      <c s="30" r="A860"/>
      <c s="30" r="B860"/>
      <c s="30" r="C860"/>
      <c s="30" r="D860"/>
      <c s="16" r="E860"/>
      <c s="16" r="F860"/>
      <c s="16" r="G860"/>
      <c s="16" r="H860"/>
      <c s="16" r="I860"/>
      <c s="16" r="J860"/>
      <c s="16" r="K860"/>
      <c s="80" r="L860"/>
      <c s="79" r="M860"/>
      <c s="79" r="N860"/>
      <c s="79" r="O860"/>
      <c s="79" r="P860"/>
      <c s="17" r="Q860"/>
      <c s="17" r="R860"/>
      <c s="7" r="S860"/>
      <c s="7" r="T860"/>
      <c s="7" r="U860"/>
      <c s="7" r="V860"/>
      <c s="30" r="W860"/>
      <c s="30" r="X860"/>
      <c s="30" r="Y860"/>
      <c s="30" r="Z860"/>
      <c s="30" r="AA860"/>
      <c s="30" r="AB860"/>
      <c s="30" r="AC860"/>
      <c s="30" r="AD860"/>
      <c s="30" r="AE860"/>
      <c s="10" r="AF860"/>
      <c s="10" r="AG860"/>
      <c s="10" r="AH860"/>
      <c s="10" r="AI860"/>
      <c s="10" r="AJ860"/>
      <c s="10" r="AK860"/>
      <c s="30" r="AL860"/>
    </row>
    <row r="861">
      <c s="30" r="A861"/>
      <c s="30" r="B861"/>
      <c s="30" r="C861"/>
      <c s="30" r="D861"/>
      <c s="16" r="E861"/>
      <c s="16" r="F861"/>
      <c s="16" r="G861"/>
      <c s="16" r="H861"/>
      <c s="16" r="I861"/>
      <c s="16" r="J861"/>
      <c s="16" r="K861"/>
      <c s="80" r="L861"/>
      <c s="79" r="M861"/>
      <c s="79" r="N861"/>
      <c s="79" r="O861"/>
      <c s="79" r="P861"/>
      <c s="17" r="Q861"/>
      <c s="17" r="R861"/>
      <c s="7" r="S861"/>
      <c s="7" r="T861"/>
      <c s="7" r="U861"/>
      <c s="7" r="V861"/>
      <c s="30" r="W861"/>
      <c s="30" r="X861"/>
      <c s="30" r="Y861"/>
      <c s="30" r="Z861"/>
      <c s="30" r="AA861"/>
      <c s="30" r="AB861"/>
      <c s="30" r="AC861"/>
      <c s="30" r="AD861"/>
      <c s="30" r="AE861"/>
      <c s="10" r="AF861"/>
      <c s="10" r="AG861"/>
      <c s="10" r="AH861"/>
      <c s="10" r="AI861"/>
      <c s="10" r="AJ861"/>
      <c s="10" r="AK861"/>
      <c s="30" r="AL861"/>
    </row>
    <row r="862">
      <c s="30" r="A862"/>
      <c s="30" r="B862"/>
      <c s="30" r="C862"/>
      <c s="30" r="D862"/>
      <c s="16" r="E862"/>
      <c s="16" r="F862"/>
      <c s="16" r="G862"/>
      <c s="16" r="H862"/>
      <c s="16" r="I862"/>
      <c s="16" r="J862"/>
      <c s="16" r="K862"/>
      <c s="80" r="L862"/>
      <c s="79" r="M862"/>
      <c s="79" r="N862"/>
      <c s="79" r="O862"/>
      <c s="79" r="P862"/>
      <c s="17" r="Q862"/>
      <c s="17" r="R862"/>
      <c s="7" r="S862"/>
      <c s="7" r="T862"/>
      <c s="7" r="U862"/>
      <c s="7" r="V862"/>
      <c s="30" r="W862"/>
      <c s="30" r="X862"/>
      <c s="30" r="Y862"/>
      <c s="30" r="Z862"/>
      <c s="30" r="AA862"/>
      <c s="30" r="AB862"/>
      <c s="30" r="AC862"/>
      <c s="30" r="AD862"/>
      <c s="30" r="AE862"/>
      <c s="10" r="AF862"/>
      <c s="10" r="AG862"/>
      <c s="10" r="AH862"/>
      <c s="10" r="AI862"/>
      <c s="10" r="AJ862"/>
      <c s="10" r="AK862"/>
      <c s="30" r="AL862"/>
    </row>
    <row r="863">
      <c s="30" r="A863"/>
      <c s="30" r="B863"/>
      <c s="30" r="C863"/>
      <c s="30" r="D863"/>
      <c s="16" r="E863"/>
      <c s="16" r="F863"/>
      <c s="16" r="G863"/>
      <c s="16" r="H863"/>
      <c s="16" r="I863"/>
      <c s="16" r="J863"/>
      <c s="16" r="K863"/>
      <c s="80" r="L863"/>
      <c s="79" r="M863"/>
      <c s="79" r="N863"/>
      <c s="79" r="O863"/>
      <c s="79" r="P863"/>
      <c s="17" r="Q863"/>
      <c s="17" r="R863"/>
      <c s="7" r="S863"/>
      <c s="7" r="T863"/>
      <c s="7" r="U863"/>
      <c s="7" r="V863"/>
      <c s="30" r="W863"/>
      <c s="30" r="X863"/>
      <c s="30" r="Y863"/>
      <c s="30" r="Z863"/>
      <c s="30" r="AA863"/>
      <c s="30" r="AB863"/>
      <c s="30" r="AC863"/>
      <c s="30" r="AD863"/>
      <c s="30" r="AE863"/>
      <c s="10" r="AF863"/>
      <c s="10" r="AG863"/>
      <c s="10" r="AH863"/>
      <c s="10" r="AI863"/>
      <c s="10" r="AJ863"/>
      <c s="10" r="AK863"/>
      <c s="30" r="AL863"/>
    </row>
    <row r="864">
      <c s="30" r="A864"/>
      <c s="30" r="B864"/>
      <c s="30" r="C864"/>
      <c s="30" r="D864"/>
      <c s="16" r="E864"/>
      <c s="16" r="F864"/>
      <c s="16" r="G864"/>
      <c s="16" r="H864"/>
      <c s="16" r="I864"/>
      <c s="16" r="J864"/>
      <c s="16" r="K864"/>
      <c s="80" r="L864"/>
      <c s="79" r="M864"/>
      <c s="79" r="N864"/>
      <c s="79" r="O864"/>
      <c s="79" r="P864"/>
      <c s="17" r="Q864"/>
      <c s="17" r="R864"/>
      <c s="7" r="S864"/>
      <c s="7" r="T864"/>
      <c s="7" r="U864"/>
      <c s="7" r="V864"/>
      <c s="30" r="W864"/>
      <c s="30" r="X864"/>
      <c s="30" r="Y864"/>
      <c s="30" r="Z864"/>
      <c s="30" r="AA864"/>
      <c s="30" r="AB864"/>
      <c s="30" r="AC864"/>
      <c s="30" r="AD864"/>
      <c s="30" r="AE864"/>
      <c s="10" r="AF864"/>
      <c s="10" r="AG864"/>
      <c s="10" r="AH864"/>
      <c s="10" r="AI864"/>
      <c s="10" r="AJ864"/>
      <c s="10" r="AK864"/>
      <c s="30" r="AL864"/>
    </row>
    <row r="865">
      <c s="30" r="A865"/>
      <c s="30" r="B865"/>
      <c s="30" r="C865"/>
      <c s="30" r="D865"/>
      <c s="16" r="E865"/>
      <c s="16" r="F865"/>
      <c s="16" r="G865"/>
      <c s="16" r="H865"/>
      <c s="16" r="I865"/>
      <c s="16" r="J865"/>
      <c s="16" r="K865"/>
      <c s="80" r="L865"/>
      <c s="79" r="M865"/>
      <c s="79" r="N865"/>
      <c s="79" r="O865"/>
      <c s="79" r="P865"/>
      <c s="17" r="Q865"/>
      <c s="17" r="R865"/>
      <c s="7" r="S865"/>
      <c s="7" r="T865"/>
      <c s="7" r="U865"/>
      <c s="7" r="V865"/>
      <c s="30" r="W865"/>
      <c s="30" r="X865"/>
      <c s="30" r="Y865"/>
      <c s="30" r="Z865"/>
      <c s="30" r="AA865"/>
      <c s="30" r="AB865"/>
      <c s="30" r="AC865"/>
      <c s="30" r="AD865"/>
      <c s="30" r="AE865"/>
      <c s="10" r="AF865"/>
      <c s="10" r="AG865"/>
      <c s="10" r="AH865"/>
      <c s="10" r="AI865"/>
      <c s="10" r="AJ865"/>
      <c s="10" r="AK865"/>
      <c s="30" r="AL865"/>
    </row>
    <row r="866">
      <c s="30" r="A866"/>
      <c s="30" r="B866"/>
      <c s="30" r="C866"/>
      <c s="30" r="D866"/>
      <c s="16" r="E866"/>
      <c s="16" r="F866"/>
      <c s="16" r="G866"/>
      <c s="16" r="H866"/>
      <c s="16" r="I866"/>
      <c s="16" r="J866"/>
      <c s="16" r="K866"/>
      <c s="80" r="L866"/>
      <c s="79" r="M866"/>
      <c s="79" r="N866"/>
      <c s="79" r="O866"/>
      <c s="79" r="P866"/>
      <c s="17" r="Q866"/>
      <c s="17" r="R866"/>
      <c s="7" r="S866"/>
      <c s="7" r="T866"/>
      <c s="7" r="U866"/>
      <c s="7" r="V866"/>
      <c s="30" r="W866"/>
      <c s="30" r="X866"/>
      <c s="30" r="Y866"/>
      <c s="30" r="Z866"/>
      <c s="30" r="AA866"/>
      <c s="30" r="AB866"/>
      <c s="30" r="AC866"/>
      <c s="30" r="AD866"/>
      <c s="30" r="AE866"/>
      <c s="10" r="AF866"/>
      <c s="10" r="AG866"/>
      <c s="10" r="AH866"/>
      <c s="10" r="AI866"/>
      <c s="10" r="AJ866"/>
      <c s="10" r="AK866"/>
      <c s="30" r="AL866"/>
    </row>
    <row r="867">
      <c s="30" r="A867"/>
      <c s="30" r="B867"/>
      <c s="30" r="C867"/>
      <c s="30" r="D867"/>
      <c s="16" r="E867"/>
      <c s="16" r="F867"/>
      <c s="16" r="G867"/>
      <c s="16" r="H867"/>
      <c s="16" r="I867"/>
      <c s="16" r="J867"/>
      <c s="16" r="K867"/>
      <c s="80" r="L867"/>
      <c s="79" r="M867"/>
      <c s="79" r="N867"/>
      <c s="79" r="O867"/>
      <c s="79" r="P867"/>
      <c s="17" r="Q867"/>
      <c s="17" r="R867"/>
      <c s="7" r="S867"/>
      <c s="7" r="T867"/>
      <c s="7" r="U867"/>
      <c s="7" r="V867"/>
      <c s="30" r="W867"/>
      <c s="30" r="X867"/>
      <c s="30" r="Y867"/>
      <c s="30" r="Z867"/>
      <c s="30" r="AA867"/>
      <c s="30" r="AB867"/>
      <c s="30" r="AC867"/>
      <c s="30" r="AD867"/>
      <c s="30" r="AE867"/>
      <c s="10" r="AF867"/>
      <c s="10" r="AG867"/>
      <c s="10" r="AH867"/>
      <c s="10" r="AI867"/>
      <c s="10" r="AJ867"/>
      <c s="10" r="AK867"/>
      <c s="30" r="AL867"/>
    </row>
    <row r="868">
      <c s="30" r="A868"/>
      <c s="30" r="B868"/>
      <c s="30" r="C868"/>
      <c s="30" r="D868"/>
      <c s="16" r="E868"/>
      <c s="16" r="F868"/>
      <c s="16" r="G868"/>
      <c s="16" r="H868"/>
      <c s="16" r="I868"/>
      <c s="16" r="J868"/>
      <c s="16" r="K868"/>
      <c s="80" r="L868"/>
      <c s="79" r="M868"/>
      <c s="79" r="N868"/>
      <c s="79" r="O868"/>
      <c s="79" r="P868"/>
      <c s="17" r="Q868"/>
      <c s="17" r="R868"/>
      <c s="7" r="S868"/>
      <c s="7" r="T868"/>
      <c s="7" r="U868"/>
      <c s="7" r="V868"/>
      <c s="30" r="W868"/>
      <c s="30" r="X868"/>
      <c s="30" r="Y868"/>
      <c s="30" r="Z868"/>
      <c s="30" r="AA868"/>
      <c s="30" r="AB868"/>
      <c s="30" r="AC868"/>
      <c s="30" r="AD868"/>
      <c s="30" r="AE868"/>
      <c s="10" r="AF868"/>
      <c s="10" r="AG868"/>
      <c s="10" r="AH868"/>
      <c s="10" r="AI868"/>
      <c s="10" r="AJ868"/>
      <c s="10" r="AK868"/>
      <c s="30" r="AL868"/>
    </row>
    <row r="869">
      <c s="30" r="A869"/>
      <c s="30" r="B869"/>
      <c s="30" r="C869"/>
      <c s="30" r="D869"/>
      <c s="16" r="E869"/>
      <c s="16" r="F869"/>
      <c s="16" r="G869"/>
      <c s="16" r="H869"/>
      <c s="16" r="I869"/>
      <c s="16" r="J869"/>
      <c s="16" r="K869"/>
      <c s="80" r="L869"/>
      <c s="79" r="M869"/>
      <c s="79" r="N869"/>
      <c s="79" r="O869"/>
      <c s="79" r="P869"/>
      <c s="17" r="Q869"/>
      <c s="17" r="R869"/>
      <c s="7" r="S869"/>
      <c s="7" r="T869"/>
      <c s="7" r="U869"/>
      <c s="7" r="V869"/>
      <c s="30" r="W869"/>
      <c s="30" r="X869"/>
      <c s="30" r="Y869"/>
      <c s="30" r="Z869"/>
      <c s="30" r="AA869"/>
      <c s="30" r="AB869"/>
      <c s="30" r="AC869"/>
      <c s="30" r="AD869"/>
      <c s="30" r="AE869"/>
      <c s="10" r="AF869"/>
      <c s="10" r="AG869"/>
      <c s="10" r="AH869"/>
      <c s="10" r="AI869"/>
      <c s="10" r="AJ869"/>
      <c s="10" r="AK869"/>
      <c s="30" r="AL869"/>
    </row>
    <row r="870">
      <c s="30" r="A870"/>
      <c s="30" r="B870"/>
      <c s="30" r="C870"/>
      <c s="30" r="D870"/>
      <c s="16" r="E870"/>
      <c s="16" r="F870"/>
      <c s="16" r="G870"/>
      <c s="16" r="H870"/>
      <c s="16" r="I870"/>
      <c s="16" r="J870"/>
      <c s="16" r="K870"/>
      <c s="80" r="L870"/>
      <c s="79" r="M870"/>
      <c s="79" r="N870"/>
      <c s="79" r="O870"/>
      <c s="79" r="P870"/>
      <c s="17" r="Q870"/>
      <c s="17" r="R870"/>
      <c s="7" r="S870"/>
      <c s="7" r="T870"/>
      <c s="7" r="U870"/>
      <c s="7" r="V870"/>
      <c s="30" r="W870"/>
      <c s="30" r="X870"/>
      <c s="30" r="Y870"/>
      <c s="30" r="Z870"/>
      <c s="30" r="AA870"/>
      <c s="30" r="AB870"/>
      <c s="30" r="AC870"/>
      <c s="30" r="AD870"/>
      <c s="30" r="AE870"/>
      <c s="10" r="AF870"/>
      <c s="10" r="AG870"/>
      <c s="10" r="AH870"/>
      <c s="10" r="AI870"/>
      <c s="10" r="AJ870"/>
      <c s="10" r="AK870"/>
      <c s="30" r="AL870"/>
    </row>
    <row r="871">
      <c s="30" r="A871"/>
      <c s="30" r="B871"/>
      <c s="30" r="C871"/>
      <c s="30" r="D871"/>
      <c s="16" r="E871"/>
      <c s="16" r="F871"/>
      <c s="16" r="G871"/>
      <c s="16" r="H871"/>
      <c s="16" r="I871"/>
      <c s="16" r="J871"/>
      <c s="16" r="K871"/>
      <c s="80" r="L871"/>
      <c s="79" r="M871"/>
      <c s="79" r="N871"/>
      <c s="79" r="O871"/>
      <c s="79" r="P871"/>
      <c s="17" r="Q871"/>
      <c s="17" r="R871"/>
      <c s="7" r="S871"/>
      <c s="7" r="T871"/>
      <c s="7" r="U871"/>
      <c s="7" r="V871"/>
      <c s="30" r="W871"/>
      <c s="30" r="X871"/>
      <c s="30" r="Y871"/>
      <c s="30" r="Z871"/>
      <c s="30" r="AA871"/>
      <c s="30" r="AB871"/>
      <c s="30" r="AC871"/>
      <c s="30" r="AD871"/>
      <c s="30" r="AE871"/>
      <c s="10" r="AF871"/>
      <c s="10" r="AG871"/>
      <c s="10" r="AH871"/>
      <c s="10" r="AI871"/>
      <c s="10" r="AJ871"/>
      <c s="10" r="AK871"/>
      <c s="30" r="AL871"/>
    </row>
    <row r="872">
      <c s="30" r="A872"/>
      <c s="30" r="B872"/>
      <c s="30" r="C872"/>
      <c s="30" r="D872"/>
      <c s="16" r="E872"/>
      <c s="16" r="F872"/>
      <c s="16" r="G872"/>
      <c s="16" r="H872"/>
      <c s="16" r="I872"/>
      <c s="16" r="J872"/>
      <c s="16" r="K872"/>
      <c s="80" r="L872"/>
      <c s="79" r="M872"/>
      <c s="79" r="N872"/>
      <c s="79" r="O872"/>
      <c s="79" r="P872"/>
      <c s="17" r="Q872"/>
      <c s="17" r="R872"/>
      <c s="7" r="S872"/>
      <c s="7" r="T872"/>
      <c s="7" r="U872"/>
      <c s="7" r="V872"/>
      <c s="30" r="W872"/>
      <c s="30" r="X872"/>
      <c s="30" r="Y872"/>
      <c s="30" r="Z872"/>
      <c s="30" r="AA872"/>
      <c s="30" r="AB872"/>
      <c s="30" r="AC872"/>
      <c s="30" r="AD872"/>
      <c s="30" r="AE872"/>
      <c s="10" r="AF872"/>
      <c s="10" r="AG872"/>
      <c s="10" r="AH872"/>
      <c s="10" r="AI872"/>
      <c s="10" r="AJ872"/>
      <c s="10" r="AK872"/>
      <c s="30" r="AL872"/>
    </row>
    <row r="873">
      <c s="30" r="A873"/>
      <c s="30" r="B873"/>
      <c s="30" r="C873"/>
      <c s="30" r="D873"/>
      <c s="16" r="E873"/>
      <c s="16" r="F873"/>
      <c s="16" r="G873"/>
      <c s="16" r="H873"/>
      <c s="16" r="I873"/>
      <c s="16" r="J873"/>
      <c s="16" r="K873"/>
      <c s="80" r="L873"/>
      <c s="79" r="M873"/>
      <c s="79" r="N873"/>
      <c s="79" r="O873"/>
      <c s="79" r="P873"/>
      <c s="17" r="Q873"/>
      <c s="17" r="R873"/>
      <c s="7" r="S873"/>
      <c s="7" r="T873"/>
      <c s="7" r="U873"/>
      <c s="7" r="V873"/>
      <c s="30" r="W873"/>
      <c s="30" r="X873"/>
      <c s="30" r="Y873"/>
      <c s="30" r="Z873"/>
      <c s="30" r="AA873"/>
      <c s="30" r="AB873"/>
      <c s="30" r="AC873"/>
      <c s="30" r="AD873"/>
      <c s="30" r="AE873"/>
      <c s="10" r="AF873"/>
      <c s="10" r="AG873"/>
      <c s="10" r="AH873"/>
      <c s="10" r="AI873"/>
      <c s="10" r="AJ873"/>
      <c s="10" r="AK873"/>
      <c s="30" r="AL873"/>
    </row>
    <row r="874">
      <c s="30" r="A874"/>
      <c s="30" r="B874"/>
      <c s="30" r="C874"/>
      <c s="30" r="D874"/>
      <c s="16" r="E874"/>
      <c s="16" r="F874"/>
      <c s="16" r="G874"/>
      <c s="16" r="H874"/>
      <c s="16" r="I874"/>
      <c s="16" r="J874"/>
      <c s="16" r="K874"/>
      <c s="80" r="L874"/>
      <c s="79" r="M874"/>
      <c s="79" r="N874"/>
      <c s="79" r="O874"/>
      <c s="79" r="P874"/>
      <c s="17" r="Q874"/>
      <c s="17" r="R874"/>
      <c s="7" r="S874"/>
      <c s="7" r="T874"/>
      <c s="7" r="U874"/>
      <c s="7" r="V874"/>
      <c s="30" r="W874"/>
      <c s="30" r="X874"/>
      <c s="30" r="Y874"/>
      <c s="30" r="Z874"/>
      <c s="30" r="AA874"/>
      <c s="30" r="AB874"/>
      <c s="30" r="AC874"/>
      <c s="30" r="AD874"/>
      <c s="30" r="AE874"/>
      <c s="10" r="AF874"/>
      <c s="10" r="AG874"/>
      <c s="10" r="AH874"/>
      <c s="10" r="AI874"/>
      <c s="10" r="AJ874"/>
      <c s="10" r="AK874"/>
      <c s="30" r="AL874"/>
    </row>
    <row r="875">
      <c s="30" r="A875"/>
      <c s="30" r="B875"/>
      <c s="30" r="C875"/>
      <c s="30" r="D875"/>
      <c s="16" r="E875"/>
      <c s="16" r="F875"/>
      <c s="16" r="G875"/>
      <c s="16" r="H875"/>
      <c s="16" r="I875"/>
      <c s="16" r="J875"/>
      <c s="16" r="K875"/>
      <c s="80" r="L875"/>
      <c s="79" r="M875"/>
      <c s="79" r="N875"/>
      <c s="79" r="O875"/>
      <c s="79" r="P875"/>
      <c s="17" r="Q875"/>
      <c s="17" r="R875"/>
      <c s="7" r="S875"/>
      <c s="7" r="T875"/>
      <c s="7" r="U875"/>
      <c s="7" r="V875"/>
      <c s="30" r="W875"/>
      <c s="30" r="X875"/>
      <c s="30" r="Y875"/>
      <c s="30" r="Z875"/>
      <c s="30" r="AA875"/>
      <c s="30" r="AB875"/>
      <c s="30" r="AC875"/>
      <c s="30" r="AD875"/>
      <c s="30" r="AE875"/>
      <c s="10" r="AF875"/>
      <c s="10" r="AG875"/>
      <c s="10" r="AH875"/>
      <c s="10" r="AI875"/>
      <c s="10" r="AJ875"/>
      <c s="10" r="AK875"/>
      <c s="30" r="AL875"/>
    </row>
    <row r="876">
      <c s="30" r="A876"/>
      <c s="30" r="B876"/>
      <c s="30" r="C876"/>
      <c s="30" r="D876"/>
      <c s="16" r="E876"/>
      <c s="16" r="F876"/>
      <c s="16" r="G876"/>
      <c s="16" r="H876"/>
      <c s="16" r="I876"/>
      <c s="16" r="J876"/>
      <c s="16" r="K876"/>
      <c s="80" r="L876"/>
      <c s="79" r="M876"/>
      <c s="79" r="N876"/>
      <c s="79" r="O876"/>
      <c s="79" r="P876"/>
      <c s="17" r="Q876"/>
      <c s="17" r="R876"/>
      <c s="7" r="S876"/>
      <c s="7" r="T876"/>
      <c s="7" r="U876"/>
      <c s="7" r="V876"/>
      <c s="30" r="W876"/>
      <c s="30" r="X876"/>
      <c s="30" r="Y876"/>
      <c s="30" r="Z876"/>
      <c s="30" r="AA876"/>
      <c s="30" r="AB876"/>
      <c s="30" r="AC876"/>
      <c s="30" r="AD876"/>
      <c s="30" r="AE876"/>
      <c s="10" r="AF876"/>
      <c s="10" r="AG876"/>
      <c s="10" r="AH876"/>
      <c s="10" r="AI876"/>
      <c s="10" r="AJ876"/>
      <c s="10" r="AK876"/>
      <c s="30" r="AL876"/>
    </row>
    <row r="877">
      <c s="30" r="A877"/>
      <c s="30" r="B877"/>
      <c s="30" r="C877"/>
      <c s="30" r="D877"/>
      <c s="16" r="E877"/>
      <c s="16" r="F877"/>
      <c s="16" r="G877"/>
      <c s="16" r="H877"/>
      <c s="16" r="I877"/>
      <c s="16" r="J877"/>
      <c s="16" r="K877"/>
      <c s="80" r="L877"/>
      <c s="79" r="M877"/>
      <c s="79" r="N877"/>
      <c s="79" r="O877"/>
      <c s="79" r="P877"/>
      <c s="17" r="Q877"/>
      <c s="17" r="R877"/>
      <c s="7" r="S877"/>
      <c s="7" r="T877"/>
      <c s="7" r="U877"/>
      <c s="7" r="V877"/>
      <c s="30" r="W877"/>
      <c s="30" r="X877"/>
      <c s="30" r="Y877"/>
      <c s="30" r="Z877"/>
      <c s="30" r="AA877"/>
      <c s="30" r="AB877"/>
      <c s="30" r="AC877"/>
      <c s="30" r="AD877"/>
      <c s="30" r="AE877"/>
      <c s="10" r="AF877"/>
      <c s="10" r="AG877"/>
      <c s="10" r="AH877"/>
      <c s="10" r="AI877"/>
      <c s="10" r="AJ877"/>
      <c s="10" r="AK877"/>
      <c s="30" r="AL877"/>
    </row>
    <row r="878">
      <c s="30" r="A878"/>
      <c s="30" r="B878"/>
      <c s="30" r="C878"/>
      <c s="30" r="D878"/>
      <c s="16" r="E878"/>
      <c s="16" r="F878"/>
      <c s="16" r="G878"/>
      <c s="16" r="H878"/>
      <c s="16" r="I878"/>
      <c s="16" r="J878"/>
      <c s="16" r="K878"/>
      <c s="80" r="L878"/>
      <c s="79" r="M878"/>
      <c s="79" r="N878"/>
      <c s="79" r="O878"/>
      <c s="79" r="P878"/>
      <c s="17" r="Q878"/>
      <c s="17" r="R878"/>
      <c s="7" r="S878"/>
      <c s="7" r="T878"/>
      <c s="7" r="U878"/>
      <c s="7" r="V878"/>
      <c s="30" r="W878"/>
      <c s="30" r="X878"/>
      <c s="30" r="Y878"/>
      <c s="30" r="Z878"/>
      <c s="30" r="AA878"/>
      <c s="30" r="AB878"/>
      <c s="30" r="AC878"/>
      <c s="30" r="AD878"/>
      <c s="30" r="AE878"/>
      <c s="10" r="AF878"/>
      <c s="10" r="AG878"/>
      <c s="10" r="AH878"/>
      <c s="10" r="AI878"/>
      <c s="10" r="AJ878"/>
      <c s="10" r="AK878"/>
      <c s="30" r="AL878"/>
    </row>
    <row r="879">
      <c s="30" r="A879"/>
      <c s="30" r="B879"/>
      <c s="30" r="C879"/>
      <c s="30" r="D879"/>
      <c s="16" r="E879"/>
      <c s="16" r="F879"/>
      <c s="16" r="G879"/>
      <c s="16" r="H879"/>
      <c s="16" r="I879"/>
      <c s="16" r="J879"/>
      <c s="16" r="K879"/>
      <c s="80" r="L879"/>
      <c s="79" r="M879"/>
      <c s="79" r="N879"/>
      <c s="79" r="O879"/>
      <c s="79" r="P879"/>
      <c s="17" r="Q879"/>
      <c s="17" r="R879"/>
      <c s="7" r="S879"/>
      <c s="7" r="T879"/>
      <c s="7" r="U879"/>
      <c s="7" r="V879"/>
      <c s="30" r="W879"/>
      <c s="30" r="X879"/>
      <c s="30" r="Y879"/>
      <c s="30" r="Z879"/>
      <c s="30" r="AA879"/>
      <c s="30" r="AB879"/>
      <c s="30" r="AC879"/>
      <c s="30" r="AD879"/>
      <c s="30" r="AE879"/>
      <c s="10" r="AF879"/>
      <c s="10" r="AG879"/>
      <c s="10" r="AH879"/>
      <c s="10" r="AI879"/>
      <c s="10" r="AJ879"/>
      <c s="10" r="AK879"/>
      <c s="30" r="AL879"/>
    </row>
    <row r="880">
      <c s="30" r="A880"/>
      <c s="30" r="B880"/>
      <c s="30" r="C880"/>
      <c s="30" r="D880"/>
      <c s="16" r="E880"/>
      <c s="16" r="F880"/>
      <c s="16" r="G880"/>
      <c s="16" r="H880"/>
      <c s="16" r="I880"/>
      <c s="16" r="J880"/>
      <c s="16" r="K880"/>
      <c s="80" r="L880"/>
      <c s="79" r="M880"/>
      <c s="79" r="N880"/>
      <c s="79" r="O880"/>
      <c s="79" r="P880"/>
      <c s="17" r="Q880"/>
      <c s="17" r="R880"/>
      <c s="7" r="S880"/>
      <c s="7" r="T880"/>
      <c s="7" r="U880"/>
      <c s="7" r="V880"/>
      <c s="30" r="W880"/>
      <c s="30" r="X880"/>
      <c s="30" r="Y880"/>
      <c s="30" r="Z880"/>
      <c s="30" r="AA880"/>
      <c s="30" r="AB880"/>
      <c s="30" r="AC880"/>
      <c s="30" r="AD880"/>
      <c s="30" r="AE880"/>
      <c s="10" r="AF880"/>
      <c s="10" r="AG880"/>
      <c s="10" r="AH880"/>
      <c s="10" r="AI880"/>
      <c s="10" r="AJ880"/>
      <c s="10" r="AK880"/>
      <c s="30" r="AL880"/>
    </row>
    <row r="881">
      <c s="30" r="A881"/>
      <c s="30" r="B881"/>
      <c s="30" r="C881"/>
      <c s="30" r="D881"/>
      <c s="16" r="E881"/>
      <c s="16" r="F881"/>
      <c s="16" r="G881"/>
      <c s="16" r="H881"/>
      <c s="16" r="I881"/>
      <c s="16" r="J881"/>
      <c s="16" r="K881"/>
      <c s="80" r="L881"/>
      <c s="79" r="M881"/>
      <c s="79" r="N881"/>
      <c s="79" r="O881"/>
      <c s="79" r="P881"/>
      <c s="17" r="Q881"/>
      <c s="17" r="R881"/>
      <c s="7" r="S881"/>
      <c s="7" r="T881"/>
      <c s="7" r="U881"/>
      <c s="7" r="V881"/>
      <c s="30" r="W881"/>
      <c s="30" r="X881"/>
      <c s="30" r="Y881"/>
      <c s="30" r="Z881"/>
      <c s="30" r="AA881"/>
      <c s="30" r="AB881"/>
      <c s="30" r="AC881"/>
      <c s="30" r="AD881"/>
      <c s="30" r="AE881"/>
      <c s="10" r="AF881"/>
      <c s="10" r="AG881"/>
      <c s="10" r="AH881"/>
      <c s="10" r="AI881"/>
      <c s="10" r="AJ881"/>
      <c s="10" r="AK881"/>
      <c s="30" r="AL881"/>
    </row>
    <row r="882">
      <c s="30" r="A882"/>
      <c s="30" r="B882"/>
      <c s="30" r="C882"/>
      <c s="30" r="D882"/>
      <c s="16" r="E882"/>
      <c s="16" r="F882"/>
      <c s="16" r="G882"/>
      <c s="16" r="H882"/>
      <c s="16" r="I882"/>
      <c s="16" r="J882"/>
      <c s="16" r="K882"/>
      <c s="80" r="L882"/>
      <c s="79" r="M882"/>
      <c s="79" r="N882"/>
      <c s="79" r="O882"/>
      <c s="79" r="P882"/>
      <c s="17" r="Q882"/>
      <c s="17" r="R882"/>
      <c s="7" r="S882"/>
      <c s="7" r="T882"/>
      <c s="7" r="U882"/>
      <c s="7" r="V882"/>
      <c s="30" r="W882"/>
      <c s="30" r="X882"/>
      <c s="30" r="Y882"/>
      <c s="30" r="Z882"/>
      <c s="30" r="AA882"/>
      <c s="30" r="AB882"/>
      <c s="30" r="AC882"/>
      <c s="30" r="AD882"/>
      <c s="30" r="AE882"/>
      <c s="10" r="AF882"/>
      <c s="10" r="AG882"/>
      <c s="10" r="AH882"/>
      <c s="10" r="AI882"/>
      <c s="10" r="AJ882"/>
      <c s="10" r="AK882"/>
      <c s="30" r="AL882"/>
    </row>
    <row r="883">
      <c s="30" r="A883"/>
      <c s="30" r="B883"/>
      <c s="30" r="C883"/>
      <c s="30" r="D883"/>
      <c s="16" r="E883"/>
      <c s="16" r="F883"/>
      <c s="16" r="G883"/>
      <c s="16" r="H883"/>
      <c s="16" r="I883"/>
      <c s="16" r="J883"/>
      <c s="16" r="K883"/>
      <c s="80" r="L883"/>
      <c s="79" r="M883"/>
      <c s="79" r="N883"/>
      <c s="79" r="O883"/>
      <c s="79" r="P883"/>
      <c s="17" r="Q883"/>
      <c s="17" r="R883"/>
      <c s="7" r="S883"/>
      <c s="7" r="T883"/>
      <c s="7" r="U883"/>
      <c s="7" r="V883"/>
      <c s="30" r="W883"/>
      <c s="30" r="X883"/>
      <c s="30" r="Y883"/>
      <c s="30" r="Z883"/>
      <c s="30" r="AA883"/>
      <c s="30" r="AB883"/>
      <c s="30" r="AC883"/>
      <c s="30" r="AD883"/>
      <c s="30" r="AE883"/>
      <c s="10" r="AF883"/>
      <c s="10" r="AG883"/>
      <c s="10" r="AH883"/>
      <c s="10" r="AI883"/>
      <c s="10" r="AJ883"/>
      <c s="10" r="AK883"/>
      <c s="30" r="AL883"/>
    </row>
    <row r="884">
      <c s="30" r="A884"/>
      <c s="30" r="B884"/>
      <c s="30" r="C884"/>
      <c s="30" r="D884"/>
      <c s="16" r="E884"/>
      <c s="16" r="F884"/>
      <c s="16" r="G884"/>
      <c s="16" r="H884"/>
      <c s="16" r="I884"/>
      <c s="16" r="J884"/>
      <c s="16" r="K884"/>
      <c s="80" r="L884"/>
      <c s="79" r="M884"/>
      <c s="79" r="N884"/>
      <c s="79" r="O884"/>
      <c s="79" r="P884"/>
      <c s="17" r="Q884"/>
      <c s="17" r="R884"/>
      <c s="7" r="S884"/>
      <c s="7" r="T884"/>
      <c s="7" r="U884"/>
      <c s="7" r="V884"/>
      <c s="30" r="W884"/>
      <c s="30" r="X884"/>
      <c s="30" r="Y884"/>
      <c s="30" r="Z884"/>
      <c s="30" r="AA884"/>
      <c s="30" r="AB884"/>
      <c s="30" r="AC884"/>
      <c s="30" r="AD884"/>
      <c s="30" r="AE884"/>
      <c s="10" r="AF884"/>
      <c s="10" r="AG884"/>
      <c s="10" r="AH884"/>
      <c s="10" r="AI884"/>
      <c s="10" r="AJ884"/>
      <c s="10" r="AK884"/>
      <c s="30" r="AL884"/>
    </row>
    <row r="885">
      <c s="30" r="A885"/>
      <c s="30" r="B885"/>
      <c s="30" r="C885"/>
      <c s="30" r="D885"/>
      <c s="16" r="E885"/>
      <c s="16" r="F885"/>
      <c s="16" r="G885"/>
      <c s="16" r="H885"/>
      <c s="16" r="I885"/>
      <c s="16" r="J885"/>
      <c s="16" r="K885"/>
      <c s="80" r="L885"/>
      <c s="79" r="M885"/>
      <c s="79" r="N885"/>
      <c s="79" r="O885"/>
      <c s="79" r="P885"/>
      <c s="17" r="Q885"/>
      <c s="17" r="R885"/>
      <c s="7" r="S885"/>
      <c s="7" r="T885"/>
      <c s="7" r="U885"/>
      <c s="7" r="V885"/>
      <c s="30" r="W885"/>
      <c s="30" r="X885"/>
      <c s="30" r="Y885"/>
      <c s="30" r="Z885"/>
      <c s="30" r="AA885"/>
      <c s="30" r="AB885"/>
      <c s="30" r="AC885"/>
      <c s="30" r="AD885"/>
      <c s="30" r="AE885"/>
      <c s="10" r="AF885"/>
      <c s="10" r="AG885"/>
      <c s="10" r="AH885"/>
      <c s="10" r="AI885"/>
      <c s="10" r="AJ885"/>
      <c s="10" r="AK885"/>
      <c s="30" r="AL885"/>
    </row>
    <row r="886">
      <c s="30" r="A886"/>
      <c s="30" r="B886"/>
      <c s="30" r="C886"/>
      <c s="30" r="D886"/>
      <c s="16" r="E886"/>
      <c s="16" r="F886"/>
      <c s="16" r="G886"/>
      <c s="16" r="H886"/>
      <c s="16" r="I886"/>
      <c s="16" r="J886"/>
      <c s="16" r="K886"/>
      <c s="80" r="L886"/>
      <c s="79" r="M886"/>
      <c s="79" r="N886"/>
      <c s="79" r="O886"/>
      <c s="79" r="P886"/>
      <c s="17" r="Q886"/>
      <c s="17" r="R886"/>
      <c s="7" r="S886"/>
      <c s="7" r="T886"/>
      <c s="7" r="U886"/>
      <c s="7" r="V886"/>
      <c s="30" r="W886"/>
      <c s="30" r="X886"/>
      <c s="30" r="Y886"/>
      <c s="30" r="Z886"/>
      <c s="30" r="AA886"/>
      <c s="30" r="AB886"/>
      <c s="30" r="AC886"/>
      <c s="30" r="AD886"/>
      <c s="30" r="AE886"/>
      <c s="10" r="AF886"/>
      <c s="10" r="AG886"/>
      <c s="10" r="AH886"/>
      <c s="10" r="AI886"/>
      <c s="10" r="AJ886"/>
      <c s="10" r="AK886"/>
      <c s="30" r="AL886"/>
    </row>
    <row r="887">
      <c s="30" r="A887"/>
      <c s="30" r="B887"/>
      <c s="30" r="C887"/>
      <c s="30" r="D887"/>
      <c s="16" r="E887"/>
      <c s="16" r="F887"/>
      <c s="16" r="G887"/>
      <c s="16" r="H887"/>
      <c s="16" r="I887"/>
      <c s="16" r="J887"/>
      <c s="16" r="K887"/>
      <c s="80" r="L887"/>
      <c s="79" r="M887"/>
      <c s="79" r="N887"/>
      <c s="79" r="O887"/>
      <c s="79" r="P887"/>
      <c s="17" r="Q887"/>
      <c s="17" r="R887"/>
      <c s="7" r="S887"/>
      <c s="7" r="T887"/>
      <c s="7" r="U887"/>
      <c s="7" r="V887"/>
      <c s="30" r="W887"/>
      <c s="30" r="X887"/>
      <c s="30" r="Y887"/>
      <c s="30" r="Z887"/>
      <c s="30" r="AA887"/>
      <c s="30" r="AB887"/>
      <c s="30" r="AC887"/>
      <c s="30" r="AD887"/>
      <c s="30" r="AE887"/>
      <c s="10" r="AF887"/>
      <c s="10" r="AG887"/>
      <c s="10" r="AH887"/>
      <c s="10" r="AI887"/>
      <c s="10" r="AJ887"/>
      <c s="10" r="AK887"/>
      <c s="30" r="AL887"/>
    </row>
    <row r="888">
      <c s="30" r="A888"/>
      <c s="30" r="B888"/>
      <c s="30" r="C888"/>
      <c s="30" r="D888"/>
      <c s="16" r="E888"/>
      <c s="16" r="F888"/>
      <c s="16" r="G888"/>
      <c s="16" r="H888"/>
      <c s="16" r="I888"/>
      <c s="16" r="J888"/>
      <c s="16" r="K888"/>
      <c s="80" r="L888"/>
      <c s="79" r="M888"/>
      <c s="79" r="N888"/>
      <c s="79" r="O888"/>
      <c s="79" r="P888"/>
      <c s="17" r="Q888"/>
      <c s="17" r="R888"/>
      <c s="7" r="S888"/>
      <c s="7" r="T888"/>
      <c s="7" r="U888"/>
      <c s="7" r="V888"/>
      <c s="30" r="W888"/>
      <c s="30" r="X888"/>
      <c s="30" r="Y888"/>
      <c s="30" r="Z888"/>
      <c s="30" r="AA888"/>
      <c s="30" r="AB888"/>
      <c s="30" r="AC888"/>
      <c s="30" r="AD888"/>
      <c s="30" r="AE888"/>
      <c s="10" r="AF888"/>
      <c s="10" r="AG888"/>
      <c s="10" r="AH888"/>
      <c s="10" r="AI888"/>
      <c s="10" r="AJ888"/>
      <c s="10" r="AK888"/>
      <c s="30" r="AL888"/>
    </row>
    <row r="889">
      <c s="30" r="A889"/>
      <c s="30" r="B889"/>
      <c s="30" r="C889"/>
      <c s="30" r="D889"/>
      <c s="16" r="E889"/>
      <c s="16" r="F889"/>
      <c s="16" r="G889"/>
      <c s="16" r="H889"/>
      <c s="16" r="I889"/>
      <c s="16" r="J889"/>
      <c s="16" r="K889"/>
      <c s="80" r="L889"/>
      <c s="79" r="M889"/>
      <c s="79" r="N889"/>
      <c s="79" r="O889"/>
      <c s="79" r="P889"/>
      <c s="17" r="Q889"/>
      <c s="17" r="R889"/>
      <c s="7" r="S889"/>
      <c s="7" r="T889"/>
      <c s="7" r="U889"/>
      <c s="7" r="V889"/>
      <c s="30" r="W889"/>
      <c s="30" r="X889"/>
      <c s="30" r="Y889"/>
      <c s="30" r="Z889"/>
      <c s="30" r="AA889"/>
      <c s="30" r="AB889"/>
      <c s="30" r="AC889"/>
      <c s="30" r="AD889"/>
      <c s="30" r="AE889"/>
      <c s="10" r="AF889"/>
      <c s="10" r="AG889"/>
      <c s="10" r="AH889"/>
      <c s="10" r="AI889"/>
      <c s="10" r="AJ889"/>
      <c s="10" r="AK889"/>
      <c s="30" r="AL889"/>
    </row>
    <row r="890">
      <c s="30" r="A890"/>
      <c s="30" r="B890"/>
      <c s="30" r="C890"/>
      <c s="30" r="D890"/>
      <c s="16" r="E890"/>
      <c s="16" r="F890"/>
      <c s="16" r="G890"/>
      <c s="16" r="H890"/>
      <c s="16" r="I890"/>
      <c s="16" r="J890"/>
      <c s="16" r="K890"/>
      <c s="80" r="L890"/>
      <c s="79" r="M890"/>
      <c s="79" r="N890"/>
      <c s="79" r="O890"/>
      <c s="79" r="P890"/>
      <c s="17" r="Q890"/>
      <c s="17" r="R890"/>
      <c s="7" r="S890"/>
      <c s="7" r="T890"/>
      <c s="7" r="U890"/>
      <c s="7" r="V890"/>
      <c s="30" r="W890"/>
      <c s="30" r="X890"/>
      <c s="30" r="Y890"/>
      <c s="30" r="Z890"/>
      <c s="30" r="AA890"/>
      <c s="30" r="AB890"/>
      <c s="30" r="AC890"/>
      <c s="30" r="AD890"/>
      <c s="30" r="AE890"/>
      <c s="10" r="AF890"/>
      <c s="10" r="AG890"/>
      <c s="10" r="AH890"/>
      <c s="10" r="AI890"/>
      <c s="10" r="AJ890"/>
      <c s="10" r="AK890"/>
      <c s="30" r="AL890"/>
    </row>
    <row r="891">
      <c s="30" r="A891"/>
      <c s="30" r="B891"/>
      <c s="30" r="C891"/>
      <c s="30" r="D891"/>
      <c s="16" r="E891"/>
      <c s="16" r="F891"/>
      <c s="16" r="G891"/>
      <c s="16" r="H891"/>
      <c s="16" r="I891"/>
      <c s="16" r="J891"/>
      <c s="16" r="K891"/>
      <c s="80" r="L891"/>
      <c s="79" r="M891"/>
      <c s="79" r="N891"/>
      <c s="79" r="O891"/>
      <c s="79" r="P891"/>
      <c s="17" r="Q891"/>
      <c s="17" r="R891"/>
      <c s="7" r="S891"/>
      <c s="7" r="T891"/>
      <c s="7" r="U891"/>
      <c s="7" r="V891"/>
      <c s="30" r="W891"/>
      <c s="30" r="X891"/>
      <c s="30" r="Y891"/>
      <c s="30" r="Z891"/>
      <c s="30" r="AA891"/>
      <c s="30" r="AB891"/>
      <c s="30" r="AC891"/>
      <c s="30" r="AD891"/>
      <c s="30" r="AE891"/>
      <c s="10" r="AF891"/>
      <c s="10" r="AG891"/>
      <c s="10" r="AH891"/>
      <c s="10" r="AI891"/>
      <c s="10" r="AJ891"/>
      <c s="10" r="AK891"/>
      <c s="30" r="AL891"/>
    </row>
    <row r="892">
      <c s="30" r="A892"/>
      <c s="30" r="B892"/>
      <c s="30" r="C892"/>
      <c s="30" r="D892"/>
      <c s="16" r="E892"/>
      <c s="16" r="F892"/>
      <c s="16" r="G892"/>
      <c s="16" r="H892"/>
      <c s="16" r="I892"/>
      <c s="16" r="J892"/>
      <c s="16" r="K892"/>
      <c s="80" r="L892"/>
      <c s="79" r="M892"/>
      <c s="79" r="N892"/>
      <c s="79" r="O892"/>
      <c s="79" r="P892"/>
      <c s="17" r="Q892"/>
      <c s="17" r="R892"/>
      <c s="7" r="S892"/>
      <c s="7" r="T892"/>
      <c s="7" r="U892"/>
      <c s="7" r="V892"/>
      <c s="30" r="W892"/>
      <c s="30" r="X892"/>
      <c s="30" r="Y892"/>
      <c s="30" r="Z892"/>
      <c s="30" r="AA892"/>
      <c s="30" r="AB892"/>
      <c s="30" r="AC892"/>
      <c s="30" r="AD892"/>
      <c s="30" r="AE892"/>
      <c s="10" r="AF892"/>
      <c s="10" r="AG892"/>
      <c s="10" r="AH892"/>
      <c s="10" r="AI892"/>
      <c s="10" r="AJ892"/>
      <c s="10" r="AK892"/>
      <c s="30" r="AL892"/>
    </row>
    <row r="893">
      <c s="30" r="A893"/>
      <c s="30" r="B893"/>
      <c s="30" r="C893"/>
      <c s="30" r="D893"/>
      <c s="16" r="E893"/>
      <c s="16" r="F893"/>
      <c s="16" r="G893"/>
      <c s="16" r="H893"/>
      <c s="16" r="I893"/>
      <c s="16" r="J893"/>
      <c s="16" r="K893"/>
      <c s="80" r="L893"/>
      <c s="79" r="M893"/>
      <c s="79" r="N893"/>
      <c s="79" r="O893"/>
      <c s="79" r="P893"/>
      <c s="17" r="Q893"/>
      <c s="17" r="R893"/>
      <c s="7" r="S893"/>
      <c s="7" r="T893"/>
      <c s="7" r="U893"/>
      <c s="7" r="V893"/>
      <c s="30" r="W893"/>
      <c s="30" r="X893"/>
      <c s="30" r="Y893"/>
      <c s="30" r="Z893"/>
      <c s="30" r="AA893"/>
      <c s="30" r="AB893"/>
      <c s="30" r="AC893"/>
      <c s="30" r="AD893"/>
      <c s="30" r="AE893"/>
      <c s="10" r="AF893"/>
      <c s="10" r="AG893"/>
      <c s="10" r="AH893"/>
      <c s="10" r="AI893"/>
      <c s="10" r="AJ893"/>
      <c s="10" r="AK893"/>
      <c s="30" r="AL893"/>
    </row>
    <row r="894">
      <c s="30" r="A894"/>
      <c s="30" r="B894"/>
      <c s="30" r="C894"/>
      <c s="30" r="D894"/>
      <c s="16" r="E894"/>
      <c s="16" r="F894"/>
      <c s="16" r="G894"/>
      <c s="16" r="H894"/>
      <c s="16" r="I894"/>
      <c s="16" r="J894"/>
      <c s="16" r="K894"/>
      <c s="80" r="L894"/>
      <c s="79" r="M894"/>
      <c s="79" r="N894"/>
      <c s="79" r="O894"/>
      <c s="79" r="P894"/>
      <c s="17" r="Q894"/>
      <c s="17" r="R894"/>
      <c s="7" r="S894"/>
      <c s="7" r="T894"/>
      <c s="7" r="U894"/>
      <c s="7" r="V894"/>
      <c s="30" r="W894"/>
      <c s="30" r="X894"/>
      <c s="30" r="Y894"/>
      <c s="30" r="Z894"/>
      <c s="30" r="AA894"/>
      <c s="30" r="AB894"/>
      <c s="30" r="AC894"/>
      <c s="30" r="AD894"/>
      <c s="30" r="AE894"/>
      <c s="10" r="AF894"/>
      <c s="10" r="AG894"/>
      <c s="10" r="AH894"/>
      <c s="10" r="AI894"/>
      <c s="10" r="AJ894"/>
      <c s="10" r="AK894"/>
      <c s="30" r="AL894"/>
    </row>
    <row r="895">
      <c s="30" r="A895"/>
      <c s="30" r="B895"/>
      <c s="30" r="C895"/>
      <c s="30" r="D895"/>
      <c s="16" r="E895"/>
      <c s="16" r="F895"/>
      <c s="16" r="G895"/>
      <c s="16" r="H895"/>
      <c s="16" r="I895"/>
      <c s="16" r="J895"/>
      <c s="16" r="K895"/>
      <c s="80" r="L895"/>
      <c s="79" r="M895"/>
      <c s="79" r="N895"/>
      <c s="79" r="O895"/>
      <c s="79" r="P895"/>
      <c s="17" r="Q895"/>
      <c s="17" r="R895"/>
      <c s="7" r="S895"/>
      <c s="7" r="T895"/>
      <c s="7" r="U895"/>
      <c s="7" r="V895"/>
      <c s="30" r="W895"/>
      <c s="30" r="X895"/>
      <c s="30" r="Y895"/>
      <c s="30" r="Z895"/>
      <c s="30" r="AA895"/>
      <c s="30" r="AB895"/>
      <c s="30" r="AC895"/>
      <c s="30" r="AD895"/>
      <c s="30" r="AE895"/>
      <c s="10" r="AF895"/>
      <c s="10" r="AG895"/>
      <c s="10" r="AH895"/>
      <c s="10" r="AI895"/>
      <c s="10" r="AJ895"/>
      <c s="10" r="AK895"/>
      <c s="30" r="AL895"/>
    </row>
    <row r="896">
      <c s="30" r="A896"/>
      <c s="30" r="B896"/>
      <c s="30" r="C896"/>
      <c s="30" r="D896"/>
      <c s="16" r="E896"/>
      <c s="16" r="F896"/>
      <c s="16" r="G896"/>
      <c s="16" r="H896"/>
      <c s="16" r="I896"/>
      <c s="16" r="J896"/>
      <c s="16" r="K896"/>
      <c s="80" r="L896"/>
      <c s="79" r="M896"/>
      <c s="79" r="N896"/>
      <c s="79" r="O896"/>
      <c s="79" r="P896"/>
      <c s="17" r="Q896"/>
      <c s="17" r="R896"/>
      <c s="7" r="S896"/>
      <c s="7" r="T896"/>
      <c s="7" r="U896"/>
      <c s="7" r="V896"/>
      <c s="30" r="W896"/>
      <c s="30" r="X896"/>
      <c s="30" r="Y896"/>
      <c s="30" r="Z896"/>
      <c s="30" r="AA896"/>
      <c s="30" r="AB896"/>
      <c s="30" r="AC896"/>
      <c s="30" r="AD896"/>
      <c s="30" r="AE896"/>
      <c s="10" r="AF896"/>
      <c s="10" r="AG896"/>
      <c s="10" r="AH896"/>
      <c s="10" r="AI896"/>
      <c s="10" r="AJ896"/>
      <c s="10" r="AK896"/>
      <c s="30" r="AL896"/>
    </row>
    <row r="897">
      <c s="30" r="A897"/>
      <c s="30" r="B897"/>
      <c s="30" r="C897"/>
      <c s="30" r="D897"/>
      <c s="16" r="E897"/>
      <c s="16" r="F897"/>
      <c s="16" r="G897"/>
      <c s="16" r="H897"/>
      <c s="16" r="I897"/>
      <c s="16" r="J897"/>
      <c s="16" r="K897"/>
      <c s="80" r="L897"/>
      <c s="79" r="M897"/>
      <c s="79" r="N897"/>
      <c s="79" r="O897"/>
      <c s="79" r="P897"/>
      <c s="17" r="Q897"/>
      <c s="17" r="R897"/>
      <c s="7" r="S897"/>
      <c s="7" r="T897"/>
      <c s="7" r="U897"/>
      <c s="7" r="V897"/>
      <c s="30" r="W897"/>
      <c s="30" r="X897"/>
      <c s="30" r="Y897"/>
      <c s="30" r="Z897"/>
      <c s="30" r="AA897"/>
      <c s="30" r="AB897"/>
      <c s="30" r="AC897"/>
      <c s="30" r="AD897"/>
      <c s="30" r="AE897"/>
      <c s="10" r="AF897"/>
      <c s="10" r="AG897"/>
      <c s="10" r="AH897"/>
      <c s="10" r="AI897"/>
      <c s="10" r="AJ897"/>
      <c s="10" r="AK897"/>
      <c s="30" r="AL897"/>
    </row>
    <row r="898">
      <c s="30" r="A898"/>
      <c s="30" r="B898"/>
      <c s="30" r="C898"/>
      <c s="30" r="D898"/>
      <c s="16" r="E898"/>
      <c s="16" r="F898"/>
      <c s="16" r="G898"/>
      <c s="16" r="H898"/>
      <c s="16" r="I898"/>
      <c s="16" r="J898"/>
      <c s="16" r="K898"/>
      <c s="80" r="L898"/>
      <c s="79" r="M898"/>
      <c s="79" r="N898"/>
      <c s="79" r="O898"/>
      <c s="79" r="P898"/>
      <c s="17" r="Q898"/>
      <c s="17" r="R898"/>
      <c s="7" r="S898"/>
      <c s="7" r="T898"/>
      <c s="7" r="U898"/>
      <c s="7" r="V898"/>
      <c s="30" r="W898"/>
      <c s="30" r="X898"/>
      <c s="30" r="Y898"/>
      <c s="30" r="Z898"/>
      <c s="30" r="AA898"/>
      <c s="30" r="AB898"/>
      <c s="30" r="AC898"/>
      <c s="30" r="AD898"/>
      <c s="30" r="AE898"/>
      <c s="10" r="AF898"/>
      <c s="10" r="AG898"/>
      <c s="10" r="AH898"/>
      <c s="10" r="AI898"/>
      <c s="10" r="AJ898"/>
      <c s="10" r="AK898"/>
      <c s="30" r="AL898"/>
    </row>
    <row r="899">
      <c s="30" r="A899"/>
      <c s="30" r="B899"/>
      <c s="30" r="C899"/>
      <c s="30" r="D899"/>
      <c s="16" r="E899"/>
      <c s="16" r="F899"/>
      <c s="16" r="G899"/>
      <c s="16" r="H899"/>
      <c s="16" r="I899"/>
      <c s="16" r="J899"/>
      <c s="16" r="K899"/>
      <c s="80" r="L899"/>
      <c s="79" r="M899"/>
      <c s="79" r="N899"/>
      <c s="79" r="O899"/>
      <c s="79" r="P899"/>
      <c s="17" r="Q899"/>
      <c s="17" r="R899"/>
      <c s="7" r="S899"/>
      <c s="7" r="T899"/>
      <c s="7" r="U899"/>
      <c s="7" r="V899"/>
      <c s="30" r="W899"/>
      <c s="30" r="X899"/>
      <c s="30" r="Y899"/>
      <c s="30" r="Z899"/>
      <c s="30" r="AA899"/>
      <c s="30" r="AB899"/>
      <c s="30" r="AC899"/>
      <c s="30" r="AD899"/>
      <c s="30" r="AE899"/>
      <c s="10" r="AF899"/>
      <c s="10" r="AG899"/>
      <c s="10" r="AH899"/>
      <c s="10" r="AI899"/>
      <c s="10" r="AJ899"/>
      <c s="10" r="AK899"/>
      <c s="30" r="AL899"/>
    </row>
    <row r="900">
      <c s="30" r="A900"/>
      <c s="30" r="B900"/>
      <c s="30" r="C900"/>
      <c s="30" r="D900"/>
      <c s="16" r="E900"/>
      <c s="16" r="F900"/>
      <c s="16" r="G900"/>
      <c s="16" r="H900"/>
      <c s="16" r="I900"/>
      <c s="16" r="J900"/>
      <c s="16" r="K900"/>
      <c s="80" r="L900"/>
      <c s="79" r="M900"/>
      <c s="79" r="N900"/>
      <c s="79" r="O900"/>
      <c s="79" r="P900"/>
      <c s="17" r="Q900"/>
      <c s="17" r="R900"/>
      <c s="7" r="S900"/>
      <c s="7" r="T900"/>
      <c s="7" r="U900"/>
      <c s="7" r="V900"/>
      <c s="30" r="W900"/>
      <c s="30" r="X900"/>
      <c s="30" r="Y900"/>
      <c s="30" r="Z900"/>
      <c s="30" r="AA900"/>
      <c s="30" r="AB900"/>
      <c s="30" r="AC900"/>
      <c s="30" r="AD900"/>
      <c s="30" r="AE900"/>
      <c s="10" r="AF900"/>
      <c s="10" r="AG900"/>
      <c s="10" r="AH900"/>
      <c s="10" r="AI900"/>
      <c s="10" r="AJ900"/>
      <c s="10" r="AK900"/>
      <c s="30" r="AL900"/>
    </row>
    <row r="901">
      <c s="30" r="A901"/>
      <c s="30" r="B901"/>
      <c s="30" r="C901"/>
      <c s="30" r="D901"/>
      <c s="16" r="E901"/>
      <c s="16" r="F901"/>
      <c s="16" r="G901"/>
      <c s="16" r="H901"/>
      <c s="16" r="I901"/>
      <c s="16" r="J901"/>
      <c s="16" r="K901"/>
      <c s="80" r="L901"/>
      <c s="79" r="M901"/>
      <c s="79" r="N901"/>
      <c s="79" r="O901"/>
      <c s="79" r="P901"/>
      <c s="17" r="Q901"/>
      <c s="17" r="R901"/>
      <c s="7" r="S901"/>
      <c s="7" r="T901"/>
      <c s="7" r="U901"/>
      <c s="7" r="V901"/>
      <c s="30" r="W901"/>
      <c s="30" r="X901"/>
      <c s="30" r="Y901"/>
      <c s="30" r="Z901"/>
      <c s="30" r="AA901"/>
      <c s="30" r="AB901"/>
      <c s="30" r="AC901"/>
      <c s="30" r="AD901"/>
      <c s="30" r="AE901"/>
      <c s="10" r="AF901"/>
      <c s="10" r="AG901"/>
      <c s="10" r="AH901"/>
      <c s="10" r="AI901"/>
      <c s="10" r="AJ901"/>
      <c s="10" r="AK901"/>
      <c s="30" r="AL901"/>
    </row>
    <row r="902">
      <c s="30" r="A902"/>
      <c s="30" r="B902"/>
      <c s="30" r="C902"/>
      <c s="30" r="D902"/>
      <c s="16" r="E902"/>
      <c s="16" r="F902"/>
      <c s="16" r="G902"/>
      <c s="16" r="H902"/>
      <c s="16" r="I902"/>
      <c s="16" r="J902"/>
      <c s="16" r="K902"/>
      <c s="80" r="L902"/>
      <c s="79" r="M902"/>
      <c s="79" r="N902"/>
      <c s="79" r="O902"/>
      <c s="79" r="P902"/>
      <c s="17" r="Q902"/>
      <c s="17" r="R902"/>
      <c s="7" r="S902"/>
      <c s="7" r="T902"/>
      <c s="7" r="U902"/>
      <c s="7" r="V902"/>
      <c s="30" r="W902"/>
      <c s="30" r="X902"/>
      <c s="30" r="Y902"/>
      <c s="30" r="Z902"/>
      <c s="30" r="AA902"/>
      <c s="30" r="AB902"/>
      <c s="30" r="AC902"/>
      <c s="30" r="AD902"/>
      <c s="30" r="AE902"/>
      <c s="10" r="AF902"/>
      <c s="10" r="AG902"/>
      <c s="10" r="AH902"/>
      <c s="10" r="AI902"/>
      <c s="10" r="AJ902"/>
      <c s="10" r="AK902"/>
      <c s="30" r="AL902"/>
    </row>
    <row r="903">
      <c s="30" r="A903"/>
      <c s="30" r="B903"/>
      <c s="30" r="C903"/>
      <c s="30" r="D903"/>
      <c s="16" r="E903"/>
      <c s="16" r="F903"/>
      <c s="16" r="G903"/>
      <c s="16" r="H903"/>
      <c s="16" r="I903"/>
      <c s="16" r="J903"/>
      <c s="16" r="K903"/>
      <c s="80" r="L903"/>
      <c s="79" r="M903"/>
      <c s="79" r="N903"/>
      <c s="79" r="O903"/>
      <c s="79" r="P903"/>
      <c s="17" r="Q903"/>
      <c s="17" r="R903"/>
      <c s="7" r="S903"/>
      <c s="7" r="T903"/>
      <c s="7" r="U903"/>
      <c s="7" r="V903"/>
      <c s="30" r="W903"/>
      <c s="30" r="X903"/>
      <c s="30" r="Y903"/>
      <c s="30" r="Z903"/>
      <c s="30" r="AA903"/>
      <c s="30" r="AB903"/>
      <c s="30" r="AC903"/>
      <c s="30" r="AD903"/>
      <c s="30" r="AE903"/>
      <c s="10" r="AF903"/>
      <c s="10" r="AG903"/>
      <c s="10" r="AH903"/>
      <c s="10" r="AI903"/>
      <c s="10" r="AJ903"/>
      <c s="10" r="AK903"/>
      <c s="30" r="AL903"/>
    </row>
    <row r="904">
      <c s="30" r="A904"/>
      <c s="30" r="B904"/>
      <c s="30" r="C904"/>
      <c s="30" r="D904"/>
      <c s="16" r="E904"/>
      <c s="16" r="F904"/>
      <c s="16" r="G904"/>
      <c s="16" r="H904"/>
      <c s="16" r="I904"/>
      <c s="16" r="J904"/>
      <c s="16" r="K904"/>
      <c s="80" r="L904"/>
      <c s="79" r="M904"/>
      <c s="79" r="N904"/>
      <c s="79" r="O904"/>
      <c s="79" r="P904"/>
      <c s="17" r="Q904"/>
      <c s="17" r="R904"/>
      <c s="7" r="S904"/>
      <c s="7" r="T904"/>
      <c s="7" r="U904"/>
      <c s="7" r="V904"/>
      <c s="30" r="W904"/>
      <c s="30" r="X904"/>
      <c s="30" r="Y904"/>
      <c s="30" r="Z904"/>
      <c s="30" r="AA904"/>
      <c s="30" r="AB904"/>
      <c s="30" r="AC904"/>
      <c s="30" r="AD904"/>
      <c s="30" r="AE904"/>
      <c s="10" r="AF904"/>
      <c s="10" r="AG904"/>
      <c s="10" r="AH904"/>
      <c s="10" r="AI904"/>
      <c s="10" r="AJ904"/>
      <c s="10" r="AK904"/>
      <c s="30" r="AL904"/>
    </row>
    <row r="905">
      <c s="30" r="A905"/>
      <c s="30" r="B905"/>
      <c s="30" r="C905"/>
      <c s="30" r="D905"/>
      <c s="16" r="E905"/>
      <c s="16" r="F905"/>
      <c s="16" r="G905"/>
      <c s="16" r="H905"/>
      <c s="16" r="I905"/>
      <c s="16" r="J905"/>
      <c s="16" r="K905"/>
      <c s="80" r="L905"/>
      <c s="79" r="M905"/>
      <c s="79" r="N905"/>
      <c s="79" r="O905"/>
      <c s="79" r="P905"/>
      <c s="17" r="Q905"/>
      <c s="17" r="R905"/>
      <c s="7" r="S905"/>
      <c s="7" r="T905"/>
      <c s="7" r="U905"/>
      <c s="7" r="V905"/>
      <c s="30" r="W905"/>
      <c s="30" r="X905"/>
      <c s="30" r="Y905"/>
      <c s="30" r="Z905"/>
      <c s="30" r="AA905"/>
      <c s="30" r="AB905"/>
      <c s="30" r="AC905"/>
      <c s="30" r="AD905"/>
      <c s="30" r="AE905"/>
      <c s="10" r="AF905"/>
      <c s="10" r="AG905"/>
      <c s="10" r="AH905"/>
      <c s="10" r="AI905"/>
      <c s="10" r="AJ905"/>
      <c s="10" r="AK905"/>
      <c s="30" r="AL905"/>
    </row>
    <row r="906">
      <c s="30" r="A906"/>
      <c s="30" r="B906"/>
      <c s="30" r="C906"/>
      <c s="30" r="D906"/>
      <c s="16" r="E906"/>
      <c s="16" r="F906"/>
      <c s="16" r="G906"/>
      <c s="16" r="H906"/>
      <c s="16" r="I906"/>
      <c s="16" r="J906"/>
      <c s="16" r="K906"/>
      <c s="80" r="L906"/>
      <c s="79" r="M906"/>
      <c s="79" r="N906"/>
      <c s="79" r="O906"/>
      <c s="79" r="P906"/>
      <c s="17" r="Q906"/>
      <c s="17" r="R906"/>
      <c s="7" r="S906"/>
      <c s="7" r="T906"/>
      <c s="7" r="U906"/>
      <c s="7" r="V906"/>
      <c s="30" r="W906"/>
      <c s="30" r="X906"/>
      <c s="30" r="Y906"/>
      <c s="30" r="Z906"/>
      <c s="30" r="AA906"/>
      <c s="30" r="AB906"/>
      <c s="30" r="AC906"/>
      <c s="30" r="AD906"/>
      <c s="30" r="AE906"/>
      <c s="10" r="AF906"/>
      <c s="10" r="AG906"/>
      <c s="10" r="AH906"/>
      <c s="10" r="AI906"/>
      <c s="10" r="AJ906"/>
      <c s="10" r="AK906"/>
      <c s="30" r="AL906"/>
    </row>
    <row r="907">
      <c s="30" r="A907"/>
      <c s="30" r="B907"/>
      <c s="30" r="C907"/>
      <c s="30" r="D907"/>
      <c s="16" r="E907"/>
      <c s="16" r="F907"/>
      <c s="16" r="G907"/>
      <c s="16" r="H907"/>
      <c s="16" r="I907"/>
      <c s="16" r="J907"/>
      <c s="16" r="K907"/>
      <c s="80" r="L907"/>
      <c s="79" r="M907"/>
      <c s="79" r="N907"/>
      <c s="79" r="O907"/>
      <c s="79" r="P907"/>
      <c s="17" r="Q907"/>
      <c s="17" r="R907"/>
      <c s="7" r="S907"/>
      <c s="7" r="T907"/>
      <c s="7" r="U907"/>
      <c s="7" r="V907"/>
      <c s="30" r="W907"/>
      <c s="30" r="X907"/>
      <c s="30" r="Y907"/>
      <c s="30" r="Z907"/>
      <c s="30" r="AA907"/>
      <c s="30" r="AB907"/>
      <c s="30" r="AC907"/>
      <c s="30" r="AD907"/>
      <c s="30" r="AE907"/>
      <c s="10" r="AF907"/>
      <c s="10" r="AG907"/>
      <c s="10" r="AH907"/>
      <c s="10" r="AI907"/>
      <c s="10" r="AJ907"/>
      <c s="10" r="AK907"/>
      <c s="30" r="AL907"/>
    </row>
    <row r="908">
      <c s="30" r="A908"/>
      <c s="30" r="B908"/>
      <c s="30" r="C908"/>
      <c s="30" r="D908"/>
      <c s="16" r="E908"/>
      <c s="16" r="F908"/>
      <c s="16" r="G908"/>
      <c s="16" r="H908"/>
      <c s="16" r="I908"/>
      <c s="16" r="J908"/>
      <c s="16" r="K908"/>
      <c s="80" r="L908"/>
      <c s="79" r="M908"/>
      <c s="79" r="N908"/>
      <c s="79" r="O908"/>
      <c s="79" r="P908"/>
      <c s="17" r="Q908"/>
      <c s="17" r="R908"/>
      <c s="7" r="S908"/>
      <c s="7" r="T908"/>
      <c s="7" r="U908"/>
      <c s="7" r="V908"/>
      <c s="30" r="W908"/>
      <c s="30" r="X908"/>
      <c s="30" r="Y908"/>
      <c s="30" r="Z908"/>
      <c s="30" r="AA908"/>
      <c s="30" r="AB908"/>
      <c s="30" r="AC908"/>
      <c s="30" r="AD908"/>
      <c s="30" r="AE908"/>
      <c s="10" r="AF908"/>
      <c s="10" r="AG908"/>
      <c s="10" r="AH908"/>
      <c s="10" r="AI908"/>
      <c s="10" r="AJ908"/>
      <c s="10" r="AK908"/>
      <c s="30" r="AL908"/>
    </row>
    <row r="909">
      <c s="30" r="A909"/>
      <c s="30" r="B909"/>
      <c s="30" r="C909"/>
      <c s="30" r="D909"/>
      <c s="16" r="E909"/>
      <c s="16" r="F909"/>
      <c s="16" r="G909"/>
      <c s="16" r="H909"/>
      <c s="16" r="I909"/>
      <c s="16" r="J909"/>
      <c s="16" r="K909"/>
      <c s="80" r="L909"/>
      <c s="79" r="M909"/>
      <c s="79" r="N909"/>
      <c s="79" r="O909"/>
      <c s="79" r="P909"/>
      <c s="17" r="Q909"/>
      <c s="17" r="R909"/>
      <c s="7" r="S909"/>
      <c s="7" r="T909"/>
      <c s="7" r="U909"/>
      <c s="7" r="V909"/>
      <c s="30" r="W909"/>
      <c s="30" r="X909"/>
      <c s="30" r="Y909"/>
      <c s="30" r="Z909"/>
      <c s="30" r="AA909"/>
      <c s="30" r="AB909"/>
      <c s="30" r="AC909"/>
      <c s="30" r="AD909"/>
      <c s="30" r="AE909"/>
      <c s="10" r="AF909"/>
      <c s="10" r="AG909"/>
      <c s="10" r="AH909"/>
      <c s="10" r="AI909"/>
      <c s="10" r="AJ909"/>
      <c s="10" r="AK909"/>
      <c s="30" r="AL909"/>
    </row>
    <row r="910">
      <c s="30" r="A910"/>
      <c s="30" r="B910"/>
      <c s="30" r="C910"/>
      <c s="30" r="D910"/>
      <c s="16" r="E910"/>
      <c s="16" r="F910"/>
      <c s="16" r="G910"/>
      <c s="16" r="H910"/>
      <c s="16" r="I910"/>
      <c s="16" r="J910"/>
      <c s="16" r="K910"/>
      <c s="80" r="L910"/>
      <c s="79" r="M910"/>
      <c s="79" r="N910"/>
      <c s="79" r="O910"/>
      <c s="79" r="P910"/>
      <c s="17" r="Q910"/>
      <c s="17" r="R910"/>
      <c s="7" r="S910"/>
      <c s="7" r="T910"/>
      <c s="7" r="U910"/>
      <c s="7" r="V910"/>
      <c s="30" r="W910"/>
      <c s="30" r="X910"/>
      <c s="30" r="Y910"/>
      <c s="30" r="Z910"/>
      <c s="30" r="AA910"/>
      <c s="30" r="AB910"/>
      <c s="30" r="AC910"/>
      <c s="30" r="AD910"/>
      <c s="30" r="AE910"/>
      <c s="10" r="AF910"/>
      <c s="10" r="AG910"/>
      <c s="10" r="AH910"/>
      <c s="10" r="AI910"/>
      <c s="10" r="AJ910"/>
      <c s="10" r="AK910"/>
      <c s="30" r="AL910"/>
    </row>
    <row r="911">
      <c s="30" r="A911"/>
      <c s="30" r="B911"/>
      <c s="30" r="C911"/>
      <c s="30" r="D911"/>
      <c s="16" r="E911"/>
      <c s="16" r="F911"/>
      <c s="16" r="G911"/>
      <c s="16" r="H911"/>
      <c s="16" r="I911"/>
      <c s="16" r="J911"/>
      <c s="16" r="K911"/>
      <c s="80" r="L911"/>
      <c s="79" r="M911"/>
      <c s="79" r="N911"/>
      <c s="79" r="O911"/>
      <c s="79" r="P911"/>
      <c s="17" r="Q911"/>
      <c s="17" r="R911"/>
      <c s="7" r="S911"/>
      <c s="7" r="T911"/>
      <c s="7" r="U911"/>
      <c s="7" r="V911"/>
      <c s="30" r="W911"/>
      <c s="30" r="X911"/>
      <c s="30" r="Y911"/>
      <c s="30" r="Z911"/>
      <c s="30" r="AA911"/>
      <c s="30" r="AB911"/>
      <c s="30" r="AC911"/>
      <c s="30" r="AD911"/>
      <c s="30" r="AE911"/>
      <c s="10" r="AF911"/>
      <c s="10" r="AG911"/>
      <c s="10" r="AH911"/>
      <c s="10" r="AI911"/>
      <c s="10" r="AJ911"/>
      <c s="10" r="AK911"/>
      <c s="30" r="AL911"/>
    </row>
    <row r="912">
      <c s="30" r="A912"/>
      <c s="30" r="B912"/>
      <c s="30" r="C912"/>
      <c s="30" r="D912"/>
      <c s="16" r="E912"/>
      <c s="16" r="F912"/>
      <c s="16" r="G912"/>
      <c s="16" r="H912"/>
      <c s="16" r="I912"/>
      <c s="16" r="J912"/>
      <c s="16" r="K912"/>
      <c s="80" r="L912"/>
      <c s="79" r="M912"/>
      <c s="79" r="N912"/>
      <c s="79" r="O912"/>
      <c s="79" r="P912"/>
      <c s="17" r="Q912"/>
      <c s="17" r="R912"/>
      <c s="7" r="S912"/>
      <c s="7" r="T912"/>
      <c s="7" r="U912"/>
      <c s="7" r="V912"/>
      <c s="30" r="W912"/>
      <c s="30" r="X912"/>
      <c s="30" r="Y912"/>
      <c s="30" r="Z912"/>
      <c s="30" r="AA912"/>
      <c s="30" r="AB912"/>
      <c s="30" r="AC912"/>
      <c s="30" r="AD912"/>
      <c s="30" r="AE912"/>
      <c s="10" r="AF912"/>
      <c s="10" r="AG912"/>
      <c s="10" r="AH912"/>
      <c s="10" r="AI912"/>
      <c s="10" r="AJ912"/>
      <c s="10" r="AK912"/>
      <c s="30" r="AL912"/>
    </row>
    <row r="913">
      <c s="30" r="A913"/>
      <c s="30" r="B913"/>
      <c s="30" r="C913"/>
      <c s="30" r="D913"/>
      <c s="16" r="E913"/>
      <c s="16" r="F913"/>
      <c s="16" r="G913"/>
      <c s="16" r="H913"/>
      <c s="16" r="I913"/>
      <c s="16" r="J913"/>
      <c s="16" r="K913"/>
      <c s="80" r="L913"/>
      <c s="79" r="M913"/>
      <c s="79" r="N913"/>
      <c s="79" r="O913"/>
      <c s="79" r="P913"/>
      <c s="17" r="Q913"/>
      <c s="17" r="R913"/>
      <c s="7" r="S913"/>
      <c s="7" r="T913"/>
      <c s="7" r="U913"/>
      <c s="7" r="V913"/>
      <c s="30" r="W913"/>
      <c s="30" r="X913"/>
      <c s="30" r="Y913"/>
      <c s="30" r="Z913"/>
      <c s="30" r="AA913"/>
      <c s="30" r="AB913"/>
      <c s="30" r="AC913"/>
      <c s="30" r="AD913"/>
      <c s="30" r="AE913"/>
      <c s="10" r="AF913"/>
      <c s="10" r="AG913"/>
      <c s="10" r="AH913"/>
      <c s="10" r="AI913"/>
      <c s="10" r="AJ913"/>
      <c s="10" r="AK913"/>
      <c s="30" r="AL913"/>
    </row>
    <row r="914">
      <c s="30" r="A914"/>
      <c s="30" r="B914"/>
      <c s="30" r="C914"/>
      <c s="30" r="D914"/>
      <c s="16" r="E914"/>
      <c s="16" r="F914"/>
      <c s="16" r="G914"/>
      <c s="16" r="H914"/>
      <c s="16" r="I914"/>
      <c s="16" r="J914"/>
      <c s="16" r="K914"/>
      <c s="80" r="L914"/>
      <c s="79" r="M914"/>
      <c s="79" r="N914"/>
      <c s="79" r="O914"/>
      <c s="79" r="P914"/>
      <c s="17" r="Q914"/>
      <c s="17" r="R914"/>
      <c s="7" r="S914"/>
      <c s="7" r="T914"/>
      <c s="7" r="U914"/>
      <c s="7" r="V914"/>
      <c s="30" r="W914"/>
      <c s="30" r="X914"/>
      <c s="30" r="Y914"/>
      <c s="30" r="Z914"/>
      <c s="30" r="AA914"/>
      <c s="30" r="AB914"/>
      <c s="30" r="AC914"/>
      <c s="30" r="AD914"/>
      <c s="30" r="AE914"/>
      <c s="10" r="AF914"/>
      <c s="10" r="AG914"/>
      <c s="10" r="AH914"/>
      <c s="10" r="AI914"/>
      <c s="10" r="AJ914"/>
      <c s="10" r="AK914"/>
      <c s="30" r="AL914"/>
    </row>
    <row r="915">
      <c s="30" r="A915"/>
      <c s="30" r="B915"/>
      <c s="30" r="C915"/>
      <c s="30" r="D915"/>
      <c s="16" r="E915"/>
      <c s="16" r="F915"/>
      <c s="16" r="G915"/>
      <c s="16" r="H915"/>
      <c s="16" r="I915"/>
      <c s="16" r="J915"/>
      <c s="16" r="K915"/>
      <c s="80" r="L915"/>
      <c s="79" r="M915"/>
      <c s="79" r="N915"/>
      <c s="79" r="O915"/>
      <c s="79" r="P915"/>
      <c s="17" r="Q915"/>
      <c s="17" r="R915"/>
      <c s="7" r="S915"/>
      <c s="7" r="T915"/>
      <c s="7" r="U915"/>
      <c s="7" r="V915"/>
      <c s="30" r="W915"/>
      <c s="30" r="X915"/>
      <c s="30" r="Y915"/>
      <c s="30" r="Z915"/>
      <c s="30" r="AA915"/>
      <c s="30" r="AB915"/>
      <c s="30" r="AC915"/>
      <c s="30" r="AD915"/>
      <c s="30" r="AE915"/>
      <c s="10" r="AF915"/>
      <c s="10" r="AG915"/>
      <c s="10" r="AH915"/>
      <c s="10" r="AI915"/>
      <c s="10" r="AJ915"/>
      <c s="10" r="AK915"/>
      <c s="30" r="AL915"/>
    </row>
    <row r="916">
      <c s="30" r="A916"/>
      <c s="30" r="B916"/>
      <c s="30" r="C916"/>
      <c s="30" r="D916"/>
      <c s="16" r="E916"/>
      <c s="16" r="F916"/>
      <c s="16" r="G916"/>
      <c s="16" r="H916"/>
      <c s="16" r="I916"/>
      <c s="16" r="J916"/>
      <c s="16" r="K916"/>
      <c s="80" r="L916"/>
      <c s="79" r="M916"/>
      <c s="79" r="N916"/>
      <c s="79" r="O916"/>
      <c s="79" r="P916"/>
      <c s="17" r="Q916"/>
      <c s="17" r="R916"/>
      <c s="7" r="S916"/>
      <c s="7" r="T916"/>
      <c s="7" r="U916"/>
      <c s="7" r="V916"/>
      <c s="30" r="W916"/>
      <c s="30" r="X916"/>
      <c s="30" r="Y916"/>
      <c s="30" r="Z916"/>
      <c s="30" r="AA916"/>
      <c s="30" r="AB916"/>
      <c s="30" r="AC916"/>
      <c s="30" r="AD916"/>
      <c s="30" r="AE916"/>
      <c s="10" r="AF916"/>
      <c s="10" r="AG916"/>
      <c s="10" r="AH916"/>
      <c s="10" r="AI916"/>
      <c s="10" r="AJ916"/>
      <c s="10" r="AK916"/>
      <c s="30" r="AL916"/>
    </row>
    <row r="917">
      <c s="30" r="A917"/>
      <c s="30" r="B917"/>
      <c s="30" r="C917"/>
      <c s="30" r="D917"/>
      <c s="16" r="E917"/>
      <c s="16" r="F917"/>
      <c s="16" r="G917"/>
      <c s="16" r="H917"/>
      <c s="16" r="I917"/>
      <c s="16" r="J917"/>
      <c s="16" r="K917"/>
      <c s="80" r="L917"/>
      <c s="79" r="M917"/>
      <c s="79" r="N917"/>
      <c s="79" r="O917"/>
      <c s="79" r="P917"/>
      <c s="17" r="Q917"/>
      <c s="17" r="R917"/>
      <c s="7" r="S917"/>
      <c s="7" r="T917"/>
      <c s="7" r="U917"/>
      <c s="7" r="V917"/>
      <c s="30" r="W917"/>
      <c s="30" r="X917"/>
      <c s="30" r="Y917"/>
      <c s="30" r="Z917"/>
      <c s="30" r="AA917"/>
      <c s="30" r="AB917"/>
      <c s="30" r="AC917"/>
      <c s="30" r="AD917"/>
      <c s="30" r="AE917"/>
      <c s="10" r="AF917"/>
      <c s="10" r="AG917"/>
      <c s="10" r="AH917"/>
      <c s="10" r="AI917"/>
      <c s="10" r="AJ917"/>
      <c s="10" r="AK917"/>
      <c s="30" r="AL917"/>
    </row>
    <row r="918">
      <c s="30" r="A918"/>
      <c s="30" r="B918"/>
      <c s="30" r="C918"/>
      <c s="30" r="D918"/>
      <c s="16" r="E918"/>
      <c s="16" r="F918"/>
      <c s="16" r="G918"/>
      <c s="16" r="H918"/>
      <c s="16" r="I918"/>
      <c s="16" r="J918"/>
      <c s="16" r="K918"/>
      <c s="80" r="L918"/>
      <c s="79" r="M918"/>
      <c s="79" r="N918"/>
      <c s="79" r="O918"/>
      <c s="79" r="P918"/>
      <c s="17" r="Q918"/>
      <c s="17" r="R918"/>
      <c s="7" r="S918"/>
      <c s="7" r="T918"/>
      <c s="7" r="U918"/>
      <c s="7" r="V918"/>
      <c s="30" r="W918"/>
      <c s="30" r="X918"/>
      <c s="30" r="Y918"/>
      <c s="30" r="Z918"/>
      <c s="30" r="AA918"/>
      <c s="30" r="AB918"/>
      <c s="30" r="AC918"/>
      <c s="30" r="AD918"/>
      <c s="30" r="AE918"/>
      <c s="10" r="AF918"/>
      <c s="10" r="AG918"/>
      <c s="10" r="AH918"/>
      <c s="10" r="AI918"/>
      <c s="10" r="AJ918"/>
      <c s="10" r="AK918"/>
      <c s="30" r="AL918"/>
    </row>
    <row r="919">
      <c s="30" r="A919"/>
      <c s="30" r="B919"/>
      <c s="30" r="C919"/>
      <c s="30" r="D919"/>
      <c s="16" r="E919"/>
      <c s="16" r="F919"/>
      <c s="16" r="G919"/>
      <c s="16" r="H919"/>
      <c s="16" r="I919"/>
      <c s="16" r="J919"/>
      <c s="16" r="K919"/>
      <c s="80" r="L919"/>
      <c s="79" r="M919"/>
      <c s="79" r="N919"/>
      <c s="79" r="O919"/>
      <c s="79" r="P919"/>
      <c s="17" r="Q919"/>
      <c s="17" r="R919"/>
      <c s="7" r="S919"/>
      <c s="7" r="T919"/>
      <c s="7" r="U919"/>
      <c s="7" r="V919"/>
      <c s="30" r="W919"/>
      <c s="30" r="X919"/>
      <c s="30" r="Y919"/>
      <c s="30" r="Z919"/>
      <c s="30" r="AA919"/>
      <c s="30" r="AB919"/>
      <c s="30" r="AC919"/>
      <c s="30" r="AD919"/>
      <c s="30" r="AE919"/>
      <c s="10" r="AF919"/>
      <c s="10" r="AG919"/>
      <c s="10" r="AH919"/>
      <c s="10" r="AI919"/>
      <c s="10" r="AJ919"/>
      <c s="10" r="AK919"/>
      <c s="30" r="AL919"/>
    </row>
    <row r="920">
      <c s="30" r="A920"/>
      <c s="30" r="B920"/>
      <c s="30" r="C920"/>
      <c s="30" r="D920"/>
      <c s="16" r="E920"/>
      <c s="16" r="F920"/>
      <c s="16" r="G920"/>
      <c s="16" r="H920"/>
      <c s="16" r="I920"/>
      <c s="16" r="J920"/>
      <c s="16" r="K920"/>
      <c s="80" r="L920"/>
      <c s="79" r="M920"/>
      <c s="79" r="N920"/>
      <c s="79" r="O920"/>
      <c s="79" r="P920"/>
      <c s="17" r="Q920"/>
      <c s="17" r="R920"/>
      <c s="7" r="S920"/>
      <c s="7" r="T920"/>
      <c s="7" r="U920"/>
      <c s="7" r="V920"/>
      <c s="30" r="W920"/>
      <c s="30" r="X920"/>
      <c s="30" r="Y920"/>
      <c s="30" r="Z920"/>
      <c s="30" r="AA920"/>
      <c s="30" r="AB920"/>
      <c s="30" r="AC920"/>
      <c s="30" r="AD920"/>
      <c s="30" r="AE920"/>
      <c s="10" r="AF920"/>
      <c s="10" r="AG920"/>
      <c s="10" r="AH920"/>
      <c s="10" r="AI920"/>
      <c s="10" r="AJ920"/>
      <c s="10" r="AK920"/>
      <c s="30" r="AL920"/>
    </row>
    <row r="921">
      <c s="30" r="A921"/>
      <c s="30" r="B921"/>
      <c s="30" r="C921"/>
      <c s="30" r="D921"/>
      <c s="16" r="E921"/>
      <c s="16" r="F921"/>
      <c s="16" r="G921"/>
      <c s="16" r="H921"/>
      <c s="16" r="I921"/>
      <c s="16" r="J921"/>
      <c s="16" r="K921"/>
      <c s="80" r="L921"/>
      <c s="79" r="M921"/>
      <c s="79" r="N921"/>
      <c s="79" r="O921"/>
      <c s="79" r="P921"/>
      <c s="17" r="Q921"/>
      <c s="17" r="R921"/>
      <c s="7" r="S921"/>
      <c s="7" r="T921"/>
      <c s="7" r="U921"/>
      <c s="7" r="V921"/>
      <c s="30" r="W921"/>
      <c s="30" r="X921"/>
      <c s="30" r="Y921"/>
      <c s="30" r="Z921"/>
      <c s="30" r="AA921"/>
      <c s="30" r="AB921"/>
      <c s="30" r="AC921"/>
      <c s="30" r="AD921"/>
      <c s="30" r="AE921"/>
      <c s="10" r="AF921"/>
      <c s="10" r="AG921"/>
      <c s="10" r="AH921"/>
      <c s="10" r="AI921"/>
      <c s="10" r="AJ921"/>
      <c s="10" r="AK921"/>
      <c s="30" r="AL921"/>
    </row>
    <row r="922">
      <c s="30" r="A922"/>
      <c s="30" r="B922"/>
      <c s="30" r="C922"/>
      <c s="30" r="D922"/>
      <c s="16" r="E922"/>
      <c s="16" r="F922"/>
      <c s="16" r="G922"/>
      <c s="16" r="H922"/>
      <c s="16" r="I922"/>
      <c s="16" r="J922"/>
      <c s="16" r="K922"/>
      <c s="80" r="L922"/>
      <c s="79" r="M922"/>
      <c s="79" r="N922"/>
      <c s="79" r="O922"/>
      <c s="79" r="P922"/>
      <c s="17" r="Q922"/>
      <c s="17" r="R922"/>
      <c s="7" r="S922"/>
      <c s="7" r="T922"/>
      <c s="7" r="U922"/>
      <c s="7" r="V922"/>
      <c s="30" r="W922"/>
      <c s="30" r="X922"/>
      <c s="30" r="Y922"/>
      <c s="30" r="Z922"/>
      <c s="30" r="AA922"/>
      <c s="30" r="AB922"/>
      <c s="30" r="AC922"/>
      <c s="30" r="AD922"/>
      <c s="30" r="AE922"/>
      <c s="10" r="AF922"/>
      <c s="10" r="AG922"/>
      <c s="10" r="AH922"/>
      <c s="10" r="AI922"/>
      <c s="10" r="AJ922"/>
      <c s="10" r="AK922"/>
      <c s="30" r="AL922"/>
    </row>
    <row r="923">
      <c s="30" r="A923"/>
      <c s="30" r="B923"/>
      <c s="30" r="C923"/>
      <c s="30" r="D923"/>
      <c s="16" r="E923"/>
      <c s="16" r="F923"/>
      <c s="16" r="G923"/>
      <c s="16" r="H923"/>
      <c s="16" r="I923"/>
      <c s="16" r="J923"/>
      <c s="16" r="K923"/>
      <c s="80" r="L923"/>
      <c s="79" r="M923"/>
      <c s="79" r="N923"/>
      <c s="79" r="O923"/>
      <c s="79" r="P923"/>
      <c s="17" r="Q923"/>
      <c s="17" r="R923"/>
      <c s="7" r="S923"/>
      <c s="7" r="T923"/>
      <c s="7" r="U923"/>
      <c s="7" r="V923"/>
      <c s="30" r="W923"/>
      <c s="30" r="X923"/>
      <c s="30" r="Y923"/>
      <c s="30" r="Z923"/>
      <c s="30" r="AA923"/>
      <c s="30" r="AB923"/>
      <c s="30" r="AC923"/>
      <c s="30" r="AD923"/>
      <c s="30" r="AE923"/>
      <c s="10" r="AF923"/>
      <c s="10" r="AG923"/>
      <c s="10" r="AH923"/>
      <c s="10" r="AI923"/>
      <c s="10" r="AJ923"/>
      <c s="10" r="AK923"/>
      <c s="30" r="AL923"/>
    </row>
    <row r="924">
      <c s="30" r="A924"/>
      <c s="30" r="B924"/>
      <c s="30" r="C924"/>
      <c s="30" r="D924"/>
      <c s="16" r="E924"/>
      <c s="16" r="F924"/>
      <c s="16" r="G924"/>
      <c s="16" r="H924"/>
      <c s="16" r="I924"/>
      <c s="16" r="J924"/>
      <c s="16" r="K924"/>
      <c s="80" r="L924"/>
      <c s="79" r="M924"/>
      <c s="79" r="N924"/>
      <c s="79" r="O924"/>
      <c s="79" r="P924"/>
      <c s="17" r="Q924"/>
      <c s="17" r="R924"/>
      <c s="7" r="S924"/>
      <c s="7" r="T924"/>
      <c s="7" r="U924"/>
      <c s="7" r="V924"/>
      <c s="30" r="W924"/>
      <c s="30" r="X924"/>
      <c s="30" r="Y924"/>
      <c s="30" r="Z924"/>
      <c s="30" r="AA924"/>
      <c s="30" r="AB924"/>
      <c s="30" r="AC924"/>
      <c s="30" r="AD924"/>
      <c s="30" r="AE924"/>
      <c s="10" r="AF924"/>
      <c s="10" r="AG924"/>
      <c s="10" r="AH924"/>
      <c s="10" r="AI924"/>
      <c s="10" r="AJ924"/>
      <c s="10" r="AK924"/>
      <c s="30" r="AL924"/>
    </row>
    <row r="925">
      <c s="30" r="A925"/>
      <c s="30" r="B925"/>
      <c s="30" r="C925"/>
      <c s="30" r="D925"/>
      <c s="16" r="E925"/>
      <c s="16" r="F925"/>
      <c s="16" r="G925"/>
      <c s="16" r="H925"/>
      <c s="16" r="I925"/>
      <c s="16" r="J925"/>
      <c s="16" r="K925"/>
      <c s="80" r="L925"/>
      <c s="79" r="M925"/>
      <c s="79" r="N925"/>
      <c s="79" r="O925"/>
      <c s="79" r="P925"/>
      <c s="17" r="Q925"/>
      <c s="17" r="R925"/>
      <c s="7" r="S925"/>
      <c s="7" r="T925"/>
      <c s="7" r="U925"/>
      <c s="7" r="V925"/>
      <c s="30" r="W925"/>
      <c s="30" r="X925"/>
      <c s="30" r="Y925"/>
      <c s="30" r="Z925"/>
      <c s="30" r="AA925"/>
      <c s="30" r="AB925"/>
      <c s="30" r="AC925"/>
      <c s="30" r="AD925"/>
      <c s="30" r="AE925"/>
      <c s="10" r="AF925"/>
      <c s="10" r="AG925"/>
      <c s="10" r="AH925"/>
      <c s="10" r="AI925"/>
      <c s="10" r="AJ925"/>
      <c s="10" r="AK925"/>
      <c s="30" r="AL925"/>
    </row>
    <row r="926">
      <c s="30" r="A926"/>
      <c s="30" r="B926"/>
      <c s="30" r="C926"/>
      <c s="30" r="D926"/>
      <c s="16" r="E926"/>
      <c s="16" r="F926"/>
      <c s="16" r="G926"/>
      <c s="16" r="H926"/>
      <c s="16" r="I926"/>
      <c s="16" r="J926"/>
      <c s="16" r="K926"/>
      <c s="80" r="L926"/>
      <c s="79" r="M926"/>
      <c s="79" r="N926"/>
      <c s="79" r="O926"/>
      <c s="79" r="P926"/>
      <c s="17" r="Q926"/>
      <c s="17" r="R926"/>
      <c s="7" r="S926"/>
      <c s="7" r="T926"/>
      <c s="7" r="U926"/>
      <c s="7" r="V926"/>
      <c s="30" r="W926"/>
      <c s="30" r="X926"/>
      <c s="30" r="Y926"/>
      <c s="30" r="Z926"/>
      <c s="30" r="AA926"/>
      <c s="30" r="AB926"/>
      <c s="30" r="AC926"/>
      <c s="30" r="AD926"/>
      <c s="30" r="AE926"/>
      <c s="10" r="AF926"/>
      <c s="10" r="AG926"/>
      <c s="10" r="AH926"/>
      <c s="10" r="AI926"/>
      <c s="10" r="AJ926"/>
      <c s="10" r="AK926"/>
      <c s="30" r="AL926"/>
    </row>
    <row r="927">
      <c s="30" r="A927"/>
      <c s="30" r="B927"/>
      <c s="30" r="C927"/>
      <c s="30" r="D927"/>
      <c s="16" r="E927"/>
      <c s="16" r="F927"/>
      <c s="16" r="G927"/>
      <c s="16" r="H927"/>
      <c s="16" r="I927"/>
      <c s="16" r="J927"/>
      <c s="16" r="K927"/>
      <c s="80" r="L927"/>
      <c s="79" r="M927"/>
      <c s="79" r="N927"/>
      <c s="79" r="O927"/>
      <c s="79" r="P927"/>
      <c s="17" r="Q927"/>
      <c s="17" r="R927"/>
      <c s="7" r="S927"/>
      <c s="7" r="T927"/>
      <c s="7" r="U927"/>
      <c s="7" r="V927"/>
      <c s="30" r="W927"/>
      <c s="30" r="X927"/>
      <c s="30" r="Y927"/>
      <c s="30" r="Z927"/>
      <c s="30" r="AA927"/>
      <c s="30" r="AB927"/>
      <c s="30" r="AC927"/>
      <c s="30" r="AD927"/>
      <c s="30" r="AE927"/>
      <c s="10" r="AF927"/>
      <c s="10" r="AG927"/>
      <c s="10" r="AH927"/>
      <c s="10" r="AI927"/>
      <c s="10" r="AJ927"/>
      <c s="10" r="AK927"/>
      <c s="30" r="AL927"/>
    </row>
    <row r="928">
      <c s="30" r="A928"/>
      <c s="30" r="B928"/>
      <c s="30" r="C928"/>
      <c s="30" r="D928"/>
      <c s="16" r="E928"/>
      <c s="16" r="F928"/>
      <c s="16" r="G928"/>
      <c s="16" r="H928"/>
      <c s="16" r="I928"/>
      <c s="16" r="J928"/>
      <c s="16" r="K928"/>
      <c s="80" r="L928"/>
      <c s="79" r="M928"/>
      <c s="79" r="N928"/>
      <c s="79" r="O928"/>
      <c s="79" r="P928"/>
      <c s="17" r="Q928"/>
      <c s="17" r="R928"/>
      <c s="7" r="S928"/>
      <c s="7" r="T928"/>
      <c s="7" r="U928"/>
      <c s="7" r="V928"/>
      <c s="30" r="W928"/>
      <c s="30" r="X928"/>
      <c s="30" r="Y928"/>
      <c s="30" r="Z928"/>
      <c s="30" r="AA928"/>
      <c s="30" r="AB928"/>
      <c s="30" r="AC928"/>
      <c s="30" r="AD928"/>
      <c s="30" r="AE928"/>
      <c s="10" r="AF928"/>
      <c s="10" r="AG928"/>
      <c s="10" r="AH928"/>
      <c s="10" r="AI928"/>
      <c s="10" r="AJ928"/>
      <c s="10" r="AK928"/>
      <c s="30" r="AL928"/>
    </row>
    <row r="929">
      <c s="30" r="A929"/>
      <c s="30" r="B929"/>
      <c s="30" r="C929"/>
      <c s="30" r="D929"/>
      <c s="16" r="E929"/>
      <c s="16" r="F929"/>
      <c s="16" r="G929"/>
      <c s="16" r="H929"/>
      <c s="16" r="I929"/>
      <c s="16" r="J929"/>
      <c s="16" r="K929"/>
      <c s="80" r="L929"/>
      <c s="79" r="M929"/>
      <c s="79" r="N929"/>
      <c s="79" r="O929"/>
      <c s="79" r="P929"/>
      <c s="17" r="Q929"/>
      <c s="17" r="R929"/>
      <c s="7" r="S929"/>
      <c s="7" r="T929"/>
      <c s="7" r="U929"/>
      <c s="7" r="V929"/>
      <c s="30" r="W929"/>
      <c s="30" r="X929"/>
      <c s="30" r="Y929"/>
      <c s="30" r="Z929"/>
      <c s="30" r="AA929"/>
      <c s="30" r="AB929"/>
      <c s="30" r="AC929"/>
      <c s="30" r="AD929"/>
      <c s="30" r="AE929"/>
      <c s="10" r="AF929"/>
      <c s="10" r="AG929"/>
      <c s="10" r="AH929"/>
      <c s="10" r="AI929"/>
      <c s="10" r="AJ929"/>
      <c s="10" r="AK929"/>
      <c s="30" r="AL929"/>
    </row>
    <row r="930">
      <c s="30" r="A930"/>
      <c s="30" r="B930"/>
      <c s="30" r="C930"/>
      <c s="30" r="D930"/>
      <c s="16" r="E930"/>
      <c s="16" r="F930"/>
      <c s="16" r="G930"/>
      <c s="16" r="H930"/>
      <c s="16" r="I930"/>
      <c s="16" r="J930"/>
      <c s="16" r="K930"/>
      <c s="80" r="L930"/>
      <c s="79" r="M930"/>
      <c s="79" r="N930"/>
      <c s="79" r="O930"/>
      <c s="79" r="P930"/>
      <c s="17" r="Q930"/>
      <c s="17" r="R930"/>
      <c s="7" r="S930"/>
      <c s="7" r="T930"/>
      <c s="7" r="U930"/>
      <c s="7" r="V930"/>
      <c s="30" r="W930"/>
      <c s="30" r="X930"/>
      <c s="30" r="Y930"/>
      <c s="30" r="Z930"/>
      <c s="30" r="AA930"/>
      <c s="30" r="AB930"/>
      <c s="30" r="AC930"/>
      <c s="30" r="AD930"/>
      <c s="30" r="AE930"/>
      <c s="10" r="AF930"/>
      <c s="10" r="AG930"/>
      <c s="10" r="AH930"/>
      <c s="10" r="AI930"/>
      <c s="10" r="AJ930"/>
      <c s="10" r="AK930"/>
      <c s="30" r="AL930"/>
    </row>
    <row r="931">
      <c s="30" r="A931"/>
      <c s="30" r="B931"/>
      <c s="30" r="C931"/>
      <c s="30" r="D931"/>
      <c s="16" r="E931"/>
      <c s="16" r="F931"/>
      <c s="16" r="G931"/>
      <c s="16" r="H931"/>
      <c s="16" r="I931"/>
      <c s="16" r="J931"/>
      <c s="16" r="K931"/>
      <c s="80" r="L931"/>
      <c s="79" r="M931"/>
      <c s="79" r="N931"/>
      <c s="79" r="O931"/>
      <c s="79" r="P931"/>
      <c s="17" r="Q931"/>
      <c s="17" r="R931"/>
      <c s="7" r="S931"/>
      <c s="7" r="T931"/>
      <c s="7" r="U931"/>
      <c s="7" r="V931"/>
      <c s="30" r="W931"/>
      <c s="30" r="X931"/>
      <c s="30" r="Y931"/>
      <c s="30" r="Z931"/>
      <c s="30" r="AA931"/>
      <c s="30" r="AB931"/>
      <c s="30" r="AC931"/>
      <c s="30" r="AD931"/>
      <c s="30" r="AE931"/>
      <c s="10" r="AF931"/>
      <c s="10" r="AG931"/>
      <c s="10" r="AH931"/>
      <c s="10" r="AI931"/>
      <c s="10" r="AJ931"/>
      <c s="10" r="AK931"/>
      <c s="30" r="AL931"/>
    </row>
    <row r="932">
      <c s="30" r="A932"/>
      <c s="30" r="B932"/>
      <c s="30" r="C932"/>
      <c s="30" r="D932"/>
      <c s="16" r="E932"/>
      <c s="16" r="F932"/>
      <c s="16" r="G932"/>
      <c s="16" r="H932"/>
      <c s="16" r="I932"/>
      <c s="16" r="J932"/>
      <c s="16" r="K932"/>
      <c s="80" r="L932"/>
      <c s="79" r="M932"/>
      <c s="79" r="N932"/>
      <c s="79" r="O932"/>
      <c s="79" r="P932"/>
      <c s="17" r="Q932"/>
      <c s="17" r="R932"/>
      <c s="7" r="S932"/>
      <c s="7" r="T932"/>
      <c s="7" r="U932"/>
      <c s="7" r="V932"/>
      <c s="30" r="W932"/>
      <c s="30" r="X932"/>
      <c s="30" r="Y932"/>
      <c s="30" r="Z932"/>
      <c s="30" r="AA932"/>
      <c s="30" r="AB932"/>
      <c s="30" r="AC932"/>
      <c s="30" r="AD932"/>
      <c s="30" r="AE932"/>
      <c s="10" r="AF932"/>
      <c s="10" r="AG932"/>
      <c s="10" r="AH932"/>
      <c s="10" r="AI932"/>
      <c s="10" r="AJ932"/>
      <c s="10" r="AK932"/>
      <c s="30" r="AL932"/>
    </row>
    <row r="933">
      <c s="30" r="A933"/>
      <c s="30" r="B933"/>
      <c s="30" r="C933"/>
      <c s="30" r="D933"/>
      <c s="16" r="E933"/>
      <c s="16" r="F933"/>
      <c s="16" r="G933"/>
      <c s="16" r="H933"/>
      <c s="16" r="I933"/>
      <c s="16" r="J933"/>
      <c s="16" r="K933"/>
      <c s="80" r="L933"/>
      <c s="79" r="M933"/>
      <c s="79" r="N933"/>
      <c s="79" r="O933"/>
      <c s="79" r="P933"/>
      <c s="17" r="Q933"/>
      <c s="17" r="R933"/>
      <c s="7" r="S933"/>
      <c s="7" r="T933"/>
      <c s="7" r="U933"/>
      <c s="7" r="V933"/>
      <c s="30" r="W933"/>
      <c s="30" r="X933"/>
      <c s="30" r="Y933"/>
      <c s="30" r="Z933"/>
      <c s="30" r="AA933"/>
      <c s="30" r="AB933"/>
      <c s="30" r="AC933"/>
      <c s="30" r="AD933"/>
      <c s="30" r="AE933"/>
      <c s="10" r="AF933"/>
      <c s="10" r="AG933"/>
      <c s="10" r="AH933"/>
      <c s="10" r="AI933"/>
      <c s="10" r="AJ933"/>
      <c s="10" r="AK933"/>
      <c s="30" r="AL933"/>
    </row>
    <row r="934">
      <c s="30" r="A934"/>
      <c s="30" r="B934"/>
      <c s="30" r="C934"/>
      <c s="30" r="D934"/>
      <c s="16" r="E934"/>
      <c s="16" r="F934"/>
      <c s="16" r="G934"/>
      <c s="16" r="H934"/>
      <c s="16" r="I934"/>
      <c s="16" r="J934"/>
      <c s="16" r="K934"/>
      <c s="80" r="L934"/>
      <c s="79" r="M934"/>
      <c s="79" r="N934"/>
      <c s="79" r="O934"/>
      <c s="79" r="P934"/>
      <c s="17" r="Q934"/>
      <c s="17" r="R934"/>
      <c s="7" r="S934"/>
      <c s="7" r="T934"/>
      <c s="7" r="U934"/>
      <c s="7" r="V934"/>
      <c s="30" r="W934"/>
      <c s="30" r="X934"/>
      <c s="30" r="Y934"/>
      <c s="30" r="Z934"/>
      <c s="30" r="AA934"/>
      <c s="30" r="AB934"/>
      <c s="30" r="AC934"/>
      <c s="30" r="AD934"/>
      <c s="30" r="AE934"/>
      <c s="10" r="AF934"/>
      <c s="10" r="AG934"/>
      <c s="10" r="AH934"/>
      <c s="10" r="AI934"/>
      <c s="10" r="AJ934"/>
      <c s="10" r="AK934"/>
      <c s="30" r="AL934"/>
    </row>
    <row r="935">
      <c s="30" r="A935"/>
      <c s="30" r="B935"/>
      <c s="30" r="C935"/>
      <c s="30" r="D935"/>
      <c s="16" r="E935"/>
      <c s="16" r="F935"/>
      <c s="16" r="G935"/>
      <c s="16" r="H935"/>
      <c s="16" r="I935"/>
      <c s="16" r="J935"/>
      <c s="16" r="K935"/>
      <c s="80" r="L935"/>
      <c s="79" r="M935"/>
      <c s="79" r="N935"/>
      <c s="79" r="O935"/>
      <c s="79" r="P935"/>
      <c s="17" r="Q935"/>
      <c s="17" r="R935"/>
      <c s="7" r="S935"/>
      <c s="7" r="T935"/>
      <c s="7" r="U935"/>
      <c s="7" r="V935"/>
      <c s="30" r="W935"/>
      <c s="30" r="X935"/>
      <c s="30" r="Y935"/>
      <c s="30" r="Z935"/>
      <c s="30" r="AA935"/>
      <c s="30" r="AB935"/>
      <c s="30" r="AC935"/>
      <c s="30" r="AD935"/>
      <c s="30" r="AE935"/>
      <c s="10" r="AF935"/>
      <c s="10" r="AG935"/>
      <c s="10" r="AH935"/>
      <c s="10" r="AI935"/>
      <c s="10" r="AJ935"/>
      <c s="10" r="AK935"/>
      <c s="30" r="AL935"/>
    </row>
    <row r="936">
      <c s="30" r="A936"/>
      <c s="30" r="B936"/>
      <c s="30" r="C936"/>
      <c s="30" r="D936"/>
      <c s="16" r="E936"/>
      <c s="16" r="F936"/>
      <c s="16" r="G936"/>
      <c s="16" r="H936"/>
      <c s="16" r="I936"/>
      <c s="16" r="J936"/>
      <c s="16" r="K936"/>
      <c s="80" r="L936"/>
      <c s="79" r="M936"/>
      <c s="79" r="N936"/>
      <c s="79" r="O936"/>
      <c s="79" r="P936"/>
      <c s="17" r="Q936"/>
      <c s="17" r="R936"/>
      <c s="7" r="S936"/>
      <c s="7" r="T936"/>
      <c s="7" r="U936"/>
      <c s="7" r="V936"/>
      <c s="30" r="W936"/>
      <c s="30" r="X936"/>
      <c s="30" r="Y936"/>
      <c s="30" r="Z936"/>
      <c s="30" r="AA936"/>
      <c s="30" r="AB936"/>
      <c s="30" r="AC936"/>
      <c s="30" r="AD936"/>
      <c s="30" r="AE936"/>
      <c s="10" r="AF936"/>
      <c s="10" r="AG936"/>
      <c s="10" r="AH936"/>
      <c s="10" r="AI936"/>
      <c s="10" r="AJ936"/>
      <c s="10" r="AK936"/>
      <c s="30" r="AL936"/>
    </row>
    <row r="937">
      <c s="30" r="A937"/>
      <c s="30" r="B937"/>
      <c s="30" r="C937"/>
      <c s="30" r="D937"/>
      <c s="16" r="E937"/>
      <c s="16" r="F937"/>
      <c s="16" r="G937"/>
      <c s="16" r="H937"/>
      <c s="16" r="I937"/>
      <c s="16" r="J937"/>
      <c s="16" r="K937"/>
      <c s="80" r="L937"/>
      <c s="79" r="M937"/>
      <c s="79" r="N937"/>
      <c s="79" r="O937"/>
      <c s="79" r="P937"/>
      <c s="17" r="Q937"/>
      <c s="17" r="R937"/>
      <c s="7" r="S937"/>
      <c s="7" r="T937"/>
      <c s="7" r="U937"/>
      <c s="7" r="V937"/>
      <c s="30" r="W937"/>
      <c s="30" r="X937"/>
      <c s="30" r="Y937"/>
      <c s="30" r="Z937"/>
      <c s="30" r="AA937"/>
      <c s="30" r="AB937"/>
      <c s="30" r="AC937"/>
      <c s="30" r="AD937"/>
      <c s="30" r="AE937"/>
      <c s="10" r="AF937"/>
      <c s="10" r="AG937"/>
      <c s="10" r="AH937"/>
      <c s="10" r="AI937"/>
      <c s="10" r="AJ937"/>
      <c s="10" r="AK937"/>
      <c s="30" r="AL937"/>
    </row>
    <row r="938">
      <c s="30" r="A938"/>
      <c s="30" r="B938"/>
      <c s="30" r="C938"/>
      <c s="30" r="D938"/>
      <c s="16" r="E938"/>
      <c s="16" r="F938"/>
      <c s="16" r="G938"/>
      <c s="16" r="H938"/>
      <c s="16" r="I938"/>
      <c s="16" r="J938"/>
      <c s="16" r="K938"/>
      <c s="80" r="L938"/>
      <c s="79" r="M938"/>
      <c s="79" r="N938"/>
      <c s="79" r="O938"/>
      <c s="79" r="P938"/>
      <c s="17" r="Q938"/>
      <c s="17" r="R938"/>
      <c s="7" r="S938"/>
      <c s="7" r="T938"/>
      <c s="7" r="U938"/>
      <c s="7" r="V938"/>
      <c s="30" r="W938"/>
      <c s="30" r="X938"/>
      <c s="30" r="Y938"/>
      <c s="30" r="Z938"/>
      <c s="30" r="AA938"/>
      <c s="30" r="AB938"/>
      <c s="30" r="AC938"/>
      <c s="30" r="AD938"/>
      <c s="30" r="AE938"/>
      <c s="10" r="AF938"/>
      <c s="10" r="AG938"/>
      <c s="10" r="AH938"/>
      <c s="10" r="AI938"/>
      <c s="10" r="AJ938"/>
      <c s="10" r="AK938"/>
      <c s="30" r="AL938"/>
    </row>
    <row r="939">
      <c s="30" r="A939"/>
      <c s="30" r="B939"/>
      <c s="30" r="C939"/>
      <c s="30" r="D939"/>
      <c s="16" r="E939"/>
      <c s="16" r="F939"/>
      <c s="16" r="G939"/>
      <c s="16" r="H939"/>
      <c s="16" r="I939"/>
      <c s="16" r="J939"/>
      <c s="16" r="K939"/>
      <c s="80" r="L939"/>
      <c s="79" r="M939"/>
      <c s="79" r="N939"/>
      <c s="79" r="O939"/>
      <c s="79" r="P939"/>
      <c s="17" r="Q939"/>
      <c s="17" r="R939"/>
      <c s="7" r="S939"/>
      <c s="7" r="T939"/>
      <c s="7" r="U939"/>
      <c s="7" r="V939"/>
      <c s="30" r="W939"/>
      <c s="30" r="X939"/>
      <c s="30" r="Y939"/>
      <c s="30" r="Z939"/>
      <c s="30" r="AA939"/>
      <c s="30" r="AB939"/>
      <c s="30" r="AC939"/>
      <c s="30" r="AD939"/>
      <c s="30" r="AE939"/>
      <c s="10" r="AF939"/>
      <c s="10" r="AG939"/>
      <c s="10" r="AH939"/>
      <c s="10" r="AI939"/>
      <c s="10" r="AJ939"/>
      <c s="10" r="AK939"/>
      <c s="30" r="AL939"/>
    </row>
    <row r="940">
      <c s="30" r="A940"/>
      <c s="30" r="B940"/>
      <c s="30" r="C940"/>
      <c s="30" r="D940"/>
      <c s="16" r="E940"/>
      <c s="16" r="F940"/>
      <c s="16" r="G940"/>
      <c s="16" r="H940"/>
      <c s="16" r="I940"/>
      <c s="16" r="J940"/>
      <c s="16" r="K940"/>
      <c s="80" r="L940"/>
      <c s="79" r="M940"/>
      <c s="79" r="N940"/>
      <c s="79" r="O940"/>
      <c s="79" r="P940"/>
      <c s="17" r="Q940"/>
      <c s="17" r="R940"/>
      <c s="7" r="S940"/>
      <c s="7" r="T940"/>
      <c s="7" r="U940"/>
      <c s="7" r="V940"/>
      <c s="30" r="W940"/>
      <c s="30" r="X940"/>
      <c s="30" r="Y940"/>
      <c s="30" r="Z940"/>
      <c s="30" r="AA940"/>
      <c s="30" r="AB940"/>
      <c s="30" r="AC940"/>
      <c s="30" r="AD940"/>
      <c s="30" r="AE940"/>
      <c s="10" r="AF940"/>
      <c s="10" r="AG940"/>
      <c s="10" r="AH940"/>
      <c s="10" r="AI940"/>
      <c s="10" r="AJ940"/>
      <c s="10" r="AK940"/>
      <c s="30" r="AL940"/>
    </row>
    <row r="941">
      <c s="30" r="A941"/>
      <c s="30" r="B941"/>
      <c s="30" r="C941"/>
      <c s="30" r="D941"/>
      <c s="16" r="E941"/>
      <c s="16" r="F941"/>
      <c s="16" r="G941"/>
      <c s="16" r="H941"/>
      <c s="16" r="I941"/>
      <c s="16" r="J941"/>
      <c s="16" r="K941"/>
      <c s="80" r="L941"/>
      <c s="79" r="M941"/>
      <c s="79" r="N941"/>
      <c s="79" r="O941"/>
      <c s="79" r="P941"/>
      <c s="17" r="Q941"/>
      <c s="17" r="R941"/>
      <c s="7" r="S941"/>
      <c s="7" r="T941"/>
      <c s="7" r="U941"/>
      <c s="7" r="V941"/>
      <c s="30" r="W941"/>
      <c s="30" r="X941"/>
      <c s="30" r="Y941"/>
      <c s="30" r="Z941"/>
      <c s="30" r="AA941"/>
      <c s="30" r="AB941"/>
      <c s="30" r="AC941"/>
      <c s="30" r="AD941"/>
      <c s="30" r="AE941"/>
      <c s="10" r="AF941"/>
      <c s="10" r="AG941"/>
      <c s="10" r="AH941"/>
      <c s="10" r="AI941"/>
      <c s="10" r="AJ941"/>
      <c s="10" r="AK941"/>
      <c s="30" r="AL941"/>
    </row>
    <row r="942">
      <c s="30" r="A942"/>
      <c s="30" r="B942"/>
      <c s="30" r="C942"/>
      <c s="30" r="D942"/>
      <c s="16" r="E942"/>
      <c s="16" r="F942"/>
      <c s="16" r="G942"/>
      <c s="16" r="H942"/>
      <c s="16" r="I942"/>
      <c s="16" r="J942"/>
      <c s="16" r="K942"/>
      <c s="80" r="L942"/>
      <c s="79" r="M942"/>
      <c s="79" r="N942"/>
      <c s="79" r="O942"/>
      <c s="79" r="P942"/>
      <c s="17" r="Q942"/>
      <c s="17" r="R942"/>
      <c s="7" r="S942"/>
      <c s="7" r="T942"/>
      <c s="7" r="U942"/>
      <c s="7" r="V942"/>
      <c s="30" r="W942"/>
      <c s="30" r="X942"/>
      <c s="30" r="Y942"/>
      <c s="30" r="Z942"/>
      <c s="30" r="AA942"/>
      <c s="30" r="AB942"/>
      <c s="30" r="AC942"/>
      <c s="30" r="AD942"/>
      <c s="30" r="AE942"/>
      <c s="10" r="AF942"/>
      <c s="10" r="AG942"/>
      <c s="10" r="AH942"/>
      <c s="10" r="AI942"/>
      <c s="10" r="AJ942"/>
      <c s="10" r="AK942"/>
      <c s="30" r="AL942"/>
    </row>
    <row r="943">
      <c s="30" r="A943"/>
      <c s="30" r="B943"/>
      <c s="30" r="C943"/>
      <c s="30" r="D943"/>
      <c s="16" r="E943"/>
      <c s="16" r="F943"/>
      <c s="16" r="G943"/>
      <c s="16" r="H943"/>
      <c s="16" r="I943"/>
      <c s="16" r="J943"/>
      <c s="16" r="K943"/>
      <c s="80" r="L943"/>
      <c s="79" r="M943"/>
      <c s="79" r="N943"/>
      <c s="79" r="O943"/>
      <c s="79" r="P943"/>
      <c s="17" r="Q943"/>
      <c s="17" r="R943"/>
      <c s="7" r="S943"/>
      <c s="7" r="T943"/>
      <c s="7" r="U943"/>
      <c s="7" r="V943"/>
      <c s="30" r="W943"/>
      <c s="30" r="X943"/>
      <c s="30" r="Y943"/>
      <c s="30" r="Z943"/>
      <c s="30" r="AA943"/>
      <c s="30" r="AB943"/>
      <c s="30" r="AC943"/>
      <c s="30" r="AD943"/>
      <c s="30" r="AE943"/>
      <c s="10" r="AF943"/>
      <c s="10" r="AG943"/>
      <c s="10" r="AH943"/>
      <c s="10" r="AI943"/>
      <c s="10" r="AJ943"/>
      <c s="10" r="AK943"/>
      <c s="30" r="AL943"/>
    </row>
    <row r="944">
      <c s="30" r="A944"/>
      <c s="30" r="B944"/>
      <c s="30" r="C944"/>
      <c s="30" r="D944"/>
      <c s="16" r="E944"/>
      <c s="16" r="F944"/>
      <c s="16" r="G944"/>
      <c s="16" r="H944"/>
      <c s="16" r="I944"/>
      <c s="16" r="J944"/>
      <c s="16" r="K944"/>
      <c s="80" r="L944"/>
      <c s="79" r="M944"/>
      <c s="79" r="N944"/>
      <c s="79" r="O944"/>
      <c s="79" r="P944"/>
      <c s="17" r="Q944"/>
      <c s="17" r="R944"/>
      <c s="7" r="S944"/>
      <c s="7" r="T944"/>
      <c s="7" r="U944"/>
      <c s="7" r="V944"/>
      <c s="30" r="W944"/>
      <c s="30" r="X944"/>
      <c s="30" r="Y944"/>
      <c s="30" r="Z944"/>
      <c s="30" r="AA944"/>
      <c s="30" r="AB944"/>
      <c s="30" r="AC944"/>
      <c s="30" r="AD944"/>
      <c s="30" r="AE944"/>
      <c s="10" r="AF944"/>
      <c s="10" r="AG944"/>
      <c s="10" r="AH944"/>
      <c s="10" r="AI944"/>
      <c s="10" r="AJ944"/>
      <c s="10" r="AK944"/>
      <c s="30" r="AL944"/>
    </row>
    <row r="945">
      <c s="30" r="A945"/>
      <c s="30" r="B945"/>
      <c s="30" r="C945"/>
      <c s="30" r="D945"/>
      <c s="16" r="E945"/>
      <c s="16" r="F945"/>
      <c s="16" r="G945"/>
      <c s="16" r="H945"/>
      <c s="16" r="I945"/>
      <c s="16" r="J945"/>
      <c s="16" r="K945"/>
      <c s="80" r="L945"/>
      <c s="79" r="M945"/>
      <c s="79" r="N945"/>
      <c s="79" r="O945"/>
      <c s="79" r="P945"/>
      <c s="17" r="Q945"/>
      <c s="17" r="R945"/>
      <c s="7" r="S945"/>
      <c s="7" r="T945"/>
      <c s="7" r="U945"/>
      <c s="7" r="V945"/>
      <c s="30" r="W945"/>
      <c s="30" r="X945"/>
      <c s="30" r="Y945"/>
      <c s="30" r="Z945"/>
      <c s="30" r="AA945"/>
      <c s="30" r="AB945"/>
      <c s="30" r="AC945"/>
      <c s="30" r="AD945"/>
      <c s="30" r="AE945"/>
      <c s="10" r="AF945"/>
      <c s="10" r="AG945"/>
      <c s="10" r="AH945"/>
      <c s="10" r="AI945"/>
      <c s="10" r="AJ945"/>
      <c s="10" r="AK945"/>
      <c s="30" r="AL945"/>
    </row>
    <row r="946">
      <c s="30" r="A946"/>
      <c s="30" r="B946"/>
      <c s="30" r="C946"/>
      <c s="30" r="D946"/>
      <c s="16" r="E946"/>
      <c s="16" r="F946"/>
      <c s="16" r="G946"/>
      <c s="16" r="H946"/>
      <c s="16" r="I946"/>
      <c s="16" r="J946"/>
      <c s="16" r="K946"/>
      <c s="80" r="L946"/>
      <c s="79" r="M946"/>
      <c s="79" r="N946"/>
      <c s="79" r="O946"/>
      <c s="79" r="P946"/>
      <c s="17" r="Q946"/>
      <c s="17" r="R946"/>
      <c s="7" r="S946"/>
      <c s="7" r="T946"/>
      <c s="7" r="U946"/>
      <c s="7" r="V946"/>
      <c s="30" r="W946"/>
      <c s="30" r="X946"/>
      <c s="30" r="Y946"/>
      <c s="30" r="Z946"/>
      <c s="30" r="AA946"/>
      <c s="30" r="AB946"/>
      <c s="30" r="AC946"/>
      <c s="30" r="AD946"/>
      <c s="30" r="AE946"/>
      <c s="10" r="AF946"/>
      <c s="10" r="AG946"/>
      <c s="10" r="AH946"/>
      <c s="10" r="AI946"/>
      <c s="10" r="AJ946"/>
      <c s="10" r="AK946"/>
      <c s="30" r="AL946"/>
    </row>
    <row r="947">
      <c s="30" r="A947"/>
      <c s="30" r="B947"/>
      <c s="30" r="C947"/>
      <c s="30" r="D947"/>
      <c s="16" r="E947"/>
      <c s="16" r="F947"/>
      <c s="16" r="G947"/>
      <c s="16" r="H947"/>
      <c s="16" r="I947"/>
      <c s="16" r="J947"/>
      <c s="16" r="K947"/>
      <c s="80" r="L947"/>
      <c s="79" r="M947"/>
      <c s="79" r="N947"/>
      <c s="79" r="O947"/>
      <c s="79" r="P947"/>
      <c s="17" r="Q947"/>
      <c s="17" r="R947"/>
      <c s="7" r="S947"/>
      <c s="7" r="T947"/>
      <c s="7" r="U947"/>
      <c s="7" r="V947"/>
      <c s="30" r="W947"/>
      <c s="30" r="X947"/>
      <c s="30" r="Y947"/>
      <c s="30" r="Z947"/>
      <c s="30" r="AA947"/>
      <c s="30" r="AB947"/>
      <c s="30" r="AC947"/>
      <c s="30" r="AD947"/>
      <c s="30" r="AE947"/>
      <c s="10" r="AF947"/>
      <c s="10" r="AG947"/>
      <c s="10" r="AH947"/>
      <c s="10" r="AI947"/>
      <c s="10" r="AJ947"/>
      <c s="10" r="AK947"/>
      <c s="30" r="AL947"/>
    </row>
    <row r="948">
      <c s="30" r="A948"/>
      <c s="30" r="B948"/>
      <c s="30" r="C948"/>
      <c s="30" r="D948"/>
      <c s="16" r="E948"/>
      <c s="16" r="F948"/>
      <c s="16" r="G948"/>
      <c s="16" r="H948"/>
      <c s="16" r="I948"/>
      <c s="16" r="J948"/>
      <c s="16" r="K948"/>
      <c s="80" r="L948"/>
      <c s="79" r="M948"/>
      <c s="79" r="N948"/>
      <c s="79" r="O948"/>
      <c s="79" r="P948"/>
      <c s="17" r="Q948"/>
      <c s="17" r="R948"/>
      <c s="7" r="S948"/>
      <c s="7" r="T948"/>
      <c s="7" r="U948"/>
      <c s="7" r="V948"/>
      <c s="30" r="W948"/>
      <c s="30" r="X948"/>
      <c s="30" r="Y948"/>
      <c s="30" r="Z948"/>
      <c s="30" r="AA948"/>
      <c s="30" r="AB948"/>
      <c s="30" r="AC948"/>
      <c s="30" r="AD948"/>
      <c s="30" r="AE948"/>
      <c s="10" r="AF948"/>
      <c s="10" r="AG948"/>
      <c s="10" r="AH948"/>
      <c s="10" r="AI948"/>
      <c s="10" r="AJ948"/>
      <c s="10" r="AK948"/>
      <c s="30" r="AL948"/>
    </row>
    <row r="949">
      <c s="30" r="A949"/>
      <c s="30" r="B949"/>
      <c s="30" r="C949"/>
      <c s="30" r="D949"/>
      <c s="16" r="E949"/>
      <c s="16" r="F949"/>
      <c s="16" r="G949"/>
      <c s="16" r="H949"/>
      <c s="16" r="I949"/>
      <c s="16" r="J949"/>
      <c s="16" r="K949"/>
      <c s="80" r="L949"/>
      <c s="79" r="M949"/>
      <c s="79" r="N949"/>
      <c s="79" r="O949"/>
      <c s="79" r="P949"/>
      <c s="17" r="Q949"/>
      <c s="17" r="R949"/>
      <c s="7" r="S949"/>
      <c s="7" r="T949"/>
      <c s="7" r="U949"/>
      <c s="7" r="V949"/>
      <c s="30" r="W949"/>
      <c s="30" r="X949"/>
      <c s="30" r="Y949"/>
      <c s="30" r="Z949"/>
      <c s="30" r="AA949"/>
      <c s="30" r="AB949"/>
      <c s="30" r="AC949"/>
      <c s="30" r="AD949"/>
      <c s="30" r="AE949"/>
      <c s="10" r="AF949"/>
      <c s="10" r="AG949"/>
      <c s="10" r="AH949"/>
      <c s="10" r="AI949"/>
      <c s="10" r="AJ949"/>
      <c s="10" r="AK949"/>
      <c s="30" r="AL949"/>
    </row>
    <row r="950">
      <c s="30" r="A950"/>
      <c s="30" r="B950"/>
      <c s="30" r="C950"/>
      <c s="30" r="D950"/>
      <c s="16" r="E950"/>
      <c s="16" r="F950"/>
      <c s="16" r="G950"/>
      <c s="16" r="H950"/>
      <c s="16" r="I950"/>
      <c s="16" r="J950"/>
      <c s="16" r="K950"/>
      <c s="80" r="L950"/>
      <c s="79" r="M950"/>
      <c s="79" r="N950"/>
      <c s="79" r="O950"/>
      <c s="79" r="P950"/>
      <c s="17" r="Q950"/>
      <c s="17" r="R950"/>
      <c s="7" r="S950"/>
      <c s="7" r="T950"/>
      <c s="7" r="U950"/>
      <c s="7" r="V950"/>
      <c s="30" r="W950"/>
      <c s="30" r="X950"/>
      <c s="30" r="Y950"/>
      <c s="30" r="Z950"/>
      <c s="30" r="AA950"/>
      <c s="30" r="AB950"/>
      <c s="30" r="AC950"/>
      <c s="30" r="AD950"/>
      <c s="30" r="AE950"/>
      <c s="10" r="AF950"/>
      <c s="10" r="AG950"/>
      <c s="10" r="AH950"/>
      <c s="10" r="AI950"/>
      <c s="10" r="AJ950"/>
      <c s="10" r="AK950"/>
      <c s="30" r="AL950"/>
    </row>
    <row r="951">
      <c s="30" r="A951"/>
      <c s="30" r="B951"/>
      <c s="30" r="C951"/>
      <c s="30" r="D951"/>
      <c s="16" r="E951"/>
      <c s="16" r="F951"/>
      <c s="16" r="G951"/>
      <c s="16" r="H951"/>
      <c s="16" r="I951"/>
      <c s="16" r="J951"/>
      <c s="16" r="K951"/>
      <c s="80" r="L951"/>
      <c s="79" r="M951"/>
      <c s="79" r="N951"/>
      <c s="79" r="O951"/>
      <c s="79" r="P951"/>
      <c s="17" r="Q951"/>
      <c s="17" r="R951"/>
      <c s="7" r="S951"/>
      <c s="7" r="T951"/>
      <c s="7" r="U951"/>
      <c s="7" r="V951"/>
      <c s="30" r="W951"/>
      <c s="30" r="X951"/>
      <c s="30" r="Y951"/>
      <c s="30" r="Z951"/>
      <c s="30" r="AA951"/>
      <c s="30" r="AB951"/>
      <c s="30" r="AC951"/>
      <c s="30" r="AD951"/>
      <c s="30" r="AE951"/>
      <c s="10" r="AF951"/>
      <c s="10" r="AG951"/>
      <c s="10" r="AH951"/>
      <c s="10" r="AI951"/>
      <c s="10" r="AJ951"/>
      <c s="10" r="AK951"/>
      <c s="30" r="AL951"/>
    </row>
    <row r="952">
      <c s="30" r="A952"/>
      <c s="30" r="B952"/>
      <c s="30" r="C952"/>
      <c s="30" r="D952"/>
      <c s="16" r="E952"/>
      <c s="16" r="F952"/>
      <c s="16" r="G952"/>
      <c s="16" r="H952"/>
      <c s="16" r="I952"/>
      <c s="16" r="J952"/>
      <c s="16" r="K952"/>
      <c s="80" r="L952"/>
      <c s="79" r="M952"/>
      <c s="79" r="N952"/>
      <c s="79" r="O952"/>
      <c s="79" r="P952"/>
      <c s="17" r="Q952"/>
      <c s="17" r="R952"/>
      <c s="7" r="S952"/>
      <c s="7" r="T952"/>
      <c s="7" r="U952"/>
      <c s="7" r="V952"/>
      <c s="30" r="W952"/>
      <c s="30" r="X952"/>
      <c s="30" r="Y952"/>
      <c s="30" r="Z952"/>
      <c s="30" r="AA952"/>
      <c s="30" r="AB952"/>
      <c s="30" r="AC952"/>
      <c s="30" r="AD952"/>
      <c s="30" r="AE952"/>
      <c s="10" r="AF952"/>
      <c s="10" r="AG952"/>
      <c s="10" r="AH952"/>
      <c s="10" r="AI952"/>
      <c s="10" r="AJ952"/>
      <c s="10" r="AK952"/>
      <c s="30" r="AL952"/>
    </row>
    <row r="953">
      <c s="30" r="A953"/>
      <c s="30" r="B953"/>
      <c s="30" r="C953"/>
      <c s="30" r="D953"/>
      <c s="16" r="E953"/>
      <c s="16" r="F953"/>
      <c s="16" r="G953"/>
      <c s="16" r="H953"/>
      <c s="16" r="I953"/>
      <c s="16" r="J953"/>
      <c s="16" r="K953"/>
      <c s="80" r="L953"/>
      <c s="79" r="M953"/>
      <c s="79" r="N953"/>
      <c s="79" r="O953"/>
      <c s="79" r="P953"/>
      <c s="17" r="Q953"/>
      <c s="17" r="R953"/>
      <c s="7" r="S953"/>
      <c s="7" r="T953"/>
      <c s="7" r="U953"/>
      <c s="7" r="V953"/>
      <c s="30" r="W953"/>
      <c s="30" r="X953"/>
      <c s="30" r="Y953"/>
      <c s="30" r="Z953"/>
      <c s="30" r="AA953"/>
      <c s="30" r="AB953"/>
      <c s="30" r="AC953"/>
      <c s="30" r="AD953"/>
      <c s="30" r="AE953"/>
      <c s="10" r="AF953"/>
      <c s="10" r="AG953"/>
      <c s="10" r="AH953"/>
      <c s="10" r="AI953"/>
      <c s="10" r="AJ953"/>
      <c s="10" r="AK953"/>
      <c s="30" r="AL953"/>
    </row>
    <row r="954">
      <c s="30" r="A954"/>
      <c s="30" r="B954"/>
      <c s="30" r="C954"/>
      <c s="30" r="D954"/>
      <c s="16" r="E954"/>
      <c s="16" r="F954"/>
      <c s="16" r="G954"/>
      <c s="16" r="H954"/>
      <c s="16" r="I954"/>
      <c s="16" r="J954"/>
      <c s="16" r="K954"/>
      <c s="80" r="L954"/>
      <c s="79" r="M954"/>
      <c s="79" r="N954"/>
      <c s="79" r="O954"/>
      <c s="79" r="P954"/>
      <c s="17" r="Q954"/>
      <c s="17" r="R954"/>
      <c s="7" r="S954"/>
      <c s="7" r="T954"/>
      <c s="7" r="U954"/>
      <c s="7" r="V954"/>
      <c s="30" r="W954"/>
      <c s="30" r="X954"/>
      <c s="30" r="Y954"/>
      <c s="30" r="Z954"/>
      <c s="30" r="AA954"/>
      <c s="30" r="AB954"/>
      <c s="30" r="AC954"/>
      <c s="30" r="AD954"/>
      <c s="30" r="AE954"/>
      <c s="10" r="AF954"/>
      <c s="10" r="AG954"/>
      <c s="10" r="AH954"/>
      <c s="10" r="AI954"/>
      <c s="10" r="AJ954"/>
      <c s="10" r="AK954"/>
      <c s="30" r="AL954"/>
    </row>
    <row r="955">
      <c s="30" r="A955"/>
      <c s="30" r="B955"/>
      <c s="30" r="C955"/>
      <c s="30" r="D955"/>
      <c s="16" r="E955"/>
      <c s="16" r="F955"/>
      <c s="16" r="G955"/>
      <c s="16" r="H955"/>
      <c s="16" r="I955"/>
      <c s="16" r="J955"/>
      <c s="16" r="K955"/>
      <c s="80" r="L955"/>
      <c s="79" r="M955"/>
      <c s="79" r="N955"/>
      <c s="79" r="O955"/>
      <c s="79" r="P955"/>
      <c s="17" r="Q955"/>
      <c s="17" r="R955"/>
      <c s="7" r="S955"/>
      <c s="7" r="T955"/>
      <c s="7" r="U955"/>
      <c s="7" r="V955"/>
      <c s="30" r="W955"/>
      <c s="30" r="X955"/>
      <c s="30" r="Y955"/>
      <c s="30" r="Z955"/>
      <c s="30" r="AA955"/>
      <c s="30" r="AB955"/>
      <c s="30" r="AC955"/>
      <c s="30" r="AD955"/>
      <c s="30" r="AE955"/>
      <c s="10" r="AF955"/>
      <c s="10" r="AG955"/>
      <c s="10" r="AH955"/>
      <c s="10" r="AI955"/>
      <c s="10" r="AJ955"/>
      <c s="10" r="AK955"/>
      <c s="30" r="AL955"/>
    </row>
    <row r="956">
      <c s="30" r="A956"/>
      <c s="30" r="B956"/>
      <c s="30" r="C956"/>
      <c s="30" r="D956"/>
      <c s="16" r="E956"/>
      <c s="16" r="F956"/>
      <c s="16" r="G956"/>
      <c s="16" r="H956"/>
      <c s="16" r="I956"/>
      <c s="16" r="J956"/>
      <c s="16" r="K956"/>
      <c s="80" r="L956"/>
      <c s="79" r="M956"/>
      <c s="79" r="N956"/>
      <c s="79" r="O956"/>
      <c s="79" r="P956"/>
      <c s="17" r="Q956"/>
      <c s="17" r="R956"/>
      <c s="7" r="S956"/>
      <c s="7" r="T956"/>
      <c s="7" r="U956"/>
      <c s="7" r="V956"/>
      <c s="30" r="W956"/>
      <c s="30" r="X956"/>
      <c s="30" r="Y956"/>
      <c s="30" r="Z956"/>
      <c s="30" r="AA956"/>
      <c s="30" r="AB956"/>
      <c s="30" r="AC956"/>
      <c s="30" r="AD956"/>
      <c s="30" r="AE956"/>
      <c s="10" r="AF956"/>
      <c s="10" r="AG956"/>
      <c s="10" r="AH956"/>
      <c s="10" r="AI956"/>
      <c s="10" r="AJ956"/>
      <c s="10" r="AK956"/>
      <c s="30" r="AL956"/>
    </row>
    <row r="957">
      <c s="30" r="A957"/>
      <c s="30" r="B957"/>
      <c s="30" r="C957"/>
      <c s="30" r="D957"/>
      <c s="16" r="E957"/>
      <c s="16" r="F957"/>
      <c s="16" r="G957"/>
      <c s="16" r="H957"/>
      <c s="16" r="I957"/>
      <c s="16" r="J957"/>
      <c s="16" r="K957"/>
      <c s="80" r="L957"/>
      <c s="79" r="M957"/>
      <c s="79" r="N957"/>
      <c s="79" r="O957"/>
      <c s="79" r="P957"/>
      <c s="17" r="Q957"/>
      <c s="17" r="R957"/>
      <c s="7" r="S957"/>
      <c s="7" r="T957"/>
      <c s="7" r="U957"/>
      <c s="7" r="V957"/>
      <c s="30" r="W957"/>
      <c s="30" r="X957"/>
      <c s="30" r="Y957"/>
      <c s="30" r="Z957"/>
      <c s="30" r="AA957"/>
      <c s="30" r="AB957"/>
      <c s="30" r="AC957"/>
      <c s="30" r="AD957"/>
      <c s="30" r="AE957"/>
      <c s="10" r="AF957"/>
      <c s="10" r="AG957"/>
      <c s="10" r="AH957"/>
      <c s="10" r="AI957"/>
      <c s="10" r="AJ957"/>
      <c s="10" r="AK957"/>
      <c s="30" r="AL957"/>
    </row>
    <row r="958">
      <c s="30" r="A958"/>
      <c s="30" r="B958"/>
      <c s="30" r="C958"/>
      <c s="30" r="D958"/>
      <c s="16" r="E958"/>
      <c s="16" r="F958"/>
      <c s="16" r="G958"/>
      <c s="16" r="H958"/>
      <c s="16" r="I958"/>
      <c s="16" r="J958"/>
      <c s="16" r="K958"/>
      <c s="80" r="L958"/>
      <c s="79" r="M958"/>
      <c s="79" r="N958"/>
      <c s="79" r="O958"/>
      <c s="79" r="P958"/>
      <c s="17" r="Q958"/>
      <c s="17" r="R958"/>
      <c s="7" r="S958"/>
      <c s="7" r="T958"/>
      <c s="7" r="U958"/>
      <c s="7" r="V958"/>
      <c s="30" r="W958"/>
      <c s="30" r="X958"/>
      <c s="30" r="Y958"/>
      <c s="30" r="Z958"/>
      <c s="30" r="AA958"/>
      <c s="30" r="AB958"/>
      <c s="30" r="AC958"/>
      <c s="30" r="AD958"/>
      <c s="30" r="AE958"/>
      <c s="10" r="AF958"/>
      <c s="10" r="AG958"/>
      <c s="10" r="AH958"/>
      <c s="10" r="AI958"/>
      <c s="10" r="AJ958"/>
      <c s="10" r="AK958"/>
      <c s="30" r="AL958"/>
    </row>
    <row r="959">
      <c s="30" r="A959"/>
      <c s="30" r="B959"/>
      <c s="30" r="C959"/>
      <c s="30" r="D959"/>
      <c s="16" r="E959"/>
      <c s="16" r="F959"/>
      <c s="16" r="G959"/>
      <c s="16" r="H959"/>
      <c s="16" r="I959"/>
      <c s="16" r="J959"/>
      <c s="16" r="K959"/>
      <c s="80" r="L959"/>
      <c s="79" r="M959"/>
      <c s="79" r="N959"/>
      <c s="79" r="O959"/>
      <c s="79" r="P959"/>
      <c s="17" r="Q959"/>
      <c s="17" r="R959"/>
      <c s="7" r="S959"/>
      <c s="7" r="T959"/>
      <c s="7" r="U959"/>
      <c s="7" r="V959"/>
      <c s="30" r="W959"/>
      <c s="30" r="X959"/>
      <c s="30" r="Y959"/>
      <c s="30" r="Z959"/>
      <c s="30" r="AA959"/>
      <c s="30" r="AB959"/>
      <c s="30" r="AC959"/>
      <c s="30" r="AD959"/>
      <c s="30" r="AE959"/>
      <c s="10" r="AF959"/>
      <c s="10" r="AG959"/>
      <c s="10" r="AH959"/>
      <c s="10" r="AI959"/>
      <c s="10" r="AJ959"/>
      <c s="10" r="AK959"/>
      <c s="30" r="AL959"/>
    </row>
    <row r="960">
      <c s="30" r="A960"/>
      <c s="30" r="B960"/>
      <c s="30" r="C960"/>
      <c s="30" r="D960"/>
      <c s="16" r="E960"/>
      <c s="16" r="F960"/>
      <c s="16" r="G960"/>
      <c s="16" r="H960"/>
      <c s="16" r="I960"/>
      <c s="16" r="J960"/>
      <c s="16" r="K960"/>
      <c s="80" r="L960"/>
      <c s="79" r="M960"/>
      <c s="79" r="N960"/>
      <c s="79" r="O960"/>
      <c s="79" r="P960"/>
      <c s="17" r="Q960"/>
      <c s="17" r="R960"/>
      <c s="7" r="S960"/>
      <c s="7" r="T960"/>
      <c s="7" r="U960"/>
      <c s="7" r="V960"/>
      <c s="30" r="W960"/>
      <c s="30" r="X960"/>
      <c s="30" r="Y960"/>
      <c s="30" r="Z960"/>
      <c s="30" r="AA960"/>
      <c s="30" r="AB960"/>
      <c s="30" r="AC960"/>
      <c s="30" r="AD960"/>
      <c s="30" r="AE960"/>
      <c s="10" r="AF960"/>
      <c s="10" r="AG960"/>
      <c s="10" r="AH960"/>
      <c s="10" r="AI960"/>
      <c s="10" r="AJ960"/>
      <c s="10" r="AK960"/>
      <c s="30" r="AL960"/>
    </row>
    <row r="961">
      <c s="30" r="A961"/>
      <c s="30" r="B961"/>
      <c s="30" r="C961"/>
      <c s="30" r="D961"/>
      <c s="16" r="E961"/>
      <c s="16" r="F961"/>
      <c s="16" r="G961"/>
      <c s="16" r="H961"/>
      <c s="16" r="I961"/>
      <c s="16" r="J961"/>
      <c s="16" r="K961"/>
      <c s="80" r="L961"/>
      <c s="79" r="M961"/>
      <c s="79" r="N961"/>
      <c s="79" r="O961"/>
      <c s="79" r="P961"/>
      <c s="17" r="Q961"/>
      <c s="17" r="R961"/>
      <c s="7" r="S961"/>
      <c s="7" r="T961"/>
      <c s="7" r="U961"/>
      <c s="7" r="V961"/>
      <c s="30" r="W961"/>
      <c s="30" r="X961"/>
      <c s="30" r="Y961"/>
      <c s="30" r="Z961"/>
      <c s="30" r="AA961"/>
      <c s="30" r="AB961"/>
      <c s="30" r="AC961"/>
      <c s="30" r="AD961"/>
      <c s="30" r="AE961"/>
      <c s="10" r="AF961"/>
      <c s="10" r="AG961"/>
      <c s="10" r="AH961"/>
      <c s="10" r="AI961"/>
      <c s="10" r="AJ961"/>
      <c s="10" r="AK961"/>
      <c s="30" r="AL961"/>
    </row>
    <row r="962">
      <c s="30" r="A962"/>
      <c s="30" r="B962"/>
      <c s="30" r="C962"/>
      <c s="30" r="D962"/>
      <c s="16" r="E962"/>
      <c s="16" r="F962"/>
      <c s="16" r="G962"/>
      <c s="16" r="H962"/>
      <c s="16" r="I962"/>
      <c s="16" r="J962"/>
      <c s="16" r="K962"/>
      <c s="80" r="L962"/>
      <c s="79" r="M962"/>
      <c s="79" r="N962"/>
      <c s="79" r="O962"/>
      <c s="79" r="P962"/>
      <c s="17" r="Q962"/>
      <c s="17" r="R962"/>
      <c s="7" r="S962"/>
      <c s="7" r="T962"/>
      <c s="7" r="U962"/>
      <c s="7" r="V962"/>
      <c s="30" r="W962"/>
      <c s="30" r="X962"/>
      <c s="30" r="Y962"/>
      <c s="30" r="Z962"/>
      <c s="30" r="AA962"/>
      <c s="30" r="AB962"/>
      <c s="30" r="AC962"/>
      <c s="30" r="AD962"/>
      <c s="30" r="AE962"/>
      <c s="10" r="AF962"/>
      <c s="10" r="AG962"/>
      <c s="10" r="AH962"/>
      <c s="10" r="AI962"/>
      <c s="10" r="AJ962"/>
      <c s="10" r="AK962"/>
      <c s="30" r="AL962"/>
    </row>
    <row r="963">
      <c s="30" r="A963"/>
      <c s="30" r="B963"/>
      <c s="30" r="C963"/>
      <c s="30" r="D963"/>
      <c s="16" r="E963"/>
      <c s="16" r="F963"/>
      <c s="16" r="G963"/>
      <c s="16" r="H963"/>
      <c s="16" r="I963"/>
      <c s="16" r="J963"/>
      <c s="16" r="K963"/>
      <c s="80" r="L963"/>
      <c s="79" r="M963"/>
      <c s="79" r="N963"/>
      <c s="79" r="O963"/>
      <c s="79" r="P963"/>
      <c s="17" r="Q963"/>
      <c s="17" r="R963"/>
      <c s="7" r="S963"/>
      <c s="7" r="T963"/>
      <c s="7" r="U963"/>
      <c s="7" r="V963"/>
      <c s="30" r="W963"/>
      <c s="30" r="X963"/>
      <c s="30" r="Y963"/>
      <c s="30" r="Z963"/>
      <c s="30" r="AA963"/>
      <c s="30" r="AB963"/>
      <c s="30" r="AC963"/>
      <c s="30" r="AD963"/>
      <c s="30" r="AE963"/>
      <c s="10" r="AF963"/>
      <c s="10" r="AG963"/>
      <c s="10" r="AH963"/>
      <c s="10" r="AI963"/>
      <c s="10" r="AJ963"/>
      <c s="10" r="AK963"/>
      <c s="30" r="AL963"/>
    </row>
    <row r="964">
      <c s="30" r="A964"/>
      <c s="30" r="B964"/>
      <c s="30" r="C964"/>
      <c s="30" r="D964"/>
      <c s="16" r="E964"/>
      <c s="16" r="F964"/>
      <c s="16" r="G964"/>
      <c s="16" r="H964"/>
      <c s="16" r="I964"/>
      <c s="16" r="J964"/>
      <c s="16" r="K964"/>
      <c s="80" r="L964"/>
      <c s="79" r="M964"/>
      <c s="79" r="N964"/>
      <c s="79" r="O964"/>
      <c s="79" r="P964"/>
      <c s="17" r="Q964"/>
      <c s="17" r="R964"/>
      <c s="7" r="S964"/>
      <c s="7" r="T964"/>
      <c s="7" r="U964"/>
      <c s="7" r="V964"/>
      <c s="30" r="W964"/>
      <c s="30" r="X964"/>
      <c s="30" r="Y964"/>
      <c s="30" r="Z964"/>
      <c s="30" r="AA964"/>
      <c s="30" r="AB964"/>
      <c s="30" r="AC964"/>
      <c s="30" r="AD964"/>
      <c s="30" r="AE964"/>
      <c s="10" r="AF964"/>
      <c s="10" r="AG964"/>
      <c s="10" r="AH964"/>
      <c s="10" r="AI964"/>
      <c s="10" r="AJ964"/>
      <c s="10" r="AK964"/>
      <c s="30" r="AL964"/>
    </row>
    <row r="965">
      <c s="30" r="A965"/>
      <c s="30" r="B965"/>
      <c s="30" r="C965"/>
      <c s="30" r="D965"/>
      <c s="16" r="E965"/>
      <c s="16" r="F965"/>
      <c s="16" r="G965"/>
      <c s="16" r="H965"/>
      <c s="16" r="I965"/>
      <c s="16" r="J965"/>
      <c s="16" r="K965"/>
      <c s="80" r="L965"/>
      <c s="79" r="M965"/>
      <c s="79" r="N965"/>
      <c s="79" r="O965"/>
      <c s="79" r="P965"/>
      <c s="17" r="Q965"/>
      <c s="17" r="R965"/>
      <c s="7" r="S965"/>
      <c s="7" r="T965"/>
      <c s="7" r="U965"/>
      <c s="7" r="V965"/>
      <c s="30" r="W965"/>
      <c s="30" r="X965"/>
      <c s="30" r="Y965"/>
      <c s="30" r="Z965"/>
      <c s="30" r="AA965"/>
      <c s="30" r="AB965"/>
      <c s="30" r="AC965"/>
      <c s="30" r="AD965"/>
      <c s="30" r="AE965"/>
      <c s="10" r="AF965"/>
      <c s="10" r="AG965"/>
      <c s="10" r="AH965"/>
      <c s="10" r="AI965"/>
      <c s="10" r="AJ965"/>
      <c s="10" r="AK965"/>
      <c s="30" r="AL965"/>
    </row>
    <row r="966">
      <c s="30" r="A966"/>
      <c s="30" r="B966"/>
      <c s="30" r="C966"/>
      <c s="30" r="D966"/>
      <c s="16" r="E966"/>
      <c s="16" r="F966"/>
      <c s="16" r="G966"/>
      <c s="16" r="H966"/>
      <c s="16" r="I966"/>
      <c s="16" r="J966"/>
      <c s="16" r="K966"/>
      <c s="80" r="L966"/>
      <c s="79" r="M966"/>
      <c s="79" r="N966"/>
      <c s="79" r="O966"/>
      <c s="79" r="P966"/>
      <c s="17" r="Q966"/>
      <c s="17" r="R966"/>
      <c s="7" r="S966"/>
      <c s="7" r="T966"/>
      <c s="7" r="U966"/>
      <c s="7" r="V966"/>
      <c s="30" r="W966"/>
      <c s="30" r="X966"/>
      <c s="30" r="Y966"/>
      <c s="30" r="Z966"/>
      <c s="30" r="AA966"/>
      <c s="30" r="AB966"/>
      <c s="30" r="AC966"/>
      <c s="30" r="AD966"/>
      <c s="30" r="AE966"/>
      <c s="10" r="AF966"/>
      <c s="10" r="AG966"/>
      <c s="10" r="AH966"/>
      <c s="10" r="AI966"/>
      <c s="10" r="AJ966"/>
      <c s="10" r="AK966"/>
      <c s="30" r="AL966"/>
    </row>
    <row r="967">
      <c s="30" r="A967"/>
      <c s="30" r="B967"/>
      <c s="30" r="C967"/>
      <c s="30" r="D967"/>
      <c s="16" r="E967"/>
      <c s="16" r="F967"/>
      <c s="16" r="G967"/>
      <c s="16" r="H967"/>
      <c s="16" r="I967"/>
      <c s="16" r="J967"/>
      <c s="16" r="K967"/>
      <c s="80" r="L967"/>
      <c s="79" r="M967"/>
      <c s="79" r="N967"/>
      <c s="79" r="O967"/>
      <c s="79" r="P967"/>
      <c s="17" r="Q967"/>
      <c s="17" r="R967"/>
      <c s="7" r="S967"/>
      <c s="7" r="T967"/>
      <c s="7" r="U967"/>
      <c s="7" r="V967"/>
      <c s="30" r="W967"/>
      <c s="30" r="X967"/>
      <c s="30" r="Y967"/>
      <c s="30" r="Z967"/>
      <c s="30" r="AA967"/>
      <c s="30" r="AB967"/>
      <c s="30" r="AC967"/>
      <c s="30" r="AD967"/>
      <c s="30" r="AE967"/>
      <c s="10" r="AF967"/>
      <c s="10" r="AG967"/>
      <c s="10" r="AH967"/>
      <c s="10" r="AI967"/>
      <c s="10" r="AJ967"/>
      <c s="10" r="AK967"/>
      <c s="30" r="AL967"/>
    </row>
    <row r="968">
      <c s="30" r="A968"/>
      <c s="30" r="B968"/>
      <c s="30" r="C968"/>
      <c s="30" r="D968"/>
      <c s="16" r="E968"/>
      <c s="16" r="F968"/>
      <c s="16" r="G968"/>
      <c s="16" r="H968"/>
      <c s="16" r="I968"/>
      <c s="16" r="J968"/>
      <c s="16" r="K968"/>
      <c s="80" r="L968"/>
      <c s="79" r="M968"/>
      <c s="79" r="N968"/>
      <c s="79" r="O968"/>
      <c s="79" r="P968"/>
      <c s="17" r="Q968"/>
      <c s="17" r="R968"/>
      <c s="7" r="S968"/>
      <c s="7" r="T968"/>
      <c s="7" r="U968"/>
      <c s="7" r="V968"/>
      <c s="30" r="W968"/>
      <c s="30" r="X968"/>
      <c s="30" r="Y968"/>
      <c s="30" r="Z968"/>
      <c s="30" r="AA968"/>
      <c s="30" r="AB968"/>
      <c s="30" r="AC968"/>
      <c s="30" r="AD968"/>
      <c s="30" r="AE968"/>
      <c s="10" r="AF968"/>
      <c s="10" r="AG968"/>
      <c s="10" r="AH968"/>
      <c s="10" r="AI968"/>
      <c s="10" r="AJ968"/>
      <c s="10" r="AK968"/>
      <c s="30" r="AL968"/>
    </row>
    <row r="969">
      <c s="30" r="A969"/>
      <c s="30" r="B969"/>
      <c s="30" r="C969"/>
      <c s="30" r="D969"/>
      <c s="16" r="E969"/>
      <c s="16" r="F969"/>
      <c s="16" r="G969"/>
      <c s="16" r="H969"/>
      <c s="16" r="I969"/>
      <c s="16" r="J969"/>
      <c s="16" r="K969"/>
      <c s="80" r="L969"/>
      <c s="79" r="M969"/>
      <c s="79" r="N969"/>
      <c s="79" r="O969"/>
      <c s="79" r="P969"/>
      <c s="17" r="Q969"/>
      <c s="17" r="R969"/>
      <c s="7" r="S969"/>
      <c s="7" r="T969"/>
      <c s="7" r="U969"/>
      <c s="7" r="V969"/>
      <c s="30" r="W969"/>
      <c s="30" r="X969"/>
      <c s="30" r="Y969"/>
      <c s="30" r="Z969"/>
      <c s="30" r="AA969"/>
      <c s="30" r="AB969"/>
      <c s="30" r="AC969"/>
      <c s="30" r="AD969"/>
      <c s="30" r="AE969"/>
      <c s="10" r="AF969"/>
      <c s="10" r="AG969"/>
      <c s="10" r="AH969"/>
      <c s="10" r="AI969"/>
      <c s="10" r="AJ969"/>
      <c s="10" r="AK969"/>
      <c s="30" r="AL969"/>
    </row>
    <row r="970">
      <c s="30" r="A970"/>
      <c s="30" r="B970"/>
      <c s="30" r="C970"/>
      <c s="30" r="D970"/>
      <c s="16" r="E970"/>
      <c s="16" r="F970"/>
      <c s="16" r="G970"/>
      <c s="16" r="H970"/>
      <c s="16" r="I970"/>
      <c s="16" r="J970"/>
      <c s="16" r="K970"/>
      <c s="80" r="L970"/>
      <c s="79" r="M970"/>
      <c s="79" r="N970"/>
      <c s="79" r="O970"/>
      <c s="79" r="P970"/>
      <c s="17" r="Q970"/>
      <c s="17" r="R970"/>
      <c s="7" r="S970"/>
      <c s="7" r="T970"/>
      <c s="7" r="U970"/>
      <c s="7" r="V970"/>
      <c s="30" r="W970"/>
      <c s="30" r="X970"/>
      <c s="30" r="Y970"/>
      <c s="30" r="Z970"/>
      <c s="30" r="AA970"/>
      <c s="30" r="AB970"/>
      <c s="30" r="AC970"/>
      <c s="30" r="AD970"/>
      <c s="30" r="AE970"/>
      <c s="10" r="AF970"/>
      <c s="10" r="AG970"/>
      <c s="10" r="AH970"/>
      <c s="10" r="AI970"/>
      <c s="10" r="AJ970"/>
      <c s="10" r="AK970"/>
      <c s="30" r="AL970"/>
    </row>
    <row r="971">
      <c s="30" r="A971"/>
      <c s="30" r="B971"/>
      <c s="30" r="C971"/>
      <c s="30" r="D971"/>
      <c s="16" r="E971"/>
      <c s="16" r="F971"/>
      <c s="16" r="G971"/>
      <c s="16" r="H971"/>
      <c s="16" r="I971"/>
      <c s="16" r="J971"/>
      <c s="16" r="K971"/>
      <c s="80" r="L971"/>
      <c s="79" r="M971"/>
      <c s="79" r="N971"/>
      <c s="79" r="O971"/>
      <c s="79" r="P971"/>
      <c s="17" r="Q971"/>
      <c s="17" r="R971"/>
      <c s="7" r="S971"/>
      <c s="7" r="T971"/>
      <c s="7" r="U971"/>
      <c s="7" r="V971"/>
      <c s="30" r="W971"/>
      <c s="30" r="X971"/>
      <c s="30" r="Y971"/>
      <c s="30" r="Z971"/>
      <c s="30" r="AA971"/>
      <c s="30" r="AB971"/>
      <c s="30" r="AC971"/>
      <c s="30" r="AD971"/>
      <c s="30" r="AE971"/>
      <c s="10" r="AF971"/>
      <c s="10" r="AG971"/>
      <c s="10" r="AH971"/>
      <c s="10" r="AI971"/>
      <c s="10" r="AJ971"/>
      <c s="10" r="AK971"/>
      <c s="30" r="AL971"/>
    </row>
    <row r="972">
      <c s="30" r="A972"/>
      <c s="30" r="B972"/>
      <c s="30" r="C972"/>
      <c s="30" r="D972"/>
      <c s="16" r="E972"/>
      <c s="16" r="F972"/>
      <c s="16" r="G972"/>
      <c s="16" r="H972"/>
      <c s="16" r="I972"/>
      <c s="16" r="J972"/>
      <c s="16" r="K972"/>
      <c s="80" r="L972"/>
      <c s="79" r="M972"/>
      <c s="79" r="N972"/>
      <c s="79" r="O972"/>
      <c s="79" r="P972"/>
      <c s="17" r="Q972"/>
      <c s="17" r="R972"/>
      <c s="7" r="S972"/>
      <c s="7" r="T972"/>
      <c s="7" r="U972"/>
      <c s="7" r="V972"/>
      <c s="30" r="W972"/>
      <c s="30" r="X972"/>
      <c s="30" r="Y972"/>
      <c s="30" r="Z972"/>
      <c s="30" r="AA972"/>
      <c s="30" r="AB972"/>
      <c s="30" r="AC972"/>
      <c s="30" r="AD972"/>
      <c s="30" r="AE972"/>
      <c s="10" r="AF972"/>
      <c s="10" r="AG972"/>
      <c s="10" r="AH972"/>
      <c s="10" r="AI972"/>
      <c s="10" r="AJ972"/>
      <c s="10" r="AK972"/>
      <c s="30" r="AL972"/>
    </row>
    <row r="973">
      <c s="30" r="A973"/>
      <c s="30" r="B973"/>
      <c s="30" r="C973"/>
      <c s="30" r="D973"/>
      <c s="16" r="E973"/>
      <c s="16" r="F973"/>
      <c s="16" r="G973"/>
      <c s="16" r="H973"/>
      <c s="16" r="I973"/>
      <c s="16" r="J973"/>
      <c s="16" r="K973"/>
      <c s="80" r="L973"/>
      <c s="79" r="M973"/>
      <c s="79" r="N973"/>
      <c s="79" r="O973"/>
      <c s="79" r="P973"/>
      <c s="17" r="Q973"/>
      <c s="17" r="R973"/>
      <c s="7" r="S973"/>
      <c s="7" r="T973"/>
      <c s="7" r="U973"/>
      <c s="7" r="V973"/>
      <c s="30" r="W973"/>
      <c s="30" r="X973"/>
      <c s="30" r="Y973"/>
      <c s="30" r="Z973"/>
      <c s="30" r="AA973"/>
      <c s="30" r="AB973"/>
      <c s="30" r="AC973"/>
      <c s="30" r="AD973"/>
      <c s="30" r="AE973"/>
      <c s="10" r="AF973"/>
      <c s="10" r="AG973"/>
      <c s="10" r="AH973"/>
      <c s="10" r="AI973"/>
      <c s="10" r="AJ973"/>
      <c s="10" r="AK973"/>
      <c s="30" r="AL973"/>
    </row>
    <row r="974">
      <c s="30" r="A974"/>
      <c s="30" r="B974"/>
      <c s="30" r="C974"/>
      <c s="30" r="D974"/>
      <c s="16" r="E974"/>
      <c s="16" r="F974"/>
      <c s="16" r="G974"/>
      <c s="16" r="H974"/>
      <c s="16" r="I974"/>
      <c s="16" r="J974"/>
      <c s="16" r="K974"/>
      <c s="80" r="L974"/>
      <c s="79" r="M974"/>
      <c s="79" r="N974"/>
      <c s="79" r="O974"/>
      <c s="79" r="P974"/>
      <c s="17" r="Q974"/>
      <c s="17" r="R974"/>
      <c s="7" r="S974"/>
      <c s="7" r="T974"/>
      <c s="7" r="U974"/>
      <c s="7" r="V974"/>
      <c s="30" r="W974"/>
      <c s="30" r="X974"/>
      <c s="30" r="Y974"/>
      <c s="30" r="Z974"/>
      <c s="30" r="AA974"/>
      <c s="30" r="AB974"/>
      <c s="30" r="AC974"/>
      <c s="30" r="AD974"/>
      <c s="30" r="AE974"/>
      <c s="10" r="AF974"/>
      <c s="10" r="AG974"/>
      <c s="10" r="AH974"/>
      <c s="10" r="AI974"/>
      <c s="10" r="AJ974"/>
      <c s="10" r="AK974"/>
      <c s="30" r="AL974"/>
    </row>
    <row r="975">
      <c s="30" r="A975"/>
      <c s="30" r="B975"/>
      <c s="30" r="C975"/>
      <c s="30" r="D975"/>
      <c s="16" r="E975"/>
      <c s="16" r="F975"/>
      <c s="16" r="G975"/>
      <c s="16" r="H975"/>
      <c s="16" r="I975"/>
      <c s="16" r="J975"/>
      <c s="16" r="K975"/>
      <c s="80" r="L975"/>
      <c s="79" r="M975"/>
      <c s="79" r="N975"/>
      <c s="79" r="O975"/>
      <c s="79" r="P975"/>
      <c s="17" r="Q975"/>
      <c s="17" r="R975"/>
      <c s="7" r="S975"/>
      <c s="7" r="T975"/>
      <c s="7" r="U975"/>
      <c s="7" r="V975"/>
      <c s="30" r="W975"/>
      <c s="30" r="X975"/>
      <c s="30" r="Y975"/>
      <c s="30" r="Z975"/>
      <c s="30" r="AA975"/>
      <c s="30" r="AB975"/>
      <c s="30" r="AC975"/>
      <c s="30" r="AD975"/>
      <c s="30" r="AE975"/>
      <c s="10" r="AF975"/>
      <c s="10" r="AG975"/>
      <c s="10" r="AH975"/>
      <c s="10" r="AI975"/>
      <c s="10" r="AJ975"/>
      <c s="10" r="AK975"/>
      <c s="30" r="AL975"/>
    </row>
    <row r="976">
      <c s="30" r="A976"/>
      <c s="30" r="B976"/>
      <c s="30" r="C976"/>
      <c s="30" r="D976"/>
      <c s="16" r="E976"/>
      <c s="16" r="F976"/>
      <c s="16" r="G976"/>
      <c s="16" r="H976"/>
      <c s="16" r="I976"/>
      <c s="16" r="J976"/>
      <c s="16" r="K976"/>
      <c s="80" r="L976"/>
      <c s="79" r="M976"/>
      <c s="79" r="N976"/>
      <c s="79" r="O976"/>
      <c s="79" r="P976"/>
      <c s="17" r="Q976"/>
      <c s="17" r="R976"/>
      <c s="7" r="S976"/>
      <c s="7" r="T976"/>
      <c s="7" r="U976"/>
      <c s="7" r="V976"/>
      <c s="30" r="W976"/>
      <c s="30" r="X976"/>
      <c s="30" r="Y976"/>
      <c s="30" r="Z976"/>
      <c s="30" r="AA976"/>
      <c s="30" r="AB976"/>
      <c s="30" r="AC976"/>
      <c s="30" r="AD976"/>
      <c s="30" r="AE976"/>
      <c s="10" r="AF976"/>
      <c s="10" r="AG976"/>
      <c s="10" r="AH976"/>
      <c s="10" r="AI976"/>
      <c s="10" r="AJ976"/>
      <c s="10" r="AK976"/>
      <c s="30" r="AL976"/>
    </row>
    <row r="977">
      <c s="30" r="A977"/>
      <c s="30" r="B977"/>
      <c s="30" r="C977"/>
      <c s="30" r="D977"/>
      <c s="16" r="E977"/>
      <c s="16" r="F977"/>
      <c s="16" r="G977"/>
      <c s="16" r="H977"/>
      <c s="16" r="I977"/>
      <c s="16" r="J977"/>
      <c s="16" r="K977"/>
      <c s="80" r="L977"/>
      <c s="79" r="M977"/>
      <c s="79" r="N977"/>
      <c s="79" r="O977"/>
      <c s="79" r="P977"/>
      <c s="17" r="Q977"/>
      <c s="17" r="R977"/>
      <c s="7" r="S977"/>
      <c s="7" r="T977"/>
      <c s="7" r="U977"/>
      <c s="7" r="V977"/>
      <c s="30" r="W977"/>
      <c s="30" r="X977"/>
      <c s="30" r="Y977"/>
      <c s="30" r="Z977"/>
      <c s="30" r="AA977"/>
      <c s="30" r="AB977"/>
      <c s="30" r="AC977"/>
      <c s="30" r="AD977"/>
      <c s="30" r="AE977"/>
      <c s="10" r="AF977"/>
      <c s="10" r="AG977"/>
      <c s="10" r="AH977"/>
      <c s="10" r="AI977"/>
      <c s="10" r="AJ977"/>
      <c s="10" r="AK977"/>
      <c s="30" r="AL977"/>
    </row>
    <row r="978">
      <c s="30" r="A978"/>
      <c s="30" r="B978"/>
      <c s="30" r="C978"/>
      <c s="30" r="D978"/>
      <c s="16" r="E978"/>
      <c s="16" r="F978"/>
      <c s="16" r="G978"/>
      <c s="16" r="H978"/>
      <c s="16" r="I978"/>
      <c s="16" r="J978"/>
      <c s="16" r="K978"/>
      <c s="80" r="L978"/>
      <c s="79" r="M978"/>
      <c s="79" r="N978"/>
      <c s="79" r="O978"/>
      <c s="79" r="P978"/>
      <c s="17" r="Q978"/>
      <c s="17" r="R978"/>
      <c s="7" r="S978"/>
      <c s="7" r="T978"/>
      <c s="7" r="U978"/>
      <c s="7" r="V978"/>
      <c s="30" r="W978"/>
      <c s="30" r="X978"/>
      <c s="30" r="Y978"/>
      <c s="30" r="Z978"/>
      <c s="30" r="AA978"/>
      <c s="30" r="AB978"/>
      <c s="30" r="AC978"/>
      <c s="30" r="AD978"/>
      <c s="30" r="AE978"/>
      <c s="10" r="AF978"/>
      <c s="10" r="AG978"/>
      <c s="10" r="AH978"/>
      <c s="10" r="AI978"/>
      <c s="10" r="AJ978"/>
      <c s="10" r="AK978"/>
      <c s="30" r="AL978"/>
    </row>
    <row r="979">
      <c s="30" r="A979"/>
      <c s="30" r="B979"/>
      <c s="30" r="C979"/>
      <c s="30" r="D979"/>
      <c s="16" r="E979"/>
      <c s="16" r="F979"/>
      <c s="16" r="G979"/>
      <c s="16" r="H979"/>
      <c s="16" r="I979"/>
      <c s="16" r="J979"/>
      <c s="16" r="K979"/>
      <c s="80" r="L979"/>
      <c s="79" r="M979"/>
      <c s="79" r="N979"/>
      <c s="79" r="O979"/>
      <c s="79" r="P979"/>
      <c s="17" r="Q979"/>
      <c s="17" r="R979"/>
      <c s="7" r="S979"/>
      <c s="7" r="T979"/>
      <c s="7" r="U979"/>
      <c s="7" r="V979"/>
      <c s="30" r="W979"/>
      <c s="30" r="X979"/>
      <c s="30" r="Y979"/>
      <c s="30" r="Z979"/>
      <c s="30" r="AA979"/>
      <c s="30" r="AB979"/>
      <c s="30" r="AC979"/>
      <c s="30" r="AD979"/>
      <c s="30" r="AE979"/>
      <c s="10" r="AF979"/>
      <c s="10" r="AG979"/>
      <c s="10" r="AH979"/>
      <c s="10" r="AI979"/>
      <c s="10" r="AJ979"/>
      <c s="10" r="AK979"/>
      <c s="30" r="AL979"/>
    </row>
    <row r="980">
      <c s="30" r="A980"/>
      <c s="30" r="B980"/>
      <c s="30" r="C980"/>
      <c s="30" r="D980"/>
      <c s="16" r="E980"/>
      <c s="16" r="F980"/>
      <c s="16" r="G980"/>
      <c s="16" r="H980"/>
      <c s="16" r="I980"/>
      <c s="16" r="J980"/>
      <c s="16" r="K980"/>
      <c s="80" r="L980"/>
      <c s="79" r="M980"/>
      <c s="79" r="N980"/>
      <c s="79" r="O980"/>
      <c s="79" r="P980"/>
      <c s="17" r="Q980"/>
      <c s="17" r="R980"/>
      <c s="7" r="S980"/>
      <c s="7" r="T980"/>
      <c s="7" r="U980"/>
      <c s="7" r="V980"/>
      <c s="30" r="W980"/>
      <c s="30" r="X980"/>
      <c s="30" r="Y980"/>
      <c s="30" r="Z980"/>
      <c s="30" r="AA980"/>
      <c s="30" r="AB980"/>
      <c s="30" r="AC980"/>
      <c s="30" r="AD980"/>
      <c s="30" r="AE980"/>
      <c s="10" r="AF980"/>
      <c s="10" r="AG980"/>
      <c s="10" r="AH980"/>
      <c s="10" r="AI980"/>
      <c s="10" r="AJ980"/>
      <c s="10" r="AK980"/>
      <c s="30" r="AL980"/>
    </row>
    <row r="981">
      <c s="30" r="A981"/>
      <c s="30" r="B981"/>
      <c s="30" r="C981"/>
      <c s="30" r="D981"/>
      <c s="16" r="E981"/>
      <c s="16" r="F981"/>
      <c s="16" r="G981"/>
      <c s="16" r="H981"/>
      <c s="16" r="I981"/>
      <c s="16" r="J981"/>
      <c s="16" r="K981"/>
      <c s="80" r="L981"/>
      <c s="79" r="M981"/>
      <c s="79" r="N981"/>
      <c s="79" r="O981"/>
      <c s="79" r="P981"/>
      <c s="17" r="Q981"/>
      <c s="17" r="R981"/>
      <c s="7" r="S981"/>
      <c s="7" r="T981"/>
      <c s="7" r="U981"/>
      <c s="7" r="V981"/>
      <c s="30" r="W981"/>
      <c s="30" r="X981"/>
      <c s="30" r="Y981"/>
      <c s="30" r="Z981"/>
      <c s="30" r="AA981"/>
      <c s="30" r="AB981"/>
      <c s="30" r="AC981"/>
      <c s="30" r="AD981"/>
      <c s="30" r="AE981"/>
      <c s="10" r="AF981"/>
      <c s="10" r="AG981"/>
      <c s="10" r="AH981"/>
      <c s="10" r="AI981"/>
      <c s="10" r="AJ981"/>
      <c s="10" r="AK981"/>
      <c s="30" r="AL981"/>
    </row>
    <row r="982">
      <c s="30" r="A982"/>
      <c s="30" r="B982"/>
      <c s="30" r="C982"/>
      <c s="30" r="D982"/>
      <c s="16" r="E982"/>
      <c s="16" r="F982"/>
      <c s="16" r="G982"/>
      <c s="16" r="H982"/>
      <c s="16" r="I982"/>
      <c s="16" r="J982"/>
      <c s="16" r="K982"/>
      <c s="80" r="L982"/>
      <c s="79" r="M982"/>
      <c s="79" r="N982"/>
      <c s="79" r="O982"/>
      <c s="79" r="P982"/>
      <c s="17" r="Q982"/>
      <c s="17" r="R982"/>
      <c s="7" r="S982"/>
      <c s="7" r="T982"/>
      <c s="7" r="U982"/>
      <c s="7" r="V982"/>
      <c s="30" r="W982"/>
      <c s="30" r="X982"/>
      <c s="30" r="Y982"/>
      <c s="30" r="Z982"/>
      <c s="30" r="AA982"/>
      <c s="30" r="AB982"/>
      <c s="30" r="AC982"/>
      <c s="30" r="AD982"/>
      <c s="30" r="AE982"/>
      <c s="10" r="AF982"/>
      <c s="10" r="AG982"/>
      <c s="10" r="AH982"/>
      <c s="10" r="AI982"/>
      <c s="10" r="AJ982"/>
      <c s="10" r="AK982"/>
      <c s="30" r="AL982"/>
    </row>
    <row r="983">
      <c s="30" r="A983"/>
      <c s="30" r="B983"/>
      <c s="30" r="C983"/>
      <c s="30" r="D983"/>
      <c s="16" r="E983"/>
      <c s="16" r="F983"/>
      <c s="16" r="G983"/>
      <c s="16" r="H983"/>
      <c s="16" r="I983"/>
      <c s="16" r="J983"/>
      <c s="16" r="K983"/>
      <c s="80" r="L983"/>
      <c s="79" r="M983"/>
      <c s="79" r="N983"/>
      <c s="79" r="O983"/>
      <c s="79" r="P983"/>
      <c s="17" r="Q983"/>
      <c s="17" r="R983"/>
      <c s="7" r="S983"/>
      <c s="7" r="T983"/>
      <c s="7" r="U983"/>
      <c s="7" r="V983"/>
      <c s="30" r="W983"/>
      <c s="30" r="X983"/>
      <c s="30" r="Y983"/>
      <c s="30" r="Z983"/>
      <c s="30" r="AA983"/>
      <c s="30" r="AB983"/>
      <c s="30" r="AC983"/>
      <c s="30" r="AD983"/>
      <c s="30" r="AE983"/>
      <c s="10" r="AF983"/>
      <c s="10" r="AG983"/>
      <c s="10" r="AH983"/>
      <c s="10" r="AI983"/>
      <c s="10" r="AJ983"/>
      <c s="10" r="AK983"/>
      <c s="30" r="AL983"/>
    </row>
    <row r="984">
      <c s="30" r="A984"/>
      <c s="30" r="B984"/>
      <c s="30" r="C984"/>
      <c s="30" r="D984"/>
      <c s="16" r="E984"/>
      <c s="16" r="F984"/>
      <c s="16" r="G984"/>
      <c s="16" r="H984"/>
      <c s="16" r="I984"/>
      <c s="16" r="J984"/>
      <c s="16" r="K984"/>
      <c s="80" r="L984"/>
      <c s="79" r="M984"/>
      <c s="79" r="N984"/>
      <c s="79" r="O984"/>
      <c s="79" r="P984"/>
      <c s="17" r="Q984"/>
      <c s="17" r="R984"/>
      <c s="7" r="S984"/>
      <c s="7" r="T984"/>
      <c s="7" r="U984"/>
      <c s="7" r="V984"/>
      <c s="30" r="W984"/>
      <c s="30" r="X984"/>
      <c s="30" r="Y984"/>
      <c s="30" r="Z984"/>
      <c s="30" r="AA984"/>
      <c s="30" r="AB984"/>
      <c s="30" r="AC984"/>
      <c s="30" r="AD984"/>
      <c s="30" r="AE984"/>
      <c s="10" r="AF984"/>
      <c s="10" r="AG984"/>
      <c s="10" r="AH984"/>
      <c s="10" r="AI984"/>
      <c s="10" r="AJ984"/>
      <c s="10" r="AK984"/>
      <c s="30" r="AL984"/>
    </row>
    <row r="985">
      <c s="30" r="A985"/>
      <c s="30" r="B985"/>
      <c s="30" r="C985"/>
      <c s="30" r="D985"/>
      <c s="16" r="E985"/>
      <c s="16" r="F985"/>
      <c s="16" r="G985"/>
      <c s="16" r="H985"/>
      <c s="16" r="I985"/>
      <c s="16" r="J985"/>
      <c s="16" r="K985"/>
      <c s="80" r="L985"/>
      <c s="79" r="M985"/>
      <c s="79" r="N985"/>
      <c s="79" r="O985"/>
      <c s="79" r="P985"/>
      <c s="17" r="Q985"/>
      <c s="17" r="R985"/>
      <c s="7" r="S985"/>
      <c s="7" r="T985"/>
      <c s="7" r="U985"/>
      <c s="7" r="V985"/>
      <c s="30" r="W985"/>
      <c s="30" r="X985"/>
      <c s="30" r="Y985"/>
      <c s="30" r="Z985"/>
      <c s="30" r="AA985"/>
      <c s="30" r="AB985"/>
      <c s="30" r="AC985"/>
      <c s="30" r="AD985"/>
      <c s="30" r="AE985"/>
      <c s="10" r="AF985"/>
      <c s="10" r="AG985"/>
      <c s="10" r="AH985"/>
      <c s="10" r="AI985"/>
      <c s="10" r="AJ985"/>
      <c s="10" r="AK985"/>
      <c s="30" r="AL985"/>
    </row>
    <row r="986">
      <c s="30" r="A986"/>
      <c s="30" r="B986"/>
      <c s="30" r="C986"/>
      <c s="30" r="D986"/>
      <c s="16" r="E986"/>
      <c s="16" r="F986"/>
      <c s="16" r="G986"/>
      <c s="16" r="H986"/>
      <c s="16" r="I986"/>
      <c s="16" r="J986"/>
      <c s="16" r="K986"/>
      <c s="80" r="L986"/>
      <c s="79" r="M986"/>
      <c s="79" r="N986"/>
      <c s="79" r="O986"/>
      <c s="79" r="P986"/>
      <c s="17" r="Q986"/>
      <c s="17" r="R986"/>
      <c s="7" r="S986"/>
      <c s="7" r="T986"/>
      <c s="7" r="U986"/>
      <c s="7" r="V986"/>
      <c s="30" r="W986"/>
      <c s="30" r="X986"/>
      <c s="30" r="Y986"/>
      <c s="30" r="Z986"/>
      <c s="30" r="AA986"/>
      <c s="30" r="AB986"/>
      <c s="30" r="AC986"/>
      <c s="30" r="AD986"/>
      <c s="30" r="AE986"/>
      <c s="10" r="AF986"/>
      <c s="10" r="AG986"/>
      <c s="10" r="AH986"/>
      <c s="10" r="AI986"/>
      <c s="10" r="AJ986"/>
      <c s="10" r="AK986"/>
      <c s="30" r="AL986"/>
    </row>
    <row r="987">
      <c s="30" r="A987"/>
      <c s="30" r="B987"/>
      <c s="30" r="C987"/>
      <c s="30" r="D987"/>
      <c s="16" r="E987"/>
      <c s="16" r="F987"/>
      <c s="16" r="G987"/>
      <c s="16" r="H987"/>
      <c s="16" r="I987"/>
      <c s="16" r="J987"/>
      <c s="16" r="K987"/>
      <c s="80" r="L987"/>
      <c s="79" r="M987"/>
      <c s="79" r="N987"/>
      <c s="79" r="O987"/>
      <c s="79" r="P987"/>
      <c s="17" r="Q987"/>
      <c s="17" r="R987"/>
      <c s="7" r="S987"/>
      <c s="7" r="T987"/>
      <c s="7" r="U987"/>
      <c s="7" r="V987"/>
      <c s="30" r="W987"/>
      <c s="30" r="X987"/>
      <c s="30" r="Y987"/>
      <c s="30" r="Z987"/>
      <c s="30" r="AA987"/>
      <c s="30" r="AB987"/>
      <c s="30" r="AC987"/>
      <c s="30" r="AD987"/>
      <c s="30" r="AE987"/>
      <c s="10" r="AF987"/>
      <c s="10" r="AG987"/>
      <c s="10" r="AH987"/>
      <c s="10" r="AI987"/>
      <c s="10" r="AJ987"/>
      <c s="10" r="AK987"/>
      <c s="30" r="AL987"/>
    </row>
    <row r="988">
      <c s="30" r="A988"/>
      <c s="30" r="B988"/>
      <c s="30" r="C988"/>
      <c s="30" r="D988"/>
      <c s="16" r="E988"/>
      <c s="16" r="F988"/>
      <c s="16" r="G988"/>
      <c s="16" r="H988"/>
      <c s="16" r="I988"/>
      <c s="16" r="J988"/>
      <c s="16" r="K988"/>
      <c s="80" r="L988"/>
      <c s="79" r="M988"/>
      <c s="79" r="N988"/>
      <c s="79" r="O988"/>
      <c s="79" r="P988"/>
      <c s="17" r="Q988"/>
      <c s="17" r="R988"/>
      <c s="7" r="S988"/>
      <c s="7" r="T988"/>
      <c s="7" r="U988"/>
      <c s="7" r="V988"/>
      <c s="30" r="W988"/>
      <c s="30" r="X988"/>
      <c s="30" r="Y988"/>
      <c s="30" r="Z988"/>
      <c s="30" r="AA988"/>
      <c s="30" r="AB988"/>
      <c s="30" r="AC988"/>
      <c s="30" r="AD988"/>
      <c s="30" r="AE988"/>
      <c s="10" r="AF988"/>
      <c s="10" r="AG988"/>
      <c s="10" r="AH988"/>
      <c s="10" r="AI988"/>
      <c s="10" r="AJ988"/>
      <c s="10" r="AK988"/>
      <c s="30" r="AL988"/>
    </row>
    <row r="989">
      <c s="30" r="A989"/>
      <c s="30" r="B989"/>
      <c s="30" r="C989"/>
      <c s="30" r="D989"/>
      <c s="16" r="E989"/>
      <c s="16" r="F989"/>
      <c s="16" r="G989"/>
      <c s="16" r="H989"/>
      <c s="16" r="I989"/>
      <c s="16" r="J989"/>
      <c s="16" r="K989"/>
      <c s="80" r="L989"/>
      <c s="79" r="M989"/>
      <c s="79" r="N989"/>
      <c s="79" r="O989"/>
      <c s="79" r="P989"/>
      <c s="17" r="Q989"/>
      <c s="17" r="R989"/>
      <c s="7" r="S989"/>
      <c s="7" r="T989"/>
      <c s="7" r="U989"/>
      <c s="7" r="V989"/>
      <c s="30" r="W989"/>
      <c s="30" r="X989"/>
      <c s="30" r="Y989"/>
      <c s="30" r="Z989"/>
      <c s="30" r="AA989"/>
      <c s="30" r="AB989"/>
      <c s="30" r="AC989"/>
      <c s="30" r="AD989"/>
      <c s="30" r="AE989"/>
      <c s="10" r="AF989"/>
      <c s="10" r="AG989"/>
      <c s="10" r="AH989"/>
      <c s="10" r="AI989"/>
      <c s="10" r="AJ989"/>
      <c s="10" r="AK989"/>
      <c s="30" r="AL989"/>
    </row>
    <row r="990">
      <c s="30" r="A990"/>
      <c s="30" r="B990"/>
      <c s="30" r="C990"/>
      <c s="30" r="D990"/>
      <c s="16" r="E990"/>
      <c s="16" r="F990"/>
      <c s="16" r="G990"/>
      <c s="16" r="H990"/>
      <c s="16" r="I990"/>
      <c s="16" r="J990"/>
      <c s="16" r="K990"/>
      <c s="80" r="L990"/>
      <c s="79" r="M990"/>
      <c s="79" r="N990"/>
      <c s="79" r="O990"/>
      <c s="79" r="P990"/>
      <c s="17" r="Q990"/>
      <c s="17" r="R990"/>
      <c s="7" r="S990"/>
      <c s="7" r="T990"/>
      <c s="7" r="U990"/>
      <c s="7" r="V990"/>
      <c s="30" r="W990"/>
      <c s="30" r="X990"/>
      <c s="30" r="Y990"/>
      <c s="30" r="Z990"/>
      <c s="30" r="AA990"/>
      <c s="30" r="AB990"/>
      <c s="30" r="AC990"/>
      <c s="30" r="AD990"/>
      <c s="30" r="AE990"/>
      <c s="10" r="AF990"/>
      <c s="10" r="AG990"/>
      <c s="10" r="AH990"/>
      <c s="10" r="AI990"/>
      <c s="10" r="AJ990"/>
      <c s="10" r="AK990"/>
      <c s="30" r="AL990"/>
    </row>
    <row r="991">
      <c s="30" r="A991"/>
      <c s="30" r="B991"/>
      <c s="30" r="C991"/>
      <c s="30" r="D991"/>
      <c s="16" r="E991"/>
      <c s="16" r="F991"/>
      <c s="16" r="G991"/>
      <c s="16" r="H991"/>
      <c s="16" r="I991"/>
      <c s="16" r="J991"/>
      <c s="16" r="K991"/>
      <c s="80" r="L991"/>
      <c s="79" r="M991"/>
      <c s="79" r="N991"/>
      <c s="79" r="O991"/>
      <c s="79" r="P991"/>
      <c s="17" r="Q991"/>
      <c s="17" r="R991"/>
      <c s="7" r="S991"/>
      <c s="7" r="T991"/>
      <c s="7" r="U991"/>
      <c s="7" r="V991"/>
      <c s="30" r="W991"/>
      <c s="30" r="X991"/>
      <c s="30" r="Y991"/>
      <c s="30" r="Z991"/>
      <c s="30" r="AA991"/>
      <c s="30" r="AB991"/>
      <c s="30" r="AC991"/>
      <c s="30" r="AD991"/>
      <c s="30" r="AE991"/>
      <c s="10" r="AF991"/>
      <c s="10" r="AG991"/>
      <c s="10" r="AH991"/>
      <c s="10" r="AI991"/>
      <c s="10" r="AJ991"/>
      <c s="10" r="AK991"/>
      <c s="30" r="AL991"/>
    </row>
    <row r="992">
      <c s="30" r="A992"/>
      <c s="30" r="B992"/>
      <c s="30" r="C992"/>
      <c s="30" r="D992"/>
      <c s="16" r="E992"/>
      <c s="16" r="F992"/>
      <c s="16" r="G992"/>
      <c s="16" r="H992"/>
      <c s="16" r="I992"/>
      <c s="16" r="J992"/>
      <c s="16" r="K992"/>
      <c s="80" r="L992"/>
      <c s="79" r="M992"/>
      <c s="79" r="N992"/>
      <c s="79" r="O992"/>
      <c s="79" r="P992"/>
      <c s="17" r="Q992"/>
      <c s="17" r="R992"/>
      <c s="7" r="S992"/>
      <c s="7" r="T992"/>
      <c s="7" r="U992"/>
      <c s="7" r="V992"/>
      <c s="30" r="W992"/>
      <c s="30" r="X992"/>
      <c s="30" r="Y992"/>
      <c s="30" r="Z992"/>
      <c s="30" r="AA992"/>
      <c s="30" r="AB992"/>
      <c s="30" r="AC992"/>
      <c s="30" r="AD992"/>
      <c s="30" r="AE992"/>
      <c s="10" r="AF992"/>
      <c s="10" r="AG992"/>
      <c s="10" r="AH992"/>
      <c s="10" r="AI992"/>
      <c s="10" r="AJ992"/>
      <c s="10" r="AK992"/>
      <c s="30" r="AL992"/>
    </row>
    <row r="993">
      <c s="30" r="A993"/>
      <c s="30" r="B993"/>
      <c s="30" r="C993"/>
      <c s="30" r="D993"/>
      <c s="16" r="E993"/>
      <c s="16" r="F993"/>
      <c s="16" r="G993"/>
      <c s="16" r="H993"/>
      <c s="16" r="I993"/>
      <c s="16" r="J993"/>
      <c s="16" r="K993"/>
      <c s="80" r="L993"/>
      <c s="79" r="M993"/>
      <c s="79" r="N993"/>
      <c s="79" r="O993"/>
      <c s="79" r="P993"/>
      <c s="17" r="Q993"/>
      <c s="17" r="R993"/>
      <c s="7" r="S993"/>
      <c s="7" r="T993"/>
      <c s="7" r="U993"/>
      <c s="7" r="V993"/>
      <c s="30" r="W993"/>
      <c s="30" r="X993"/>
      <c s="30" r="Y993"/>
      <c s="30" r="Z993"/>
      <c s="30" r="AA993"/>
      <c s="30" r="AB993"/>
      <c s="30" r="AC993"/>
      <c s="30" r="AD993"/>
      <c s="30" r="AE993"/>
      <c s="10" r="AF993"/>
      <c s="10" r="AG993"/>
      <c s="10" r="AH993"/>
      <c s="10" r="AI993"/>
      <c s="10" r="AJ993"/>
      <c s="10" r="AK993"/>
      <c s="30" r="AL993"/>
    </row>
    <row r="994">
      <c s="30" r="A994"/>
      <c s="30" r="B994"/>
      <c s="30" r="C994"/>
      <c s="30" r="D994"/>
      <c s="16" r="E994"/>
      <c s="16" r="F994"/>
      <c s="16" r="G994"/>
      <c s="16" r="H994"/>
      <c s="16" r="I994"/>
      <c s="16" r="J994"/>
      <c s="16" r="K994"/>
      <c s="80" r="L994"/>
      <c s="79" r="M994"/>
      <c s="79" r="N994"/>
      <c s="79" r="O994"/>
      <c s="79" r="P994"/>
      <c s="17" r="Q994"/>
      <c s="17" r="R994"/>
      <c s="7" r="S994"/>
      <c s="7" r="T994"/>
      <c s="7" r="U994"/>
      <c s="7" r="V994"/>
      <c s="30" r="W994"/>
      <c s="30" r="X994"/>
      <c s="30" r="Y994"/>
      <c s="30" r="Z994"/>
      <c s="30" r="AA994"/>
      <c s="30" r="AB994"/>
      <c s="30" r="AC994"/>
      <c s="30" r="AD994"/>
      <c s="30" r="AE994"/>
      <c s="10" r="AF994"/>
      <c s="10" r="AG994"/>
      <c s="10" r="AH994"/>
      <c s="10" r="AI994"/>
      <c s="10" r="AJ994"/>
      <c s="10" r="AK994"/>
      <c s="30" r="AL994"/>
    </row>
    <row r="995">
      <c s="30" r="A995"/>
      <c s="30" r="B995"/>
      <c s="30" r="C995"/>
      <c s="30" r="D995"/>
      <c s="16" r="E995"/>
      <c s="16" r="F995"/>
      <c s="16" r="G995"/>
      <c s="16" r="H995"/>
      <c s="16" r="I995"/>
      <c s="16" r="J995"/>
      <c s="16" r="K995"/>
      <c s="80" r="L995"/>
      <c s="79" r="M995"/>
      <c s="79" r="N995"/>
      <c s="79" r="O995"/>
      <c s="79" r="P995"/>
      <c s="17" r="Q995"/>
      <c s="17" r="R995"/>
      <c s="7" r="S995"/>
      <c s="7" r="T995"/>
      <c s="7" r="U995"/>
      <c s="7" r="V995"/>
      <c s="30" r="W995"/>
      <c s="30" r="X995"/>
      <c s="30" r="Y995"/>
      <c s="30" r="Z995"/>
      <c s="30" r="AA995"/>
      <c s="30" r="AB995"/>
      <c s="30" r="AC995"/>
      <c s="30" r="AD995"/>
      <c s="30" r="AE995"/>
      <c s="10" r="AF995"/>
      <c s="10" r="AG995"/>
      <c s="10" r="AH995"/>
      <c s="10" r="AI995"/>
      <c s="10" r="AJ995"/>
      <c s="10" r="AK995"/>
      <c s="30" r="AL995"/>
    </row>
    <row r="996">
      <c s="30" r="A996"/>
      <c s="30" r="B996"/>
      <c s="30" r="C996"/>
      <c s="30" r="D996"/>
      <c s="16" r="E996"/>
      <c s="16" r="F996"/>
      <c s="16" r="G996"/>
      <c s="16" r="H996"/>
      <c s="16" r="I996"/>
      <c s="16" r="J996"/>
      <c s="16" r="K996"/>
      <c s="80" r="L996"/>
      <c s="79" r="M996"/>
      <c s="79" r="N996"/>
      <c s="79" r="O996"/>
      <c s="79" r="P996"/>
      <c s="17" r="Q996"/>
      <c s="17" r="R996"/>
      <c s="7" r="S996"/>
      <c s="7" r="T996"/>
      <c s="7" r="U996"/>
      <c s="7" r="V996"/>
      <c s="30" r="W996"/>
      <c s="30" r="X996"/>
      <c s="30" r="Y996"/>
      <c s="30" r="Z996"/>
      <c s="30" r="AA996"/>
      <c s="30" r="AB996"/>
      <c s="30" r="AC996"/>
      <c s="30" r="AD996"/>
      <c s="30" r="AE996"/>
      <c s="10" r="AF996"/>
      <c s="10" r="AG996"/>
      <c s="10" r="AH996"/>
      <c s="10" r="AI996"/>
      <c s="10" r="AJ996"/>
      <c s="10" r="AK996"/>
      <c s="30" r="AL996"/>
    </row>
    <row r="997">
      <c s="30" r="A997"/>
      <c s="30" r="B997"/>
      <c s="30" r="C997"/>
      <c s="30" r="D997"/>
      <c s="16" r="E997"/>
      <c s="16" r="F997"/>
      <c s="16" r="G997"/>
      <c s="16" r="H997"/>
      <c s="16" r="I997"/>
      <c s="16" r="J997"/>
      <c s="16" r="K997"/>
      <c s="80" r="L997"/>
      <c s="79" r="M997"/>
      <c s="79" r="N997"/>
      <c s="79" r="O997"/>
      <c s="79" r="P997"/>
      <c s="17" r="Q997"/>
      <c s="17" r="R997"/>
      <c s="7" r="S997"/>
      <c s="7" r="T997"/>
      <c s="7" r="U997"/>
      <c s="7" r="V997"/>
      <c s="30" r="W997"/>
      <c s="30" r="X997"/>
      <c s="30" r="Y997"/>
      <c s="30" r="Z997"/>
      <c s="30" r="AA997"/>
      <c s="30" r="AB997"/>
      <c s="30" r="AC997"/>
      <c s="30" r="AD997"/>
      <c s="30" r="AE997"/>
      <c s="10" r="AF997"/>
      <c s="10" r="AG997"/>
      <c s="10" r="AH997"/>
      <c s="10" r="AI997"/>
      <c s="10" r="AJ997"/>
      <c s="10" r="AK997"/>
      <c s="30" r="AL997"/>
    </row>
    <row r="998">
      <c s="30" r="A998"/>
      <c s="30" r="B998"/>
      <c s="30" r="C998"/>
      <c s="30" r="D998"/>
      <c s="16" r="E998"/>
      <c s="16" r="F998"/>
      <c s="16" r="G998"/>
      <c s="16" r="H998"/>
      <c s="16" r="I998"/>
      <c s="16" r="J998"/>
      <c s="16" r="K998"/>
      <c s="80" r="L998"/>
      <c s="79" r="M998"/>
      <c s="79" r="N998"/>
      <c s="79" r="O998"/>
      <c s="79" r="P998"/>
      <c s="17" r="Q998"/>
      <c s="17" r="R998"/>
      <c s="7" r="S998"/>
      <c s="7" r="T998"/>
      <c s="7" r="U998"/>
      <c s="7" r="V998"/>
      <c s="30" r="W998"/>
      <c s="30" r="X998"/>
      <c s="30" r="Y998"/>
      <c s="30" r="Z998"/>
      <c s="30" r="AA998"/>
      <c s="30" r="AB998"/>
      <c s="30" r="AC998"/>
      <c s="30" r="AD998"/>
      <c s="30" r="AE998"/>
      <c s="10" r="AF998"/>
      <c s="10" r="AG998"/>
      <c s="10" r="AH998"/>
      <c s="10" r="AI998"/>
      <c s="10" r="AJ998"/>
      <c s="10" r="AK998"/>
      <c s="30" r="AL998"/>
    </row>
    <row r="999">
      <c s="30" r="A999"/>
      <c s="30" r="B999"/>
      <c s="30" r="C999"/>
      <c s="30" r="D999"/>
      <c s="16" r="E999"/>
      <c s="16" r="F999"/>
      <c s="16" r="G999"/>
      <c s="16" r="H999"/>
      <c s="16" r="I999"/>
      <c s="16" r="J999"/>
      <c s="16" r="K999"/>
      <c s="80" r="L999"/>
      <c s="79" r="M999"/>
      <c s="79" r="N999"/>
      <c s="79" r="O999"/>
      <c s="79" r="P999"/>
      <c s="17" r="Q999"/>
      <c s="17" r="R999"/>
      <c s="7" r="S999"/>
      <c s="7" r="T999"/>
      <c s="7" r="U999"/>
      <c s="7" r="V999"/>
      <c s="30" r="W999"/>
      <c s="30" r="X999"/>
      <c s="30" r="Y999"/>
      <c s="30" r="Z999"/>
      <c s="30" r="AA999"/>
      <c s="30" r="AB999"/>
      <c s="30" r="AC999"/>
      <c s="30" r="AD999"/>
      <c s="30" r="AE999"/>
      <c s="10" r="AF999"/>
      <c s="10" r="AG999"/>
      <c s="10" r="AH999"/>
      <c s="10" r="AI999"/>
      <c s="10" r="AJ999"/>
      <c s="10" r="AK999"/>
      <c s="30" r="AL999"/>
    </row>
    <row r="1000">
      <c s="30" r="A1000"/>
      <c s="30" r="B1000"/>
      <c s="30" r="C1000"/>
      <c s="30" r="D1000"/>
      <c s="16" r="E1000"/>
      <c s="16" r="F1000"/>
      <c s="16" r="G1000"/>
      <c s="16" r="H1000"/>
      <c s="16" r="I1000"/>
      <c s="16" r="J1000"/>
      <c s="16" r="K1000"/>
      <c s="80" r="L1000"/>
      <c s="79" r="M1000"/>
      <c s="79" r="N1000"/>
      <c s="79" r="O1000"/>
      <c s="79" r="P1000"/>
      <c s="17" r="Q1000"/>
      <c s="17" r="R1000"/>
      <c s="7" r="S1000"/>
      <c s="7" r="T1000"/>
      <c s="7" r="U1000"/>
      <c s="7" r="V1000"/>
      <c s="30" r="W1000"/>
      <c s="30" r="X1000"/>
      <c s="30" r="Y1000"/>
      <c s="30" r="Z1000"/>
      <c s="30" r="AA1000"/>
      <c s="30" r="AB1000"/>
      <c s="30" r="AC1000"/>
      <c s="30" r="AD1000"/>
      <c s="30" r="AE1000"/>
      <c s="10" r="AF1000"/>
      <c s="10" r="AG1000"/>
      <c s="10" r="AH1000"/>
      <c s="10" r="AI1000"/>
      <c s="10" r="AJ1000"/>
      <c s="10" r="AK1000"/>
      <c s="30" r="AL1000"/>
    </row>
    <row r="1001">
      <c s="30" r="A1001"/>
      <c s="30" r="B1001"/>
      <c s="30" r="C1001"/>
      <c s="30" r="D1001"/>
      <c s="16" r="E1001"/>
      <c s="16" r="F1001"/>
      <c s="16" r="G1001"/>
      <c s="16" r="H1001"/>
      <c s="16" r="I1001"/>
      <c s="16" r="J1001"/>
      <c s="16" r="K1001"/>
      <c s="80" r="L1001"/>
      <c s="79" r="M1001"/>
      <c s="79" r="N1001"/>
      <c s="79" r="O1001"/>
      <c s="79" r="P1001"/>
      <c s="17" r="Q1001"/>
      <c s="17" r="R1001"/>
      <c s="7" r="S1001"/>
      <c s="7" r="T1001"/>
      <c s="7" r="U1001"/>
      <c s="7" r="V1001"/>
      <c s="30" r="W1001"/>
      <c s="30" r="X1001"/>
      <c s="30" r="Y1001"/>
      <c s="30" r="Z1001"/>
      <c s="30" r="AA1001"/>
      <c s="30" r="AB1001"/>
      <c s="30" r="AC1001"/>
      <c s="30" r="AD1001"/>
      <c s="30" r="AE1001"/>
      <c s="10" r="AF1001"/>
      <c s="10" r="AG1001"/>
      <c s="10" r="AH1001"/>
      <c s="10" r="AI1001"/>
      <c s="10" r="AJ1001"/>
      <c s="10" r="AK1001"/>
      <c s="30" r="AL1001"/>
    </row>
    <row r="1002">
      <c s="30" r="A1002"/>
      <c s="30" r="B1002"/>
      <c s="30" r="C1002"/>
      <c s="30" r="D1002"/>
      <c s="16" r="E1002"/>
      <c s="16" r="F1002"/>
      <c s="16" r="G1002"/>
      <c s="16" r="H1002"/>
      <c s="16" r="I1002"/>
      <c s="16" r="J1002"/>
      <c s="16" r="K1002"/>
      <c s="80" r="L1002"/>
      <c s="79" r="M1002"/>
      <c s="79" r="N1002"/>
      <c s="79" r="O1002"/>
      <c s="79" r="P1002"/>
      <c s="17" r="Q1002"/>
      <c s="17" r="R1002"/>
      <c s="7" r="S1002"/>
      <c s="7" r="T1002"/>
      <c s="7" r="U1002"/>
      <c s="7" r="V1002"/>
      <c s="30" r="W1002"/>
      <c s="30" r="X1002"/>
      <c s="30" r="Y1002"/>
      <c s="30" r="Z1002"/>
      <c s="30" r="AA1002"/>
      <c s="30" r="AB1002"/>
      <c s="30" r="AC1002"/>
      <c s="30" r="AD1002"/>
      <c s="30" r="AE1002"/>
      <c s="10" r="AF1002"/>
      <c s="10" r="AG1002"/>
      <c s="10" r="AH1002"/>
      <c s="10" r="AI1002"/>
      <c s="10" r="AJ1002"/>
      <c s="10" r="AK1002"/>
      <c s="30" r="AL1002"/>
    </row>
    <row r="1003">
      <c s="30" r="A1003"/>
      <c s="30" r="B1003"/>
      <c s="30" r="C1003"/>
      <c s="30" r="D1003"/>
      <c s="16" r="E1003"/>
      <c s="16" r="F1003"/>
      <c s="16" r="G1003"/>
      <c s="16" r="H1003"/>
      <c s="16" r="I1003"/>
      <c s="16" r="J1003"/>
      <c s="16" r="K1003"/>
      <c s="80" r="L1003"/>
      <c s="79" r="M1003"/>
      <c s="79" r="N1003"/>
      <c s="79" r="O1003"/>
      <c s="79" r="P1003"/>
      <c s="17" r="Q1003"/>
      <c s="17" r="R1003"/>
      <c s="7" r="S1003"/>
      <c s="7" r="T1003"/>
      <c s="7" r="U1003"/>
      <c s="7" r="V1003"/>
      <c s="30" r="W1003"/>
      <c s="30" r="X1003"/>
      <c s="30" r="Y1003"/>
      <c s="30" r="Z1003"/>
      <c s="30" r="AA1003"/>
      <c s="30" r="AB1003"/>
      <c s="30" r="AC1003"/>
      <c s="30" r="AD1003"/>
      <c s="30" r="AE1003"/>
      <c s="10" r="AF1003"/>
      <c s="10" r="AG1003"/>
      <c s="10" r="AH1003"/>
      <c s="10" r="AI1003"/>
      <c s="10" r="AJ1003"/>
      <c s="10" r="AK1003"/>
      <c s="30" r="AL1003"/>
    </row>
    <row r="1004">
      <c s="30" r="A1004"/>
      <c s="30" r="B1004"/>
      <c s="30" r="C1004"/>
      <c s="30" r="D1004"/>
      <c s="16" r="E1004"/>
      <c s="16" r="F1004"/>
      <c s="16" r="G1004"/>
      <c s="16" r="H1004"/>
      <c s="16" r="I1004"/>
      <c s="16" r="J1004"/>
      <c s="16" r="K1004"/>
      <c s="80" r="L1004"/>
      <c s="79" r="M1004"/>
      <c s="79" r="N1004"/>
      <c s="79" r="O1004"/>
      <c s="79" r="P1004"/>
      <c s="17" r="Q1004"/>
      <c s="17" r="R1004"/>
      <c s="7" r="S1004"/>
      <c s="7" r="T1004"/>
      <c s="7" r="U1004"/>
      <c s="7" r="V1004"/>
      <c s="30" r="W1004"/>
      <c s="30" r="X1004"/>
      <c s="30" r="Y1004"/>
      <c s="30" r="Z1004"/>
      <c s="30" r="AA1004"/>
      <c s="30" r="AB1004"/>
      <c s="30" r="AC1004"/>
      <c s="30" r="AD1004"/>
      <c s="30" r="AE1004"/>
      <c s="10" r="AF1004"/>
      <c s="10" r="AG1004"/>
      <c s="10" r="AH1004"/>
      <c s="10" r="AI1004"/>
      <c s="10" r="AJ1004"/>
      <c s="10" r="AK1004"/>
      <c s="30" r="AL1004"/>
    </row>
    <row r="1005">
      <c s="30" r="A1005"/>
      <c s="30" r="B1005"/>
      <c s="30" r="C1005"/>
      <c s="30" r="D1005"/>
      <c s="16" r="E1005"/>
      <c s="16" r="F1005"/>
      <c s="16" r="G1005"/>
      <c s="16" r="H1005"/>
      <c s="16" r="I1005"/>
      <c s="16" r="J1005"/>
      <c s="16" r="K1005"/>
      <c s="80" r="L1005"/>
      <c s="79" r="M1005"/>
      <c s="79" r="N1005"/>
      <c s="79" r="O1005"/>
      <c s="79" r="P1005"/>
      <c s="17" r="Q1005"/>
      <c s="17" r="R1005"/>
      <c s="7" r="S1005"/>
      <c s="7" r="T1005"/>
      <c s="7" r="U1005"/>
      <c s="7" r="V1005"/>
      <c s="30" r="W1005"/>
      <c s="30" r="X1005"/>
      <c s="30" r="Y1005"/>
      <c s="30" r="Z1005"/>
      <c s="30" r="AA1005"/>
      <c s="30" r="AB1005"/>
      <c s="30" r="AC1005"/>
      <c s="30" r="AD1005"/>
      <c s="30" r="AE1005"/>
      <c s="10" r="AF1005"/>
      <c s="10" r="AG1005"/>
      <c s="10" r="AH1005"/>
      <c s="10" r="AI1005"/>
      <c s="10" r="AJ1005"/>
      <c s="10" r="AK1005"/>
      <c s="30" r="AL1005"/>
    </row>
    <row r="1006">
      <c s="30" r="A1006"/>
      <c s="30" r="B1006"/>
      <c s="30" r="C1006"/>
      <c s="30" r="D1006"/>
      <c s="16" r="E1006"/>
      <c s="16" r="F1006"/>
      <c s="16" r="G1006"/>
      <c s="16" r="H1006"/>
      <c s="16" r="I1006"/>
      <c s="16" r="J1006"/>
      <c s="16" r="K1006"/>
      <c s="80" r="L1006"/>
      <c s="79" r="M1006"/>
      <c s="79" r="N1006"/>
      <c s="79" r="O1006"/>
      <c s="79" r="P1006"/>
      <c s="17" r="Q1006"/>
      <c s="17" r="R1006"/>
      <c s="7" r="S1006"/>
      <c s="7" r="T1006"/>
      <c s="7" r="U1006"/>
      <c s="7" r="V1006"/>
      <c s="30" r="W1006"/>
      <c s="30" r="X1006"/>
      <c s="30" r="Y1006"/>
      <c s="30" r="Z1006"/>
      <c s="30" r="AA1006"/>
      <c s="30" r="AB1006"/>
      <c s="30" r="AC1006"/>
      <c s="30" r="AD1006"/>
      <c s="30" r="AE1006"/>
      <c s="10" r="AF1006"/>
      <c s="10" r="AG1006"/>
      <c s="10" r="AH1006"/>
      <c s="10" r="AI1006"/>
      <c s="10" r="AJ1006"/>
      <c s="10" r="AK1006"/>
      <c s="30" r="AL1006"/>
    </row>
    <row r="1007">
      <c s="30" r="A1007"/>
      <c s="30" r="B1007"/>
      <c s="30" r="C1007"/>
      <c s="30" r="D1007"/>
      <c s="16" r="E1007"/>
      <c s="16" r="F1007"/>
      <c s="16" r="G1007"/>
      <c s="16" r="H1007"/>
      <c s="16" r="I1007"/>
      <c s="16" r="J1007"/>
      <c s="16" r="K1007"/>
      <c s="80" r="L1007"/>
      <c s="79" r="M1007"/>
      <c s="79" r="N1007"/>
      <c s="79" r="O1007"/>
      <c s="79" r="P1007"/>
      <c s="17" r="Q1007"/>
      <c s="17" r="R1007"/>
      <c s="7" r="S1007"/>
      <c s="7" r="T1007"/>
      <c s="7" r="U1007"/>
      <c s="7" r="V1007"/>
      <c s="30" r="W1007"/>
      <c s="30" r="X1007"/>
      <c s="30" r="Y1007"/>
      <c s="30" r="Z1007"/>
      <c s="30" r="AA1007"/>
      <c s="30" r="AB1007"/>
      <c s="30" r="AC1007"/>
      <c s="30" r="AD1007"/>
      <c s="30" r="AE1007"/>
      <c s="10" r="AF1007"/>
      <c s="10" r="AG1007"/>
      <c s="10" r="AH1007"/>
      <c s="10" r="AI1007"/>
      <c s="10" r="AJ1007"/>
      <c s="10" r="AK1007"/>
      <c s="30" r="AL1007"/>
    </row>
    <row r="1008">
      <c s="30" r="A1008"/>
      <c s="30" r="B1008"/>
      <c s="30" r="C1008"/>
      <c s="30" r="D1008"/>
      <c s="16" r="E1008"/>
      <c s="16" r="F1008"/>
      <c s="16" r="G1008"/>
      <c s="16" r="H1008"/>
      <c s="16" r="I1008"/>
      <c s="16" r="J1008"/>
      <c s="16" r="K1008"/>
      <c s="80" r="L1008"/>
      <c s="79" r="M1008"/>
      <c s="79" r="N1008"/>
      <c s="79" r="O1008"/>
      <c s="79" r="P1008"/>
      <c s="17" r="Q1008"/>
      <c s="17" r="R1008"/>
      <c s="7" r="S1008"/>
      <c s="7" r="T1008"/>
      <c s="7" r="U1008"/>
      <c s="7" r="V1008"/>
      <c s="30" r="W1008"/>
      <c s="30" r="X1008"/>
      <c s="30" r="Y1008"/>
      <c s="30" r="Z1008"/>
      <c s="30" r="AA1008"/>
      <c s="30" r="AB1008"/>
      <c s="30" r="AC1008"/>
      <c s="30" r="AD1008"/>
      <c s="30" r="AE1008"/>
      <c s="10" r="AF1008"/>
      <c s="10" r="AG1008"/>
      <c s="10" r="AH1008"/>
      <c s="10" r="AI1008"/>
      <c s="10" r="AJ1008"/>
      <c s="10" r="AK1008"/>
      <c s="30" r="AL1008"/>
    </row>
    <row r="1009">
      <c s="30" r="A1009"/>
      <c s="30" r="B1009"/>
      <c s="30" r="C1009"/>
      <c s="30" r="D1009"/>
      <c s="16" r="E1009"/>
      <c s="16" r="F1009"/>
      <c s="16" r="G1009"/>
      <c s="16" r="H1009"/>
      <c s="16" r="I1009"/>
      <c s="16" r="J1009"/>
      <c s="16" r="K1009"/>
      <c s="80" r="L1009"/>
      <c s="79" r="M1009"/>
      <c s="79" r="N1009"/>
      <c s="79" r="O1009"/>
      <c s="79" r="P1009"/>
      <c s="17" r="Q1009"/>
      <c s="17" r="R1009"/>
      <c s="7" r="S1009"/>
      <c s="7" r="T1009"/>
      <c s="7" r="U1009"/>
      <c s="7" r="V1009"/>
      <c s="30" r="W1009"/>
      <c s="30" r="X1009"/>
      <c s="30" r="Y1009"/>
      <c s="30" r="Z1009"/>
      <c s="30" r="AA1009"/>
      <c s="30" r="AB1009"/>
      <c s="30" r="AC1009"/>
      <c s="30" r="AD1009"/>
      <c s="30" r="AE1009"/>
      <c s="10" r="AF1009"/>
      <c s="10" r="AG1009"/>
      <c s="10" r="AH1009"/>
      <c s="10" r="AI1009"/>
      <c s="10" r="AJ1009"/>
      <c s="10" r="AK1009"/>
      <c s="30" r="AL1009"/>
    </row>
    <row r="1010">
      <c s="30" r="A1010"/>
      <c s="30" r="B1010"/>
      <c s="30" r="C1010"/>
      <c s="30" r="D1010"/>
      <c s="16" r="E1010"/>
      <c s="16" r="F1010"/>
      <c s="16" r="G1010"/>
      <c s="16" r="H1010"/>
      <c s="16" r="I1010"/>
      <c s="16" r="J1010"/>
      <c s="16" r="K1010"/>
      <c s="80" r="L1010"/>
      <c s="79" r="M1010"/>
      <c s="79" r="N1010"/>
      <c s="79" r="O1010"/>
      <c s="79" r="P1010"/>
      <c s="17" r="Q1010"/>
      <c s="17" r="R1010"/>
      <c s="7" r="S1010"/>
      <c s="7" r="T1010"/>
      <c s="7" r="U1010"/>
      <c s="7" r="V1010"/>
      <c s="30" r="W1010"/>
      <c s="30" r="X1010"/>
      <c s="30" r="Y1010"/>
      <c s="30" r="Z1010"/>
      <c s="30" r="AA1010"/>
      <c s="30" r="AB1010"/>
      <c s="30" r="AC1010"/>
      <c s="30" r="AD1010"/>
      <c s="30" r="AE1010"/>
      <c s="10" r="AF1010"/>
      <c s="10" r="AG1010"/>
      <c s="10" r="AH1010"/>
      <c s="10" r="AI1010"/>
      <c s="10" r="AJ1010"/>
      <c s="10" r="AK1010"/>
      <c s="30" r="AL1010"/>
    </row>
    <row r="1011">
      <c s="30" r="A1011"/>
      <c s="30" r="B1011"/>
      <c s="30" r="C1011"/>
      <c s="30" r="D1011"/>
      <c s="16" r="E1011"/>
      <c s="16" r="F1011"/>
      <c s="16" r="G1011"/>
      <c s="16" r="H1011"/>
      <c s="16" r="I1011"/>
      <c s="16" r="J1011"/>
      <c s="16" r="K1011"/>
      <c s="80" r="L1011"/>
      <c s="79" r="M1011"/>
      <c s="79" r="N1011"/>
      <c s="79" r="O1011"/>
      <c s="79" r="P1011"/>
      <c s="17" r="Q1011"/>
      <c s="17" r="R1011"/>
      <c s="7" r="S1011"/>
      <c s="7" r="T1011"/>
      <c s="7" r="U1011"/>
      <c s="7" r="V1011"/>
      <c s="30" r="W1011"/>
      <c s="30" r="X1011"/>
      <c s="30" r="Y1011"/>
      <c s="30" r="Z1011"/>
      <c s="30" r="AA1011"/>
      <c s="30" r="AB1011"/>
      <c s="30" r="AC1011"/>
      <c s="30" r="AD1011"/>
      <c s="30" r="AE1011"/>
      <c s="10" r="AF1011"/>
      <c s="10" r="AG1011"/>
      <c s="10" r="AH1011"/>
      <c s="10" r="AI1011"/>
      <c s="10" r="AJ1011"/>
      <c s="10" r="AK1011"/>
      <c s="30" r="AL1011"/>
    </row>
    <row r="1012">
      <c s="30" r="A1012"/>
      <c s="30" r="B1012"/>
      <c s="30" r="C1012"/>
      <c s="30" r="D1012"/>
      <c s="16" r="E1012"/>
      <c s="16" r="F1012"/>
      <c s="16" r="G1012"/>
      <c s="16" r="H1012"/>
      <c s="16" r="I1012"/>
      <c s="16" r="J1012"/>
      <c s="16" r="K1012"/>
      <c s="80" r="L1012"/>
      <c s="79" r="M1012"/>
      <c s="79" r="N1012"/>
      <c s="79" r="O1012"/>
      <c s="79" r="P1012"/>
      <c s="17" r="Q1012"/>
      <c s="17" r="R1012"/>
      <c s="7" r="S1012"/>
      <c s="7" r="T1012"/>
      <c s="7" r="U1012"/>
      <c s="7" r="V1012"/>
      <c s="30" r="W1012"/>
      <c s="30" r="X1012"/>
      <c s="30" r="Y1012"/>
      <c s="30" r="Z1012"/>
      <c s="30" r="AA1012"/>
      <c s="30" r="AB1012"/>
      <c s="30" r="AC1012"/>
      <c s="30" r="AD1012"/>
      <c s="30" r="AE1012"/>
      <c s="10" r="AF1012"/>
      <c s="10" r="AG1012"/>
      <c s="10" r="AH1012"/>
      <c s="10" r="AI1012"/>
      <c s="10" r="AJ1012"/>
      <c s="10" r="AK1012"/>
      <c s="30" r="AL1012"/>
    </row>
    <row r="1013">
      <c s="30" r="A1013"/>
      <c s="30" r="B1013"/>
      <c s="30" r="C1013"/>
      <c s="30" r="D1013"/>
      <c s="16" r="E1013"/>
      <c s="16" r="F1013"/>
      <c s="16" r="G1013"/>
      <c s="16" r="H1013"/>
      <c s="16" r="I1013"/>
      <c s="16" r="J1013"/>
      <c s="16" r="K1013"/>
      <c s="80" r="L1013"/>
      <c s="79" r="M1013"/>
      <c s="79" r="N1013"/>
      <c s="79" r="O1013"/>
      <c s="79" r="P1013"/>
      <c s="17" r="Q1013"/>
      <c s="17" r="R1013"/>
      <c s="7" r="S1013"/>
      <c s="7" r="T1013"/>
      <c s="7" r="U1013"/>
      <c s="7" r="V1013"/>
      <c s="30" r="W1013"/>
      <c s="30" r="X1013"/>
      <c s="30" r="Y1013"/>
      <c s="30" r="Z1013"/>
      <c s="30" r="AA1013"/>
      <c s="30" r="AB1013"/>
      <c s="30" r="AC1013"/>
      <c s="30" r="AD1013"/>
      <c s="30" r="AE1013"/>
      <c s="10" r="AF1013"/>
      <c s="10" r="AG1013"/>
      <c s="10" r="AH1013"/>
      <c s="10" r="AI1013"/>
      <c s="10" r="AJ1013"/>
      <c s="10" r="AK1013"/>
      <c s="30" r="AL1013"/>
    </row>
    <row r="1014">
      <c s="30" r="A1014"/>
      <c s="30" r="B1014"/>
      <c s="30" r="C1014"/>
      <c s="30" r="D1014"/>
      <c s="16" r="E1014"/>
      <c s="16" r="F1014"/>
      <c s="16" r="G1014"/>
      <c s="16" r="H1014"/>
      <c s="16" r="I1014"/>
      <c s="16" r="J1014"/>
      <c s="16" r="K1014"/>
      <c s="80" r="L1014"/>
      <c s="79" r="M1014"/>
      <c s="79" r="N1014"/>
      <c s="79" r="O1014"/>
      <c s="79" r="P1014"/>
      <c s="17" r="Q1014"/>
      <c s="17" r="R1014"/>
      <c s="7" r="S1014"/>
      <c s="7" r="T1014"/>
      <c s="7" r="U1014"/>
      <c s="7" r="V1014"/>
      <c s="30" r="W1014"/>
      <c s="30" r="X1014"/>
      <c s="30" r="Y1014"/>
      <c s="30" r="Z1014"/>
      <c s="30" r="AA1014"/>
      <c s="30" r="AB1014"/>
      <c s="30" r="AC1014"/>
      <c s="30" r="AD1014"/>
      <c s="30" r="AE1014"/>
      <c s="10" r="AF1014"/>
      <c s="10" r="AG1014"/>
      <c s="10" r="AH1014"/>
      <c s="10" r="AI1014"/>
      <c s="10" r="AJ1014"/>
      <c s="10" r="AK1014"/>
      <c s="30" r="AL1014"/>
    </row>
    <row r="1015">
      <c s="30" r="A1015"/>
      <c s="30" r="B1015"/>
      <c s="30" r="C1015"/>
      <c s="30" r="D1015"/>
      <c s="16" r="E1015"/>
      <c s="16" r="F1015"/>
      <c s="16" r="G1015"/>
      <c s="16" r="H1015"/>
      <c s="16" r="I1015"/>
      <c s="16" r="J1015"/>
      <c s="16" r="K1015"/>
      <c s="80" r="L1015"/>
      <c s="79" r="M1015"/>
      <c s="79" r="N1015"/>
      <c s="79" r="O1015"/>
      <c s="79" r="P1015"/>
      <c s="17" r="Q1015"/>
      <c s="17" r="R1015"/>
      <c s="7" r="S1015"/>
      <c s="7" r="T1015"/>
      <c s="7" r="U1015"/>
      <c s="7" r="V1015"/>
      <c s="30" r="W1015"/>
      <c s="30" r="X1015"/>
      <c s="30" r="Y1015"/>
      <c s="30" r="Z1015"/>
      <c s="30" r="AA1015"/>
      <c s="30" r="AB1015"/>
      <c s="30" r="AC1015"/>
      <c s="30" r="AD1015"/>
      <c s="30" r="AE1015"/>
      <c s="10" r="AF1015"/>
      <c s="10" r="AG1015"/>
      <c s="10" r="AH1015"/>
      <c s="10" r="AI1015"/>
      <c s="10" r="AJ1015"/>
      <c s="10" r="AK1015"/>
      <c s="30" r="AL1015"/>
    </row>
    <row r="1016">
      <c s="30" r="A1016"/>
      <c s="30" r="B1016"/>
      <c s="30" r="C1016"/>
      <c s="30" r="D1016"/>
      <c s="16" r="E1016"/>
      <c s="16" r="F1016"/>
      <c s="16" r="G1016"/>
      <c s="16" r="H1016"/>
      <c s="16" r="I1016"/>
      <c s="16" r="J1016"/>
      <c s="16" r="K1016"/>
      <c s="80" r="L1016"/>
      <c s="79" r="M1016"/>
      <c s="79" r="N1016"/>
      <c s="79" r="O1016"/>
      <c s="79" r="P1016"/>
      <c s="17" r="Q1016"/>
      <c s="17" r="R1016"/>
      <c s="7" r="S1016"/>
      <c s="7" r="T1016"/>
      <c s="7" r="U1016"/>
      <c s="7" r="V1016"/>
      <c s="30" r="W1016"/>
      <c s="30" r="X1016"/>
      <c s="30" r="Y1016"/>
      <c s="30" r="Z1016"/>
      <c s="30" r="AA1016"/>
      <c s="30" r="AB1016"/>
      <c s="30" r="AC1016"/>
      <c s="30" r="AD1016"/>
      <c s="30" r="AE1016"/>
      <c s="10" r="AF1016"/>
      <c s="10" r="AG1016"/>
      <c s="10" r="AH1016"/>
      <c s="10" r="AI1016"/>
      <c s="10" r="AJ1016"/>
      <c s="10" r="AK1016"/>
      <c s="30" r="AL1016"/>
    </row>
    <row r="1017">
      <c s="30" r="A1017"/>
      <c s="30" r="B1017"/>
      <c s="30" r="C1017"/>
      <c s="30" r="D1017"/>
      <c s="16" r="E1017"/>
      <c s="16" r="F1017"/>
      <c s="16" r="G1017"/>
      <c s="16" r="H1017"/>
      <c s="16" r="I1017"/>
      <c s="16" r="J1017"/>
      <c s="16" r="K1017"/>
      <c s="80" r="L1017"/>
      <c s="79" r="M1017"/>
      <c s="79" r="N1017"/>
      <c s="79" r="O1017"/>
      <c s="79" r="P1017"/>
      <c s="17" r="Q1017"/>
      <c s="17" r="R1017"/>
      <c s="7" r="S1017"/>
      <c s="7" r="T1017"/>
      <c s="7" r="U1017"/>
      <c s="7" r="V1017"/>
      <c s="30" r="W1017"/>
      <c s="30" r="X1017"/>
      <c s="30" r="Y1017"/>
      <c s="30" r="Z1017"/>
      <c s="30" r="AA1017"/>
      <c s="30" r="AB1017"/>
      <c s="30" r="AC1017"/>
      <c s="30" r="AD1017"/>
      <c s="30" r="AE1017"/>
      <c s="10" r="AF1017"/>
      <c s="10" r="AG1017"/>
      <c s="10" r="AH1017"/>
      <c s="10" r="AI1017"/>
      <c s="10" r="AJ1017"/>
      <c s="10" r="AK1017"/>
      <c s="30" r="AL1017"/>
    </row>
    <row r="1018">
      <c s="30" r="A1018"/>
      <c s="30" r="B1018"/>
      <c s="30" r="C1018"/>
      <c s="30" r="D1018"/>
      <c s="16" r="E1018"/>
      <c s="16" r="F1018"/>
      <c s="16" r="G1018"/>
      <c s="16" r="H1018"/>
      <c s="16" r="I1018"/>
      <c s="16" r="J1018"/>
      <c s="16" r="K1018"/>
      <c s="80" r="L1018"/>
      <c s="79" r="M1018"/>
      <c s="79" r="N1018"/>
      <c s="79" r="O1018"/>
      <c s="79" r="P1018"/>
      <c s="17" r="Q1018"/>
      <c s="17" r="R1018"/>
      <c s="7" r="S1018"/>
      <c s="7" r="T1018"/>
      <c s="7" r="U1018"/>
      <c s="7" r="V1018"/>
      <c s="30" r="W1018"/>
      <c s="30" r="X1018"/>
      <c s="30" r="Y1018"/>
      <c s="30" r="Z1018"/>
      <c s="30" r="AA1018"/>
      <c s="30" r="AB1018"/>
      <c s="30" r="AC1018"/>
      <c s="30" r="AD1018"/>
      <c s="30" r="AE1018"/>
      <c s="10" r="AF1018"/>
      <c s="10" r="AG1018"/>
      <c s="10" r="AH1018"/>
      <c s="10" r="AI1018"/>
      <c s="10" r="AJ1018"/>
      <c s="10" r="AK1018"/>
      <c s="30" r="AL1018"/>
    </row>
    <row r="1019">
      <c s="30" r="A1019"/>
      <c s="30" r="B1019"/>
      <c s="30" r="C1019"/>
      <c s="30" r="D1019"/>
      <c s="16" r="E1019"/>
      <c s="16" r="F1019"/>
      <c s="16" r="G1019"/>
      <c s="16" r="H1019"/>
      <c s="16" r="I1019"/>
      <c s="16" r="J1019"/>
      <c s="16" r="K1019"/>
      <c s="80" r="L1019"/>
      <c s="79" r="M1019"/>
      <c s="79" r="N1019"/>
      <c s="79" r="O1019"/>
      <c s="79" r="P1019"/>
      <c s="17" r="Q1019"/>
      <c s="17" r="R1019"/>
      <c s="7" r="S1019"/>
      <c s="7" r="T1019"/>
      <c s="7" r="U1019"/>
      <c s="7" r="V1019"/>
      <c s="30" r="W1019"/>
      <c s="30" r="X1019"/>
      <c s="30" r="Y1019"/>
      <c s="30" r="Z1019"/>
      <c s="30" r="AA1019"/>
      <c s="30" r="AB1019"/>
      <c s="30" r="AC1019"/>
      <c s="30" r="AD1019"/>
      <c s="30" r="AE1019"/>
      <c s="10" r="AF1019"/>
      <c s="10" r="AG1019"/>
      <c s="10" r="AH1019"/>
      <c s="10" r="AI1019"/>
      <c s="10" r="AJ1019"/>
      <c s="10" r="AK1019"/>
      <c s="30" r="AL1019"/>
    </row>
    <row r="1020">
      <c s="30" r="A1020"/>
      <c s="30" r="B1020"/>
      <c s="30" r="C1020"/>
      <c s="30" r="D1020"/>
      <c s="16" r="E1020"/>
      <c s="16" r="F1020"/>
      <c s="16" r="G1020"/>
      <c s="16" r="H1020"/>
      <c s="16" r="I1020"/>
      <c s="16" r="J1020"/>
      <c s="16" r="K1020"/>
      <c s="80" r="L1020"/>
      <c s="79" r="M1020"/>
      <c s="79" r="N1020"/>
      <c s="79" r="O1020"/>
      <c s="79" r="P1020"/>
      <c s="17" r="Q1020"/>
      <c s="17" r="R1020"/>
      <c s="7" r="S1020"/>
      <c s="7" r="T1020"/>
      <c s="7" r="U1020"/>
      <c s="7" r="V1020"/>
      <c s="30" r="W1020"/>
      <c s="30" r="X1020"/>
      <c s="30" r="Y1020"/>
      <c s="30" r="Z1020"/>
      <c s="30" r="AA1020"/>
      <c s="30" r="AB1020"/>
      <c s="30" r="AC1020"/>
      <c s="30" r="AD1020"/>
      <c s="30" r="AE1020"/>
      <c s="10" r="AF1020"/>
      <c s="10" r="AG1020"/>
      <c s="10" r="AH1020"/>
      <c s="10" r="AI1020"/>
      <c s="10" r="AJ1020"/>
      <c s="10" r="AK1020"/>
      <c s="30" r="AL1020"/>
    </row>
    <row r="1021">
      <c s="30" r="A1021"/>
      <c s="30" r="B1021"/>
      <c s="30" r="C1021"/>
      <c s="30" r="D1021"/>
      <c s="16" r="E1021"/>
      <c s="16" r="F1021"/>
      <c s="16" r="G1021"/>
      <c s="16" r="H1021"/>
      <c s="16" r="I1021"/>
      <c s="16" r="J1021"/>
      <c s="16" r="K1021"/>
      <c s="80" r="L1021"/>
      <c s="79" r="M1021"/>
      <c s="79" r="N1021"/>
      <c s="79" r="O1021"/>
      <c s="79" r="P1021"/>
      <c s="17" r="Q1021"/>
      <c s="17" r="R1021"/>
      <c s="7" r="S1021"/>
      <c s="7" r="T1021"/>
      <c s="7" r="U1021"/>
      <c s="7" r="V1021"/>
      <c s="30" r="W1021"/>
      <c s="30" r="X1021"/>
      <c s="30" r="Y1021"/>
      <c s="30" r="Z1021"/>
      <c s="30" r="AA1021"/>
      <c s="30" r="AB1021"/>
      <c s="30" r="AC1021"/>
      <c s="30" r="AD1021"/>
      <c s="30" r="AE1021"/>
      <c s="10" r="AF1021"/>
      <c s="10" r="AG1021"/>
      <c s="10" r="AH1021"/>
      <c s="10" r="AI1021"/>
      <c s="10" r="AJ1021"/>
      <c s="10" r="AK1021"/>
      <c s="30" r="AL1021"/>
    </row>
    <row r="1022">
      <c s="30" r="A1022"/>
      <c s="30" r="B1022"/>
      <c s="30" r="C1022"/>
      <c s="30" r="D1022"/>
      <c s="16" r="E1022"/>
      <c s="16" r="F1022"/>
      <c s="16" r="G1022"/>
      <c s="16" r="H1022"/>
      <c s="16" r="I1022"/>
      <c s="16" r="J1022"/>
      <c s="16" r="K1022"/>
      <c s="80" r="L1022"/>
      <c s="79" r="M1022"/>
      <c s="79" r="N1022"/>
      <c s="79" r="O1022"/>
      <c s="79" r="P1022"/>
      <c s="17" r="Q1022"/>
      <c s="17" r="R1022"/>
      <c s="7" r="S1022"/>
      <c s="7" r="T1022"/>
      <c s="7" r="U1022"/>
      <c s="7" r="V1022"/>
      <c s="30" r="W1022"/>
      <c s="30" r="X1022"/>
      <c s="30" r="Y1022"/>
      <c s="30" r="Z1022"/>
      <c s="30" r="AA1022"/>
      <c s="30" r="AB1022"/>
      <c s="30" r="AC1022"/>
      <c s="30" r="AD1022"/>
      <c s="30" r="AE1022"/>
      <c s="10" r="AF1022"/>
      <c s="10" r="AG1022"/>
      <c s="10" r="AH1022"/>
      <c s="10" r="AI1022"/>
      <c s="10" r="AJ1022"/>
      <c s="10" r="AK1022"/>
      <c s="30" r="AL1022"/>
    </row>
    <row r="1023">
      <c s="30" r="A1023"/>
      <c s="30" r="B1023"/>
      <c s="30" r="C1023"/>
      <c s="30" r="D1023"/>
      <c s="16" r="E1023"/>
      <c s="16" r="F1023"/>
      <c s="16" r="G1023"/>
      <c s="16" r="H1023"/>
      <c s="16" r="I1023"/>
      <c s="16" r="J1023"/>
      <c s="16" r="K1023"/>
      <c s="80" r="L1023"/>
      <c s="79" r="M1023"/>
      <c s="79" r="N1023"/>
      <c s="79" r="O1023"/>
      <c s="79" r="P1023"/>
      <c s="17" r="Q1023"/>
      <c s="17" r="R1023"/>
      <c s="7" r="S1023"/>
      <c s="7" r="T1023"/>
      <c s="7" r="U1023"/>
      <c s="7" r="V1023"/>
      <c s="30" r="W1023"/>
      <c s="30" r="X1023"/>
      <c s="30" r="Y1023"/>
      <c s="30" r="Z1023"/>
      <c s="30" r="AA1023"/>
      <c s="30" r="AB1023"/>
      <c s="30" r="AC1023"/>
      <c s="30" r="AD1023"/>
      <c s="30" r="AE1023"/>
      <c s="10" r="AF1023"/>
      <c s="10" r="AG1023"/>
      <c s="10" r="AH1023"/>
      <c s="10" r="AI1023"/>
      <c s="10" r="AJ1023"/>
      <c s="10" r="AK1023"/>
      <c s="30" r="AL1023"/>
    </row>
    <row r="1024">
      <c s="30" r="A1024"/>
      <c s="30" r="B1024"/>
      <c s="30" r="C1024"/>
      <c s="30" r="D1024"/>
      <c s="16" r="E1024"/>
      <c s="16" r="F1024"/>
      <c s="16" r="G1024"/>
      <c s="16" r="H1024"/>
      <c s="16" r="I1024"/>
      <c s="16" r="J1024"/>
      <c s="16" r="K1024"/>
      <c s="80" r="L1024"/>
      <c s="79" r="M1024"/>
      <c s="79" r="N1024"/>
      <c s="79" r="O1024"/>
      <c s="79" r="P1024"/>
      <c s="17" r="Q1024"/>
      <c s="17" r="R1024"/>
      <c s="7" r="S1024"/>
      <c s="7" r="T1024"/>
      <c s="7" r="U1024"/>
      <c s="7" r="V1024"/>
      <c s="30" r="W1024"/>
      <c s="30" r="X1024"/>
      <c s="30" r="Y1024"/>
      <c s="30" r="Z1024"/>
      <c s="30" r="AA1024"/>
      <c s="30" r="AB1024"/>
      <c s="30" r="AC1024"/>
      <c s="30" r="AD1024"/>
      <c s="30" r="AE1024"/>
      <c s="10" r="AF1024"/>
      <c s="10" r="AG1024"/>
      <c s="10" r="AH1024"/>
      <c s="10" r="AI1024"/>
      <c s="10" r="AJ1024"/>
      <c s="10" r="AK1024"/>
      <c s="30" r="AL1024"/>
    </row>
    <row r="1025">
      <c s="30" r="A1025"/>
      <c s="30" r="B1025"/>
      <c s="30" r="C1025"/>
      <c s="30" r="D1025"/>
      <c s="16" r="E1025"/>
      <c s="16" r="F1025"/>
      <c s="16" r="G1025"/>
      <c s="16" r="H1025"/>
      <c s="16" r="I1025"/>
      <c s="16" r="J1025"/>
      <c s="16" r="K1025"/>
      <c s="80" r="L1025"/>
      <c s="79" r="M1025"/>
      <c s="79" r="N1025"/>
      <c s="79" r="O1025"/>
      <c s="79" r="P1025"/>
      <c s="17" r="Q1025"/>
      <c s="17" r="R1025"/>
      <c s="7" r="S1025"/>
      <c s="7" r="T1025"/>
      <c s="7" r="U1025"/>
      <c s="7" r="V1025"/>
      <c s="30" r="W1025"/>
      <c s="30" r="X1025"/>
      <c s="30" r="Y1025"/>
      <c s="30" r="Z1025"/>
      <c s="30" r="AA1025"/>
      <c s="30" r="AB1025"/>
      <c s="30" r="AC1025"/>
      <c s="30" r="AD1025"/>
      <c s="30" r="AE1025"/>
      <c s="10" r="AF1025"/>
      <c s="10" r="AG1025"/>
      <c s="10" r="AH1025"/>
      <c s="10" r="AI1025"/>
      <c s="10" r="AJ1025"/>
      <c s="10" r="AK1025"/>
      <c s="30" r="AL1025"/>
    </row>
    <row r="1026">
      <c s="30" r="A1026"/>
      <c s="30" r="B1026"/>
      <c s="30" r="C1026"/>
      <c s="30" r="D1026"/>
      <c s="16" r="E1026"/>
      <c s="16" r="F1026"/>
      <c s="16" r="G1026"/>
      <c s="16" r="H1026"/>
      <c s="16" r="I1026"/>
      <c s="16" r="J1026"/>
      <c s="16" r="K1026"/>
      <c s="80" r="L1026"/>
      <c s="79" r="M1026"/>
      <c s="79" r="N1026"/>
      <c s="79" r="O1026"/>
      <c s="79" r="P1026"/>
      <c s="17" r="Q1026"/>
      <c s="17" r="R1026"/>
      <c s="7" r="S1026"/>
      <c s="7" r="T1026"/>
      <c s="7" r="U1026"/>
      <c s="7" r="V1026"/>
      <c s="30" r="W1026"/>
      <c s="30" r="X1026"/>
      <c s="30" r="Y1026"/>
      <c s="30" r="Z1026"/>
      <c s="30" r="AA1026"/>
      <c s="30" r="AB1026"/>
      <c s="30" r="AC1026"/>
      <c s="30" r="AD1026"/>
      <c s="30" r="AE1026"/>
      <c s="10" r="AF1026"/>
      <c s="10" r="AG1026"/>
      <c s="10" r="AH1026"/>
      <c s="10" r="AI1026"/>
      <c s="10" r="AJ1026"/>
      <c s="10" r="AK1026"/>
      <c s="30" r="AL1026"/>
    </row>
    <row r="1027">
      <c s="30" r="A1027"/>
      <c s="30" r="B1027"/>
      <c s="30" r="C1027"/>
      <c s="30" r="D1027"/>
      <c s="16" r="E1027"/>
      <c s="16" r="F1027"/>
      <c s="16" r="G1027"/>
      <c s="16" r="H1027"/>
      <c s="16" r="I1027"/>
      <c s="16" r="J1027"/>
      <c s="16" r="K1027"/>
      <c s="80" r="L1027"/>
      <c s="79" r="M1027"/>
      <c s="79" r="N1027"/>
      <c s="79" r="O1027"/>
      <c s="79" r="P1027"/>
      <c s="17" r="Q1027"/>
      <c s="17" r="R1027"/>
      <c s="7" r="S1027"/>
      <c s="7" r="T1027"/>
      <c s="7" r="U1027"/>
      <c s="7" r="V1027"/>
      <c s="30" r="W1027"/>
      <c s="30" r="X1027"/>
      <c s="30" r="Y1027"/>
      <c s="30" r="Z1027"/>
      <c s="30" r="AA1027"/>
      <c s="30" r="AB1027"/>
      <c s="30" r="AC1027"/>
      <c s="30" r="AD1027"/>
      <c s="30" r="AE1027"/>
      <c s="10" r="AF1027"/>
      <c s="10" r="AG1027"/>
      <c s="10" r="AH1027"/>
      <c s="10" r="AI1027"/>
      <c s="10" r="AJ1027"/>
      <c s="10" r="AK1027"/>
      <c s="30" r="AL1027"/>
    </row>
    <row r="1028">
      <c s="30" r="A1028"/>
      <c s="30" r="B1028"/>
      <c s="30" r="C1028"/>
      <c s="30" r="D1028"/>
      <c s="16" r="E1028"/>
      <c s="16" r="F1028"/>
      <c s="16" r="G1028"/>
      <c s="16" r="H1028"/>
      <c s="16" r="I1028"/>
      <c s="16" r="J1028"/>
      <c s="16" r="K1028"/>
      <c s="80" r="L1028"/>
      <c s="79" r="M1028"/>
      <c s="79" r="N1028"/>
      <c s="79" r="O1028"/>
      <c s="79" r="P1028"/>
      <c s="17" r="Q1028"/>
      <c s="17" r="R1028"/>
      <c s="7" r="S1028"/>
      <c s="7" r="T1028"/>
      <c s="7" r="U1028"/>
      <c s="7" r="V1028"/>
      <c s="30" r="W1028"/>
      <c s="30" r="X1028"/>
      <c s="30" r="Y1028"/>
      <c s="30" r="Z1028"/>
      <c s="30" r="AA1028"/>
      <c s="30" r="AB1028"/>
      <c s="30" r="AC1028"/>
      <c s="30" r="AD1028"/>
      <c s="30" r="AE1028"/>
      <c s="10" r="AF1028"/>
      <c s="10" r="AG1028"/>
      <c s="10" r="AH1028"/>
      <c s="10" r="AI1028"/>
      <c s="10" r="AJ1028"/>
      <c s="10" r="AK1028"/>
      <c s="30" r="AL1028"/>
    </row>
    <row r="1029">
      <c s="30" r="A1029"/>
      <c s="30" r="B1029"/>
      <c s="30" r="C1029"/>
      <c s="30" r="D1029"/>
      <c s="16" r="E1029"/>
      <c s="16" r="F1029"/>
      <c s="16" r="G1029"/>
      <c s="16" r="H1029"/>
      <c s="16" r="I1029"/>
      <c s="16" r="J1029"/>
      <c s="16" r="K1029"/>
      <c s="80" r="L1029"/>
      <c s="79" r="M1029"/>
      <c s="79" r="N1029"/>
      <c s="79" r="O1029"/>
      <c s="79" r="P1029"/>
      <c s="17" r="Q1029"/>
      <c s="17" r="R1029"/>
      <c s="7" r="S1029"/>
      <c s="7" r="T1029"/>
      <c s="7" r="U1029"/>
      <c s="7" r="V1029"/>
      <c s="30" r="W1029"/>
      <c s="30" r="X1029"/>
      <c s="30" r="Y1029"/>
      <c s="30" r="Z1029"/>
      <c s="30" r="AA1029"/>
      <c s="30" r="AB1029"/>
      <c s="30" r="AC1029"/>
      <c s="30" r="AD1029"/>
      <c s="30" r="AE1029"/>
      <c s="10" r="AF1029"/>
      <c s="10" r="AG1029"/>
      <c s="10" r="AH1029"/>
      <c s="10" r="AI1029"/>
      <c s="10" r="AJ1029"/>
      <c s="10" r="AK1029"/>
      <c s="30" r="AL1029"/>
    </row>
    <row r="1030">
      <c s="30" r="A1030"/>
      <c s="30" r="B1030"/>
      <c s="30" r="C1030"/>
      <c s="30" r="D1030"/>
      <c s="16" r="E1030"/>
      <c s="16" r="F1030"/>
      <c s="16" r="G1030"/>
      <c s="16" r="H1030"/>
      <c s="16" r="I1030"/>
      <c s="16" r="J1030"/>
      <c s="16" r="K1030"/>
      <c s="80" r="L1030"/>
      <c s="79" r="M1030"/>
      <c s="79" r="N1030"/>
      <c s="79" r="O1030"/>
      <c s="79" r="P1030"/>
      <c s="17" r="Q1030"/>
      <c s="17" r="R1030"/>
      <c s="7" r="S1030"/>
      <c s="7" r="T1030"/>
      <c s="7" r="U1030"/>
      <c s="7" r="V1030"/>
      <c s="30" r="W1030"/>
      <c s="30" r="X1030"/>
      <c s="30" r="Y1030"/>
      <c s="30" r="Z1030"/>
      <c s="30" r="AA1030"/>
      <c s="30" r="AB1030"/>
      <c s="30" r="AC1030"/>
      <c s="30" r="AD1030"/>
      <c s="30" r="AE1030"/>
      <c s="10" r="AF1030"/>
      <c s="10" r="AG1030"/>
      <c s="10" r="AH1030"/>
      <c s="10" r="AI1030"/>
      <c s="10" r="AJ1030"/>
      <c s="10" r="AK1030"/>
      <c s="30" r="AL1030"/>
    </row>
    <row r="1031">
      <c s="30" r="A1031"/>
      <c s="30" r="B1031"/>
      <c s="30" r="C1031"/>
      <c s="30" r="D1031"/>
      <c s="16" r="E1031"/>
      <c s="16" r="F1031"/>
      <c s="16" r="G1031"/>
      <c s="16" r="H1031"/>
      <c s="16" r="I1031"/>
      <c s="16" r="J1031"/>
      <c s="16" r="K1031"/>
      <c s="80" r="L1031"/>
      <c s="79" r="M1031"/>
      <c s="79" r="N1031"/>
      <c s="79" r="O1031"/>
      <c s="79" r="P1031"/>
      <c s="17" r="Q1031"/>
      <c s="17" r="R1031"/>
      <c s="7" r="S1031"/>
      <c s="7" r="T1031"/>
      <c s="7" r="U1031"/>
      <c s="7" r="V1031"/>
      <c s="30" r="W1031"/>
      <c s="30" r="X1031"/>
      <c s="30" r="Y1031"/>
      <c s="30" r="Z1031"/>
      <c s="30" r="AA1031"/>
      <c s="30" r="AB1031"/>
      <c s="30" r="AC1031"/>
      <c s="30" r="AD1031"/>
      <c s="30" r="AE1031"/>
      <c s="10" r="AF1031"/>
      <c s="10" r="AG1031"/>
      <c s="10" r="AH1031"/>
      <c s="10" r="AI1031"/>
      <c s="10" r="AJ1031"/>
      <c s="10" r="AK1031"/>
      <c s="30" r="AL1031"/>
    </row>
    <row r="1032">
      <c s="30" r="A1032"/>
      <c s="30" r="B1032"/>
      <c s="30" r="C1032"/>
      <c s="30" r="D1032"/>
      <c s="16" r="E1032"/>
      <c s="16" r="F1032"/>
      <c s="16" r="G1032"/>
      <c s="16" r="H1032"/>
      <c s="16" r="I1032"/>
      <c s="16" r="J1032"/>
      <c s="16" r="K1032"/>
      <c s="80" r="L1032"/>
      <c s="79" r="M1032"/>
      <c s="79" r="N1032"/>
      <c s="79" r="O1032"/>
      <c s="79" r="P1032"/>
      <c s="17" r="Q1032"/>
      <c s="17" r="R1032"/>
      <c s="7" r="S1032"/>
      <c s="7" r="T1032"/>
      <c s="7" r="U1032"/>
      <c s="7" r="V1032"/>
      <c s="30" r="W1032"/>
      <c s="30" r="X1032"/>
      <c s="30" r="Y1032"/>
      <c s="30" r="Z1032"/>
      <c s="30" r="AA1032"/>
      <c s="30" r="AB1032"/>
      <c s="30" r="AC1032"/>
      <c s="30" r="AD1032"/>
      <c s="30" r="AE1032"/>
      <c s="10" r="AF1032"/>
      <c s="10" r="AG1032"/>
      <c s="10" r="AH1032"/>
      <c s="10" r="AI1032"/>
      <c s="10" r="AJ1032"/>
      <c s="10" r="AK1032"/>
      <c s="30" r="AL1032"/>
    </row>
    <row r="1033">
      <c s="30" r="A1033"/>
      <c s="30" r="B1033"/>
      <c s="30" r="C1033"/>
      <c s="30" r="D1033"/>
      <c s="16" r="E1033"/>
      <c s="16" r="F1033"/>
      <c s="16" r="G1033"/>
      <c s="16" r="H1033"/>
      <c s="16" r="I1033"/>
      <c s="16" r="J1033"/>
      <c s="16" r="K1033"/>
      <c s="80" r="L1033"/>
      <c s="79" r="M1033"/>
      <c s="79" r="N1033"/>
      <c s="79" r="O1033"/>
      <c s="79" r="P1033"/>
      <c s="17" r="Q1033"/>
      <c s="17" r="R1033"/>
      <c s="7" r="S1033"/>
      <c s="7" r="T1033"/>
      <c s="7" r="U1033"/>
      <c s="7" r="V1033"/>
      <c s="30" r="W1033"/>
      <c s="30" r="X1033"/>
      <c s="30" r="Y1033"/>
      <c s="30" r="Z1033"/>
      <c s="30" r="AA1033"/>
      <c s="30" r="AB1033"/>
      <c s="30" r="AC1033"/>
      <c s="30" r="AD1033"/>
      <c s="30" r="AE1033"/>
      <c s="10" r="AF1033"/>
      <c s="10" r="AG1033"/>
      <c s="10" r="AH1033"/>
      <c s="10" r="AI1033"/>
      <c s="10" r="AJ1033"/>
      <c s="10" r="AK1033"/>
      <c s="30" r="AL1033"/>
    </row>
    <row r="1034">
      <c s="30" r="A1034"/>
      <c s="30" r="B1034"/>
      <c s="30" r="C1034"/>
      <c s="30" r="D1034"/>
      <c s="16" r="E1034"/>
      <c s="16" r="F1034"/>
      <c s="16" r="G1034"/>
      <c s="16" r="H1034"/>
      <c s="16" r="I1034"/>
      <c s="16" r="J1034"/>
      <c s="16" r="K1034"/>
      <c s="80" r="L1034"/>
      <c s="79" r="M1034"/>
      <c s="79" r="N1034"/>
      <c s="79" r="O1034"/>
      <c s="79" r="P1034"/>
      <c s="17" r="Q1034"/>
      <c s="17" r="R1034"/>
      <c s="7" r="S1034"/>
      <c s="7" r="T1034"/>
      <c s="7" r="U1034"/>
      <c s="7" r="V1034"/>
      <c s="30" r="W1034"/>
      <c s="30" r="X1034"/>
      <c s="30" r="Y1034"/>
      <c s="30" r="Z1034"/>
      <c s="30" r="AA1034"/>
      <c s="30" r="AB1034"/>
      <c s="30" r="AC1034"/>
      <c s="30" r="AD1034"/>
      <c s="30" r="AE1034"/>
      <c s="10" r="AF1034"/>
      <c s="10" r="AG1034"/>
      <c s="10" r="AH1034"/>
      <c s="10" r="AI1034"/>
      <c s="10" r="AJ1034"/>
      <c s="10" r="AK1034"/>
      <c s="30" r="AL1034"/>
    </row>
    <row r="1035">
      <c s="30" r="A1035"/>
      <c s="30" r="B1035"/>
      <c s="30" r="C1035"/>
      <c s="30" r="D1035"/>
      <c s="16" r="E1035"/>
      <c s="16" r="F1035"/>
      <c s="16" r="G1035"/>
      <c s="16" r="H1035"/>
      <c s="16" r="I1035"/>
      <c s="16" r="J1035"/>
      <c s="16" r="K1035"/>
      <c s="80" r="L1035"/>
      <c s="79" r="M1035"/>
      <c s="79" r="N1035"/>
      <c s="79" r="O1035"/>
      <c s="79" r="P1035"/>
      <c s="17" r="Q1035"/>
      <c s="17" r="R1035"/>
      <c s="7" r="S1035"/>
      <c s="7" r="T1035"/>
      <c s="7" r="U1035"/>
      <c s="7" r="V1035"/>
      <c s="30" r="W1035"/>
      <c s="30" r="X1035"/>
      <c s="30" r="Y1035"/>
      <c s="30" r="Z1035"/>
      <c s="30" r="AA1035"/>
      <c s="30" r="AB1035"/>
      <c s="30" r="AC1035"/>
      <c s="30" r="AD1035"/>
      <c s="30" r="AE1035"/>
      <c s="10" r="AF1035"/>
      <c s="10" r="AG1035"/>
      <c s="10" r="AH1035"/>
      <c s="10" r="AI1035"/>
      <c s="10" r="AJ1035"/>
      <c s="10" r="AK1035"/>
      <c s="30" r="AL1035"/>
    </row>
    <row r="1036">
      <c s="30" r="A1036"/>
      <c s="30" r="B1036"/>
      <c s="30" r="C1036"/>
      <c s="30" r="D1036"/>
      <c s="16" r="E1036"/>
      <c s="16" r="F1036"/>
      <c s="16" r="G1036"/>
      <c s="16" r="H1036"/>
      <c s="16" r="I1036"/>
      <c s="16" r="J1036"/>
      <c s="16" r="K1036"/>
      <c s="80" r="L1036"/>
      <c s="79" r="M1036"/>
      <c s="79" r="N1036"/>
      <c s="79" r="O1036"/>
      <c s="79" r="P1036"/>
      <c s="17" r="Q1036"/>
      <c s="17" r="R1036"/>
      <c s="7" r="S1036"/>
      <c s="7" r="T1036"/>
      <c s="7" r="U1036"/>
      <c s="7" r="V1036"/>
      <c s="30" r="W1036"/>
      <c s="30" r="X1036"/>
      <c s="30" r="Y1036"/>
      <c s="30" r="Z1036"/>
      <c s="30" r="AA1036"/>
      <c s="30" r="AB1036"/>
      <c s="30" r="AC1036"/>
      <c s="30" r="AD1036"/>
      <c s="30" r="AE1036"/>
      <c s="10" r="AF1036"/>
      <c s="10" r="AG1036"/>
      <c s="10" r="AH1036"/>
      <c s="10" r="AI1036"/>
      <c s="10" r="AJ1036"/>
      <c s="10" r="AK1036"/>
      <c s="30" r="AL1036"/>
    </row>
    <row r="1037">
      <c s="30" r="A1037"/>
      <c s="30" r="B1037"/>
      <c s="30" r="C1037"/>
      <c s="30" r="D1037"/>
      <c s="16" r="E1037"/>
      <c s="16" r="F1037"/>
      <c s="16" r="G1037"/>
      <c s="16" r="H1037"/>
      <c s="16" r="I1037"/>
      <c s="16" r="J1037"/>
      <c s="16" r="K1037"/>
      <c s="80" r="L1037"/>
      <c s="79" r="M1037"/>
      <c s="79" r="N1037"/>
      <c s="79" r="O1037"/>
      <c s="79" r="P1037"/>
      <c s="17" r="Q1037"/>
      <c s="17" r="R1037"/>
      <c s="7" r="S1037"/>
      <c s="7" r="T1037"/>
      <c s="7" r="U1037"/>
      <c s="7" r="V1037"/>
      <c s="30" r="W1037"/>
      <c s="30" r="X1037"/>
      <c s="30" r="Y1037"/>
      <c s="30" r="Z1037"/>
      <c s="30" r="AA1037"/>
      <c s="30" r="AB1037"/>
      <c s="30" r="AC1037"/>
      <c s="30" r="AD1037"/>
      <c s="30" r="AE1037"/>
      <c s="10" r="AF1037"/>
      <c s="10" r="AG1037"/>
      <c s="10" r="AH1037"/>
      <c s="10" r="AI1037"/>
      <c s="10" r="AJ1037"/>
      <c s="10" r="AK1037"/>
      <c s="30" r="AL1037"/>
    </row>
    <row r="1038">
      <c s="30" r="A1038"/>
      <c s="30" r="B1038"/>
      <c s="30" r="C1038"/>
      <c s="30" r="D1038"/>
      <c s="16" r="E1038"/>
      <c s="16" r="F1038"/>
      <c s="16" r="G1038"/>
      <c s="16" r="H1038"/>
      <c s="16" r="I1038"/>
      <c s="16" r="J1038"/>
      <c s="16" r="K1038"/>
      <c s="80" r="L1038"/>
      <c s="79" r="M1038"/>
      <c s="79" r="N1038"/>
      <c s="79" r="O1038"/>
      <c s="79" r="P1038"/>
      <c s="17" r="Q1038"/>
      <c s="17" r="R1038"/>
      <c s="7" r="S1038"/>
      <c s="7" r="T1038"/>
      <c s="7" r="U1038"/>
      <c s="7" r="V1038"/>
      <c s="30" r="W1038"/>
      <c s="30" r="X1038"/>
      <c s="30" r="Y1038"/>
      <c s="30" r="Z1038"/>
      <c s="30" r="AA1038"/>
      <c s="30" r="AB1038"/>
      <c s="30" r="AC1038"/>
      <c s="30" r="AD1038"/>
      <c s="30" r="AE1038"/>
      <c s="10" r="AF1038"/>
      <c s="10" r="AG1038"/>
      <c s="10" r="AH1038"/>
      <c s="10" r="AI1038"/>
      <c s="10" r="AJ1038"/>
      <c s="10" r="AK1038"/>
      <c s="30" r="AL1038"/>
    </row>
    <row r="1039">
      <c s="30" r="A1039"/>
      <c s="30" r="B1039"/>
      <c s="30" r="C1039"/>
      <c s="30" r="D1039"/>
      <c s="16" r="E1039"/>
      <c s="16" r="F1039"/>
      <c s="16" r="G1039"/>
      <c s="16" r="H1039"/>
      <c s="16" r="I1039"/>
      <c s="16" r="J1039"/>
      <c s="16" r="K1039"/>
      <c s="80" r="L1039"/>
      <c s="79" r="M1039"/>
      <c s="79" r="N1039"/>
      <c s="79" r="O1039"/>
      <c s="79" r="P1039"/>
      <c s="17" r="Q1039"/>
      <c s="17" r="R1039"/>
      <c s="7" r="S1039"/>
      <c s="7" r="T1039"/>
      <c s="7" r="U1039"/>
      <c s="7" r="V1039"/>
      <c s="30" r="W1039"/>
      <c s="30" r="X1039"/>
      <c s="30" r="Y1039"/>
      <c s="30" r="Z1039"/>
      <c s="30" r="AA1039"/>
      <c s="30" r="AB1039"/>
      <c s="30" r="AC1039"/>
      <c s="30" r="AD1039"/>
      <c s="30" r="AE1039"/>
      <c s="10" r="AF1039"/>
      <c s="10" r="AG1039"/>
      <c s="10" r="AH1039"/>
      <c s="10" r="AI1039"/>
      <c s="10" r="AJ1039"/>
      <c s="10" r="AK1039"/>
      <c s="30" r="AL1039"/>
    </row>
    <row r="1040">
      <c s="30" r="A1040"/>
      <c s="30" r="B1040"/>
      <c s="30" r="C1040"/>
      <c s="30" r="D1040"/>
      <c s="16" r="E1040"/>
      <c s="16" r="F1040"/>
      <c s="16" r="G1040"/>
      <c s="16" r="H1040"/>
      <c s="16" r="I1040"/>
      <c s="16" r="J1040"/>
      <c s="16" r="K1040"/>
      <c s="80" r="L1040"/>
      <c s="79" r="M1040"/>
      <c s="79" r="N1040"/>
      <c s="79" r="O1040"/>
      <c s="79" r="P1040"/>
      <c s="17" r="Q1040"/>
      <c s="17" r="R1040"/>
      <c s="7" r="S1040"/>
      <c s="7" r="T1040"/>
      <c s="7" r="U1040"/>
      <c s="7" r="V1040"/>
      <c s="30" r="W1040"/>
      <c s="30" r="X1040"/>
      <c s="30" r="Y1040"/>
      <c s="30" r="Z1040"/>
      <c s="30" r="AA1040"/>
      <c s="30" r="AB1040"/>
      <c s="30" r="AC1040"/>
      <c s="30" r="AD1040"/>
      <c s="30" r="AE1040"/>
      <c s="10" r="AF1040"/>
      <c s="10" r="AG1040"/>
      <c s="10" r="AH1040"/>
      <c s="10" r="AI1040"/>
      <c s="10" r="AJ1040"/>
      <c s="10" r="AK1040"/>
      <c s="30" r="AL1040"/>
    </row>
    <row r="1041">
      <c s="30" r="A1041"/>
      <c s="30" r="B1041"/>
      <c s="30" r="C1041"/>
      <c s="30" r="D1041"/>
      <c s="16" r="E1041"/>
      <c s="16" r="F1041"/>
      <c s="16" r="G1041"/>
      <c s="16" r="H1041"/>
      <c s="16" r="I1041"/>
      <c s="16" r="J1041"/>
      <c s="16" r="K1041"/>
      <c s="80" r="L1041"/>
      <c s="79" r="M1041"/>
      <c s="79" r="N1041"/>
      <c s="79" r="O1041"/>
      <c s="79" r="P1041"/>
      <c s="17" r="Q1041"/>
      <c s="17" r="R1041"/>
      <c s="7" r="S1041"/>
      <c s="7" r="T1041"/>
      <c s="7" r="U1041"/>
      <c s="7" r="V1041"/>
      <c s="30" r="W1041"/>
      <c s="30" r="X1041"/>
      <c s="30" r="Y1041"/>
      <c s="30" r="Z1041"/>
      <c s="30" r="AA1041"/>
      <c s="30" r="AB1041"/>
      <c s="30" r="AC1041"/>
      <c s="30" r="AD1041"/>
      <c s="30" r="AE1041"/>
      <c s="10" r="AF1041"/>
      <c s="10" r="AG1041"/>
      <c s="10" r="AH1041"/>
      <c s="10" r="AI1041"/>
      <c s="10" r="AJ1041"/>
      <c s="10" r="AK1041"/>
      <c s="30" r="AL1041"/>
    </row>
    <row r="1042">
      <c s="30" r="A1042"/>
      <c s="30" r="B1042"/>
      <c s="30" r="C1042"/>
      <c s="30" r="D1042"/>
      <c s="16" r="E1042"/>
      <c s="16" r="F1042"/>
      <c s="16" r="G1042"/>
      <c s="16" r="H1042"/>
      <c s="16" r="I1042"/>
      <c s="16" r="J1042"/>
      <c s="16" r="K1042"/>
      <c s="80" r="L1042"/>
      <c s="79" r="M1042"/>
      <c s="79" r="N1042"/>
      <c s="79" r="O1042"/>
      <c s="79" r="P1042"/>
      <c s="17" r="Q1042"/>
      <c s="17" r="R1042"/>
      <c s="7" r="S1042"/>
      <c s="7" r="T1042"/>
      <c s="7" r="U1042"/>
      <c s="7" r="V1042"/>
      <c s="30" r="W1042"/>
      <c s="30" r="X1042"/>
      <c s="30" r="Y1042"/>
      <c s="30" r="Z1042"/>
      <c s="30" r="AA1042"/>
      <c s="30" r="AB1042"/>
      <c s="30" r="AC1042"/>
      <c s="30" r="AD1042"/>
      <c s="30" r="AE1042"/>
      <c s="10" r="AF1042"/>
      <c s="10" r="AG1042"/>
      <c s="10" r="AH1042"/>
      <c s="10" r="AI1042"/>
      <c s="10" r="AJ1042"/>
      <c s="10" r="AK1042"/>
      <c s="30" r="AL1042"/>
    </row>
    <row r="1043">
      <c s="30" r="A1043"/>
      <c s="30" r="B1043"/>
      <c s="30" r="C1043"/>
      <c s="30" r="D1043"/>
      <c s="16" r="E1043"/>
      <c s="16" r="F1043"/>
      <c s="16" r="G1043"/>
      <c s="16" r="H1043"/>
      <c s="16" r="I1043"/>
      <c s="16" r="J1043"/>
      <c s="16" r="K1043"/>
      <c s="80" r="L1043"/>
      <c s="79" r="M1043"/>
      <c s="79" r="N1043"/>
      <c s="79" r="O1043"/>
      <c s="79" r="P1043"/>
      <c s="17" r="Q1043"/>
      <c s="17" r="R1043"/>
      <c s="7" r="S1043"/>
      <c s="7" r="T1043"/>
      <c s="7" r="U1043"/>
      <c s="7" r="V1043"/>
      <c s="30" r="W1043"/>
      <c s="30" r="X1043"/>
      <c s="30" r="Y1043"/>
      <c s="30" r="Z1043"/>
      <c s="30" r="AA1043"/>
      <c s="30" r="AB1043"/>
      <c s="30" r="AC1043"/>
      <c s="30" r="AD1043"/>
      <c s="30" r="AE1043"/>
      <c s="10" r="AF1043"/>
      <c s="10" r="AG1043"/>
      <c s="10" r="AH1043"/>
      <c s="10" r="AI1043"/>
      <c s="10" r="AJ1043"/>
      <c s="10" r="AK1043"/>
      <c s="30" r="AL1043"/>
    </row>
    <row r="1044">
      <c s="30" r="A1044"/>
      <c s="30" r="B1044"/>
      <c s="30" r="C1044"/>
      <c s="30" r="D1044"/>
      <c s="16" r="E1044"/>
      <c s="16" r="F1044"/>
      <c s="16" r="G1044"/>
      <c s="16" r="H1044"/>
      <c s="16" r="I1044"/>
      <c s="16" r="J1044"/>
      <c s="16" r="K1044"/>
      <c s="80" r="L1044"/>
      <c s="79" r="M1044"/>
      <c s="79" r="N1044"/>
      <c s="79" r="O1044"/>
      <c s="79" r="P1044"/>
      <c s="17" r="Q1044"/>
      <c s="17" r="R1044"/>
      <c s="7" r="S1044"/>
      <c s="7" r="T1044"/>
      <c s="7" r="U1044"/>
      <c s="7" r="V1044"/>
      <c s="30" r="W1044"/>
      <c s="30" r="X1044"/>
      <c s="30" r="Y1044"/>
      <c s="30" r="Z1044"/>
      <c s="30" r="AA1044"/>
      <c s="30" r="AB1044"/>
      <c s="30" r="AC1044"/>
      <c s="30" r="AD1044"/>
      <c s="30" r="AE1044"/>
      <c s="10" r="AF1044"/>
      <c s="10" r="AG1044"/>
      <c s="10" r="AH1044"/>
      <c s="10" r="AI1044"/>
      <c s="10" r="AJ1044"/>
      <c s="10" r="AK1044"/>
      <c s="30" r="AL1044"/>
    </row>
    <row r="1045">
      <c s="30" r="A1045"/>
      <c s="30" r="B1045"/>
      <c s="30" r="C1045"/>
      <c s="30" r="D1045"/>
      <c s="16" r="E1045"/>
      <c s="16" r="F1045"/>
      <c s="16" r="G1045"/>
      <c s="16" r="H1045"/>
      <c s="16" r="I1045"/>
      <c s="16" r="J1045"/>
      <c s="16" r="K1045"/>
      <c s="80" r="L1045"/>
      <c s="79" r="M1045"/>
      <c s="79" r="N1045"/>
      <c s="79" r="O1045"/>
      <c s="79" r="P1045"/>
      <c s="17" r="Q1045"/>
      <c s="17" r="R1045"/>
      <c s="7" r="S1045"/>
      <c s="7" r="T1045"/>
      <c s="7" r="U1045"/>
      <c s="7" r="V1045"/>
      <c s="30" r="W1045"/>
      <c s="30" r="X1045"/>
      <c s="30" r="Y1045"/>
      <c s="30" r="Z1045"/>
      <c s="30" r="AA1045"/>
      <c s="30" r="AB1045"/>
      <c s="30" r="AC1045"/>
      <c s="30" r="AD1045"/>
      <c s="30" r="AE1045"/>
      <c s="10" r="AF1045"/>
      <c s="10" r="AG1045"/>
      <c s="10" r="AH1045"/>
      <c s="10" r="AI1045"/>
      <c s="10" r="AJ1045"/>
      <c s="10" r="AK1045"/>
      <c s="30" r="AL1045"/>
    </row>
    <row r="1046">
      <c s="30" r="A1046"/>
      <c s="30" r="B1046"/>
      <c s="30" r="C1046"/>
      <c s="30" r="D1046"/>
      <c s="16" r="E1046"/>
      <c s="16" r="F1046"/>
      <c s="16" r="G1046"/>
      <c s="16" r="H1046"/>
      <c s="16" r="I1046"/>
      <c s="16" r="J1046"/>
      <c s="16" r="K1046"/>
      <c s="80" r="L1046"/>
      <c s="79" r="M1046"/>
      <c s="79" r="N1046"/>
      <c s="79" r="O1046"/>
      <c s="79" r="P1046"/>
      <c s="17" r="Q1046"/>
      <c s="17" r="R1046"/>
      <c s="7" r="S1046"/>
      <c s="7" r="T1046"/>
      <c s="7" r="U1046"/>
      <c s="7" r="V1046"/>
      <c s="30" r="W1046"/>
      <c s="30" r="X1046"/>
      <c s="30" r="Y1046"/>
      <c s="30" r="Z1046"/>
      <c s="30" r="AA1046"/>
      <c s="30" r="AB1046"/>
      <c s="30" r="AC1046"/>
      <c s="30" r="AD1046"/>
      <c s="30" r="AE1046"/>
      <c s="10" r="AF1046"/>
      <c s="10" r="AG1046"/>
      <c s="10" r="AH1046"/>
      <c s="10" r="AI1046"/>
      <c s="10" r="AJ1046"/>
      <c s="10" r="AK1046"/>
      <c s="30" r="AL1046"/>
    </row>
    <row r="1047">
      <c s="30" r="A1047"/>
      <c s="30" r="B1047"/>
      <c s="30" r="C1047"/>
      <c s="30" r="D1047"/>
      <c s="16" r="E1047"/>
      <c s="16" r="F1047"/>
      <c s="16" r="G1047"/>
      <c s="16" r="H1047"/>
      <c s="16" r="I1047"/>
      <c s="16" r="J1047"/>
      <c s="16" r="K1047"/>
      <c s="80" r="L1047"/>
      <c s="79" r="M1047"/>
      <c s="79" r="N1047"/>
      <c s="79" r="O1047"/>
      <c s="79" r="P1047"/>
      <c s="17" r="Q1047"/>
      <c s="17" r="R1047"/>
      <c s="7" r="S1047"/>
      <c s="7" r="T1047"/>
      <c s="7" r="U1047"/>
      <c s="7" r="V1047"/>
      <c s="30" r="W1047"/>
      <c s="30" r="X1047"/>
      <c s="30" r="Y1047"/>
      <c s="30" r="Z1047"/>
      <c s="30" r="AA1047"/>
      <c s="30" r="AB1047"/>
      <c s="30" r="AC1047"/>
      <c s="30" r="AD1047"/>
      <c s="30" r="AE1047"/>
      <c s="10" r="AF1047"/>
      <c s="10" r="AG1047"/>
      <c s="10" r="AH1047"/>
      <c s="10" r="AI1047"/>
      <c s="10" r="AJ1047"/>
      <c s="10" r="AK1047"/>
      <c s="30" r="AL1047"/>
    </row>
    <row r="1048">
      <c s="30" r="A1048"/>
      <c s="30" r="B1048"/>
      <c s="30" r="C1048"/>
      <c s="30" r="D1048"/>
      <c s="16" r="E1048"/>
      <c s="16" r="F1048"/>
      <c s="16" r="G1048"/>
      <c s="16" r="H1048"/>
      <c s="16" r="I1048"/>
      <c s="16" r="J1048"/>
      <c s="16" r="K1048"/>
      <c s="80" r="L1048"/>
      <c s="79" r="M1048"/>
      <c s="79" r="N1048"/>
      <c s="79" r="O1048"/>
      <c s="79" r="P1048"/>
      <c s="17" r="Q1048"/>
      <c s="17" r="R1048"/>
      <c s="7" r="S1048"/>
      <c s="7" r="T1048"/>
      <c s="7" r="U1048"/>
      <c s="7" r="V1048"/>
      <c s="30" r="W1048"/>
      <c s="30" r="X1048"/>
      <c s="30" r="Y1048"/>
      <c s="30" r="Z1048"/>
      <c s="30" r="AA1048"/>
      <c s="30" r="AB1048"/>
      <c s="30" r="AC1048"/>
      <c s="30" r="AD1048"/>
      <c s="30" r="AE1048"/>
      <c s="10" r="AF1048"/>
      <c s="10" r="AG1048"/>
      <c s="10" r="AH1048"/>
      <c s="10" r="AI1048"/>
      <c s="10" r="AJ1048"/>
      <c s="10" r="AK1048"/>
      <c s="30" r="AL1048"/>
    </row>
    <row r="1049">
      <c s="30" r="A1049"/>
      <c s="30" r="B1049"/>
      <c s="30" r="C1049"/>
      <c s="30" r="D1049"/>
      <c s="16" r="E1049"/>
      <c s="16" r="F1049"/>
      <c s="16" r="G1049"/>
      <c s="16" r="H1049"/>
      <c s="16" r="I1049"/>
      <c s="16" r="J1049"/>
      <c s="16" r="K1049"/>
      <c s="80" r="L1049"/>
      <c s="79" r="M1049"/>
      <c s="79" r="N1049"/>
      <c s="79" r="O1049"/>
      <c s="79" r="P1049"/>
      <c s="17" r="Q1049"/>
      <c s="17" r="R1049"/>
      <c s="7" r="S1049"/>
      <c s="7" r="T1049"/>
      <c s="7" r="U1049"/>
      <c s="7" r="V1049"/>
      <c s="30" r="W1049"/>
      <c s="30" r="X1049"/>
      <c s="30" r="Y1049"/>
      <c s="30" r="Z1049"/>
      <c s="30" r="AA1049"/>
      <c s="30" r="AB1049"/>
      <c s="30" r="AC1049"/>
      <c s="30" r="AD1049"/>
      <c s="30" r="AE1049"/>
      <c s="10" r="AF1049"/>
      <c s="10" r="AG1049"/>
      <c s="10" r="AH1049"/>
      <c s="10" r="AI1049"/>
      <c s="10" r="AJ1049"/>
      <c s="10" r="AK1049"/>
      <c s="30" r="AL1049"/>
    </row>
    <row r="1050">
      <c s="30" r="A1050"/>
      <c s="30" r="B1050"/>
      <c s="30" r="C1050"/>
      <c s="30" r="D1050"/>
      <c s="16" r="E1050"/>
      <c s="16" r="F1050"/>
      <c s="16" r="G1050"/>
      <c s="16" r="H1050"/>
      <c s="16" r="I1050"/>
      <c s="16" r="J1050"/>
      <c s="16" r="K1050"/>
      <c s="80" r="L1050"/>
      <c s="79" r="M1050"/>
      <c s="79" r="N1050"/>
      <c s="79" r="O1050"/>
      <c s="79" r="P1050"/>
      <c s="17" r="Q1050"/>
      <c s="17" r="R1050"/>
      <c s="7" r="S1050"/>
      <c s="7" r="T1050"/>
      <c s="7" r="U1050"/>
      <c s="7" r="V1050"/>
      <c s="30" r="W1050"/>
      <c s="30" r="X1050"/>
      <c s="30" r="Y1050"/>
      <c s="30" r="Z1050"/>
      <c s="30" r="AA1050"/>
      <c s="30" r="AB1050"/>
      <c s="30" r="AC1050"/>
      <c s="30" r="AD1050"/>
      <c s="30" r="AE1050"/>
      <c s="10" r="AF1050"/>
      <c s="10" r="AG1050"/>
      <c s="10" r="AH1050"/>
      <c s="10" r="AI1050"/>
      <c s="10" r="AJ1050"/>
      <c s="10" r="AK1050"/>
      <c s="30" r="AL1050"/>
    </row>
    <row r="1051">
      <c s="30" r="A1051"/>
      <c s="30" r="B1051"/>
      <c s="30" r="C1051"/>
      <c s="30" r="D1051"/>
      <c s="16" r="E1051"/>
      <c s="16" r="F1051"/>
      <c s="16" r="G1051"/>
      <c s="16" r="H1051"/>
      <c s="16" r="I1051"/>
      <c s="16" r="J1051"/>
      <c s="16" r="K1051"/>
      <c s="80" r="L1051"/>
      <c s="79" r="M1051"/>
      <c s="79" r="N1051"/>
      <c s="79" r="O1051"/>
      <c s="79" r="P1051"/>
      <c s="17" r="Q1051"/>
      <c s="17" r="R1051"/>
      <c s="7" r="S1051"/>
      <c s="7" r="T1051"/>
      <c s="7" r="U1051"/>
      <c s="7" r="V1051"/>
      <c s="30" r="W1051"/>
      <c s="30" r="X1051"/>
      <c s="30" r="Y1051"/>
      <c s="30" r="Z1051"/>
      <c s="30" r="AA1051"/>
      <c s="30" r="AB1051"/>
      <c s="30" r="AC1051"/>
      <c s="30" r="AD1051"/>
      <c s="30" r="AE1051"/>
      <c s="10" r="AF1051"/>
      <c s="10" r="AG1051"/>
      <c s="10" r="AH1051"/>
      <c s="10" r="AI1051"/>
      <c s="10" r="AJ1051"/>
      <c s="10" r="AK1051"/>
      <c s="30" r="AL1051"/>
    </row>
    <row r="1052">
      <c s="30" r="A1052"/>
      <c s="30" r="B1052"/>
      <c s="30" r="C1052"/>
      <c s="30" r="D1052"/>
      <c s="16" r="E1052"/>
      <c s="16" r="F1052"/>
      <c s="16" r="G1052"/>
      <c s="16" r="H1052"/>
      <c s="16" r="I1052"/>
      <c s="16" r="J1052"/>
      <c s="16" r="K1052"/>
      <c s="80" r="L1052"/>
      <c s="79" r="M1052"/>
      <c s="79" r="N1052"/>
      <c s="79" r="O1052"/>
      <c s="79" r="P1052"/>
      <c s="17" r="Q1052"/>
      <c s="17" r="R1052"/>
      <c s="7" r="S1052"/>
      <c s="7" r="T1052"/>
      <c s="7" r="U1052"/>
      <c s="7" r="V1052"/>
      <c s="30" r="W1052"/>
      <c s="30" r="X1052"/>
      <c s="30" r="Y1052"/>
      <c s="30" r="Z1052"/>
      <c s="30" r="AA1052"/>
      <c s="30" r="AB1052"/>
      <c s="30" r="AC1052"/>
      <c s="30" r="AD1052"/>
      <c s="30" r="AE1052"/>
      <c s="10" r="AF1052"/>
      <c s="10" r="AG1052"/>
      <c s="10" r="AH1052"/>
      <c s="10" r="AI1052"/>
      <c s="10" r="AJ1052"/>
      <c s="10" r="AK1052"/>
      <c s="30" r="AL1052"/>
    </row>
    <row r="1053">
      <c s="30" r="A1053"/>
      <c s="30" r="B1053"/>
      <c s="30" r="C1053"/>
      <c s="30" r="D1053"/>
      <c s="16" r="E1053"/>
      <c s="16" r="F1053"/>
      <c s="16" r="G1053"/>
      <c s="16" r="H1053"/>
      <c s="16" r="I1053"/>
      <c s="16" r="J1053"/>
      <c s="16" r="K1053"/>
      <c s="80" r="L1053"/>
      <c s="79" r="M1053"/>
      <c s="79" r="N1053"/>
      <c s="79" r="O1053"/>
      <c s="79" r="P1053"/>
      <c s="17" r="Q1053"/>
      <c s="17" r="R1053"/>
      <c s="7" r="S1053"/>
      <c s="7" r="T1053"/>
      <c s="7" r="U1053"/>
      <c s="7" r="V1053"/>
      <c s="30" r="W1053"/>
      <c s="30" r="X1053"/>
      <c s="30" r="Y1053"/>
      <c s="30" r="Z1053"/>
      <c s="30" r="AA1053"/>
      <c s="30" r="AB1053"/>
      <c s="30" r="AC1053"/>
      <c s="30" r="AD1053"/>
      <c s="30" r="AE1053"/>
      <c s="10" r="AF1053"/>
      <c s="10" r="AG1053"/>
      <c s="10" r="AH1053"/>
      <c s="10" r="AI1053"/>
      <c s="10" r="AJ1053"/>
      <c s="10" r="AK1053"/>
      <c s="30" r="AL1053"/>
    </row>
    <row r="1054">
      <c s="30" r="A1054"/>
      <c s="30" r="B1054"/>
      <c s="30" r="C1054"/>
      <c s="30" r="D1054"/>
      <c s="16" r="E1054"/>
      <c s="16" r="F1054"/>
      <c s="16" r="G1054"/>
      <c s="16" r="H1054"/>
      <c s="16" r="I1054"/>
      <c s="16" r="J1054"/>
      <c s="16" r="K1054"/>
      <c s="80" r="L1054"/>
      <c s="79" r="M1054"/>
      <c s="79" r="N1054"/>
      <c s="79" r="O1054"/>
      <c s="79" r="P1054"/>
      <c s="17" r="Q1054"/>
      <c s="17" r="R1054"/>
      <c s="7" r="S1054"/>
      <c s="7" r="T1054"/>
      <c s="7" r="U1054"/>
      <c s="7" r="V1054"/>
      <c s="30" r="W1054"/>
      <c s="30" r="X1054"/>
      <c s="30" r="Y1054"/>
      <c s="30" r="Z1054"/>
      <c s="30" r="AA1054"/>
      <c s="30" r="AB1054"/>
      <c s="30" r="AC1054"/>
      <c s="30" r="AD1054"/>
      <c s="30" r="AE1054"/>
      <c s="10" r="AF1054"/>
      <c s="10" r="AG1054"/>
      <c s="10" r="AH1054"/>
      <c s="10" r="AI1054"/>
      <c s="10" r="AJ1054"/>
      <c s="10" r="AK1054"/>
      <c s="30" r="AL1054"/>
    </row>
    <row r="1055">
      <c s="30" r="A1055"/>
      <c s="30" r="B1055"/>
      <c s="30" r="C1055"/>
      <c s="30" r="D1055"/>
      <c s="16" r="E1055"/>
      <c s="16" r="F1055"/>
      <c s="16" r="G1055"/>
      <c s="16" r="H1055"/>
      <c s="16" r="I1055"/>
      <c s="16" r="J1055"/>
      <c s="16" r="K1055"/>
      <c s="80" r="L1055"/>
      <c s="79" r="M1055"/>
      <c s="79" r="N1055"/>
      <c s="79" r="O1055"/>
      <c s="79" r="P1055"/>
      <c s="17" r="Q1055"/>
      <c s="17" r="R1055"/>
      <c s="7" r="S1055"/>
      <c s="7" r="T1055"/>
      <c s="7" r="U1055"/>
      <c s="7" r="V1055"/>
      <c s="30" r="W1055"/>
      <c s="30" r="X1055"/>
      <c s="30" r="Y1055"/>
      <c s="30" r="Z1055"/>
      <c s="30" r="AA1055"/>
      <c s="30" r="AB1055"/>
      <c s="30" r="AC1055"/>
      <c s="30" r="AD1055"/>
      <c s="30" r="AE1055"/>
      <c s="10" r="AF1055"/>
      <c s="10" r="AG1055"/>
      <c s="10" r="AH1055"/>
      <c s="10" r="AI1055"/>
      <c s="10" r="AJ1055"/>
      <c s="10" r="AK1055"/>
      <c s="30" r="AL1055"/>
    </row>
    <row r="1056">
      <c s="30" r="A1056"/>
      <c s="30" r="B1056"/>
      <c s="30" r="C1056"/>
      <c s="30" r="D1056"/>
      <c s="16" r="E1056"/>
      <c s="16" r="F1056"/>
      <c s="16" r="G1056"/>
      <c s="16" r="H1056"/>
      <c s="16" r="I1056"/>
      <c s="16" r="J1056"/>
      <c s="16" r="K1056"/>
      <c s="80" r="L1056"/>
      <c s="79" r="M1056"/>
      <c s="79" r="N1056"/>
      <c s="79" r="O1056"/>
      <c s="79" r="P1056"/>
      <c s="17" r="Q1056"/>
      <c s="17" r="R1056"/>
      <c s="7" r="S1056"/>
      <c s="7" r="T1056"/>
      <c s="7" r="U1056"/>
      <c s="7" r="V1056"/>
      <c s="30" r="W1056"/>
      <c s="30" r="X1056"/>
      <c s="30" r="Y1056"/>
      <c s="30" r="Z1056"/>
      <c s="30" r="AA1056"/>
      <c s="30" r="AB1056"/>
      <c s="30" r="AC1056"/>
      <c s="30" r="AD1056"/>
      <c s="30" r="AE1056"/>
      <c s="10" r="AF1056"/>
      <c s="10" r="AG1056"/>
      <c s="10" r="AH1056"/>
      <c s="10" r="AI1056"/>
      <c s="10" r="AJ1056"/>
      <c s="10" r="AK1056"/>
      <c s="30" r="AL1056"/>
    </row>
    <row r="1057">
      <c s="30" r="A1057"/>
      <c s="30" r="B1057"/>
      <c s="30" r="C1057"/>
      <c s="30" r="D1057"/>
      <c s="16" r="E1057"/>
      <c s="16" r="F1057"/>
      <c s="16" r="G1057"/>
      <c s="16" r="H1057"/>
      <c s="16" r="I1057"/>
      <c s="16" r="J1057"/>
      <c s="16" r="K1057"/>
      <c s="80" r="L1057"/>
      <c s="79" r="M1057"/>
      <c s="79" r="N1057"/>
      <c s="79" r="O1057"/>
      <c s="79" r="P1057"/>
      <c s="17" r="Q1057"/>
      <c s="17" r="R1057"/>
      <c s="7" r="S1057"/>
      <c s="7" r="T1057"/>
      <c s="7" r="U1057"/>
      <c s="7" r="V1057"/>
      <c s="30" r="W1057"/>
      <c s="30" r="X1057"/>
      <c s="30" r="Y1057"/>
      <c s="30" r="Z1057"/>
      <c s="30" r="AA1057"/>
      <c s="30" r="AB1057"/>
      <c s="30" r="AC1057"/>
      <c s="30" r="AD1057"/>
      <c s="30" r="AE1057"/>
      <c s="10" r="AF1057"/>
      <c s="10" r="AG1057"/>
      <c s="10" r="AH1057"/>
      <c s="10" r="AI1057"/>
      <c s="10" r="AJ1057"/>
      <c s="10" r="AK1057"/>
      <c s="30" r="AL1057"/>
    </row>
    <row r="1058">
      <c s="30" r="A1058"/>
      <c s="30" r="B1058"/>
      <c s="30" r="C1058"/>
      <c s="30" r="D1058"/>
      <c s="16" r="E1058"/>
      <c s="16" r="F1058"/>
      <c s="16" r="G1058"/>
      <c s="16" r="H1058"/>
      <c s="16" r="I1058"/>
      <c s="16" r="J1058"/>
      <c s="16" r="K1058"/>
      <c s="80" r="L1058"/>
      <c s="79" r="M1058"/>
      <c s="79" r="N1058"/>
      <c s="79" r="O1058"/>
      <c s="79" r="P1058"/>
      <c s="17" r="Q1058"/>
      <c s="17" r="R1058"/>
      <c s="7" r="S1058"/>
      <c s="7" r="T1058"/>
      <c s="7" r="U1058"/>
      <c s="7" r="V1058"/>
      <c s="30" r="W1058"/>
      <c s="30" r="X1058"/>
      <c s="30" r="Y1058"/>
      <c s="30" r="Z1058"/>
      <c s="30" r="AA1058"/>
      <c s="30" r="AB1058"/>
      <c s="30" r="AC1058"/>
      <c s="30" r="AD1058"/>
      <c s="30" r="AE1058"/>
      <c s="10" r="AF1058"/>
      <c s="10" r="AG1058"/>
      <c s="10" r="AH1058"/>
      <c s="10" r="AI1058"/>
      <c s="10" r="AJ1058"/>
      <c s="10" r="AK1058"/>
      <c s="30" r="AL1058"/>
    </row>
    <row r="1059">
      <c s="30" r="A1059"/>
      <c s="30" r="B1059"/>
      <c s="30" r="C1059"/>
      <c s="30" r="D1059"/>
      <c s="16" r="E1059"/>
      <c s="16" r="F1059"/>
      <c s="16" r="G1059"/>
      <c s="16" r="H1059"/>
      <c s="16" r="I1059"/>
      <c s="16" r="J1059"/>
      <c s="16" r="K1059"/>
      <c s="80" r="L1059"/>
      <c s="79" r="M1059"/>
      <c s="79" r="N1059"/>
      <c s="79" r="O1059"/>
      <c s="79" r="P1059"/>
      <c s="17" r="Q1059"/>
      <c s="17" r="R1059"/>
      <c s="7" r="S1059"/>
      <c s="7" r="T1059"/>
      <c s="7" r="U1059"/>
      <c s="7" r="V1059"/>
      <c s="30" r="W1059"/>
      <c s="30" r="X1059"/>
      <c s="30" r="Y1059"/>
      <c s="30" r="Z1059"/>
      <c s="30" r="AA1059"/>
      <c s="30" r="AB1059"/>
      <c s="30" r="AC1059"/>
      <c s="30" r="AD1059"/>
      <c s="30" r="AE1059"/>
      <c s="10" r="AF1059"/>
      <c s="10" r="AG1059"/>
      <c s="10" r="AH1059"/>
      <c s="10" r="AI1059"/>
      <c s="10" r="AJ1059"/>
      <c s="10" r="AK1059"/>
      <c s="30" r="AL1059"/>
    </row>
    <row r="1060">
      <c s="30" r="A1060"/>
      <c s="30" r="B1060"/>
      <c s="30" r="C1060"/>
      <c s="30" r="D1060"/>
      <c s="16" r="E1060"/>
      <c s="16" r="F1060"/>
      <c s="16" r="G1060"/>
      <c s="16" r="H1060"/>
      <c s="16" r="I1060"/>
      <c s="16" r="J1060"/>
      <c s="16" r="K1060"/>
      <c s="80" r="L1060"/>
      <c s="79" r="M1060"/>
      <c s="79" r="N1060"/>
      <c s="79" r="O1060"/>
      <c s="79" r="P1060"/>
      <c s="17" r="Q1060"/>
      <c s="17" r="R1060"/>
      <c s="7" r="S1060"/>
      <c s="7" r="T1060"/>
      <c s="7" r="U1060"/>
      <c s="7" r="V1060"/>
      <c s="30" r="W1060"/>
      <c s="30" r="X1060"/>
      <c s="30" r="Y1060"/>
      <c s="30" r="Z1060"/>
      <c s="30" r="AA1060"/>
      <c s="30" r="AB1060"/>
      <c s="30" r="AC1060"/>
      <c s="30" r="AD1060"/>
      <c s="30" r="AE1060"/>
      <c s="10" r="AF1060"/>
      <c s="10" r="AG1060"/>
      <c s="10" r="AH1060"/>
      <c s="10" r="AI1060"/>
      <c s="10" r="AJ1060"/>
      <c s="10" r="AK1060"/>
      <c s="30" r="AL1060"/>
    </row>
    <row r="1061">
      <c s="30" r="A1061"/>
      <c s="30" r="B1061"/>
      <c s="30" r="C1061"/>
      <c s="30" r="D1061"/>
      <c s="16" r="E1061"/>
      <c s="16" r="F1061"/>
      <c s="16" r="G1061"/>
      <c s="16" r="H1061"/>
      <c s="16" r="I1061"/>
      <c s="16" r="J1061"/>
      <c s="16" r="K1061"/>
      <c s="80" r="L1061"/>
      <c s="79" r="M1061"/>
      <c s="79" r="N1061"/>
      <c s="79" r="O1061"/>
      <c s="79" r="P1061"/>
      <c s="17" r="Q1061"/>
      <c s="17" r="R1061"/>
      <c s="7" r="S1061"/>
      <c s="7" r="T1061"/>
      <c s="7" r="U1061"/>
      <c s="7" r="V1061"/>
      <c s="30" r="W1061"/>
      <c s="30" r="X1061"/>
      <c s="30" r="Y1061"/>
      <c s="30" r="Z1061"/>
      <c s="30" r="AA1061"/>
      <c s="30" r="AB1061"/>
      <c s="30" r="AC1061"/>
      <c s="30" r="AD1061"/>
      <c s="30" r="AE1061"/>
      <c s="10" r="AF1061"/>
      <c s="10" r="AG1061"/>
      <c s="10" r="AH1061"/>
      <c s="10" r="AI1061"/>
      <c s="10" r="AJ1061"/>
      <c s="10" r="AK1061"/>
      <c s="30" r="AL1061"/>
    </row>
    <row r="1062">
      <c s="30" r="A1062"/>
      <c s="30" r="B1062"/>
      <c s="30" r="C1062"/>
      <c s="30" r="D1062"/>
      <c s="16" r="E1062"/>
      <c s="16" r="F1062"/>
      <c s="16" r="G1062"/>
      <c s="16" r="H1062"/>
      <c s="16" r="I1062"/>
      <c s="16" r="J1062"/>
      <c s="16" r="K1062"/>
      <c s="80" r="L1062"/>
      <c s="79" r="M1062"/>
      <c s="79" r="N1062"/>
      <c s="79" r="O1062"/>
      <c s="79" r="P1062"/>
      <c s="17" r="Q1062"/>
      <c s="17" r="R1062"/>
      <c s="7" r="S1062"/>
      <c s="7" r="T1062"/>
      <c s="7" r="U1062"/>
      <c s="7" r="V1062"/>
      <c s="30" r="W1062"/>
      <c s="30" r="X1062"/>
      <c s="30" r="Y1062"/>
      <c s="30" r="Z1062"/>
      <c s="30" r="AA1062"/>
      <c s="30" r="AB1062"/>
      <c s="30" r="AC1062"/>
      <c s="30" r="AD1062"/>
      <c s="30" r="AE1062"/>
      <c s="10" r="AF1062"/>
      <c s="10" r="AG1062"/>
      <c s="10" r="AH1062"/>
      <c s="10" r="AI1062"/>
      <c s="10" r="AJ1062"/>
      <c s="10" r="AK1062"/>
      <c s="30" r="AL1062"/>
    </row>
    <row r="1063">
      <c s="30" r="A1063"/>
      <c s="30" r="B1063"/>
      <c s="30" r="C1063"/>
      <c s="30" r="D1063"/>
      <c s="16" r="E1063"/>
      <c s="16" r="F1063"/>
      <c s="16" r="G1063"/>
      <c s="16" r="H1063"/>
      <c s="16" r="I1063"/>
      <c s="16" r="J1063"/>
      <c s="16" r="K1063"/>
      <c s="80" r="L1063"/>
      <c s="79" r="M1063"/>
      <c s="79" r="N1063"/>
      <c s="79" r="O1063"/>
      <c s="79" r="P1063"/>
      <c s="17" r="Q1063"/>
      <c s="17" r="R1063"/>
      <c s="7" r="S1063"/>
      <c s="7" r="T1063"/>
      <c s="7" r="U1063"/>
      <c s="7" r="V1063"/>
      <c s="30" r="W1063"/>
      <c s="30" r="X1063"/>
      <c s="30" r="Y1063"/>
      <c s="30" r="Z1063"/>
      <c s="30" r="AA1063"/>
      <c s="30" r="AB1063"/>
      <c s="30" r="AC1063"/>
      <c s="30" r="AD1063"/>
      <c s="30" r="AE1063"/>
      <c s="10" r="AF1063"/>
      <c s="10" r="AG1063"/>
      <c s="10" r="AH1063"/>
      <c s="10" r="AI1063"/>
      <c s="10" r="AJ1063"/>
      <c s="10" r="AK1063"/>
      <c s="30" r="AL1063"/>
    </row>
    <row r="1064">
      <c s="30" r="A1064"/>
      <c s="30" r="B1064"/>
      <c s="30" r="C1064"/>
      <c s="30" r="D1064"/>
      <c s="16" r="E1064"/>
      <c s="16" r="F1064"/>
      <c s="16" r="G1064"/>
      <c s="16" r="H1064"/>
      <c s="16" r="I1064"/>
      <c s="16" r="J1064"/>
      <c s="16" r="K1064"/>
      <c s="80" r="L1064"/>
      <c s="79" r="M1064"/>
      <c s="79" r="N1064"/>
      <c s="79" r="O1064"/>
      <c s="79" r="P1064"/>
      <c s="17" r="Q1064"/>
      <c s="17" r="R1064"/>
      <c s="7" r="S1064"/>
      <c s="7" r="T1064"/>
      <c s="7" r="U1064"/>
      <c s="7" r="V1064"/>
      <c s="30" r="W1064"/>
      <c s="30" r="X1064"/>
      <c s="30" r="Y1064"/>
      <c s="30" r="Z1064"/>
      <c s="30" r="AA1064"/>
      <c s="30" r="AB1064"/>
      <c s="30" r="AC1064"/>
      <c s="30" r="AD1064"/>
      <c s="30" r="AE1064"/>
      <c s="10" r="AF1064"/>
      <c s="10" r="AG1064"/>
      <c s="10" r="AH1064"/>
      <c s="10" r="AI1064"/>
      <c s="10" r="AJ1064"/>
      <c s="10" r="AK1064"/>
      <c s="30" r="AL1064"/>
    </row>
    <row r="1065">
      <c s="30" r="A1065"/>
      <c s="30" r="B1065"/>
      <c s="30" r="C1065"/>
      <c s="30" r="D1065"/>
      <c s="16" r="E1065"/>
      <c s="16" r="F1065"/>
      <c s="16" r="G1065"/>
      <c s="16" r="H1065"/>
      <c s="16" r="I1065"/>
      <c s="16" r="J1065"/>
      <c s="16" r="K1065"/>
      <c s="80" r="L1065"/>
      <c s="79" r="M1065"/>
      <c s="79" r="N1065"/>
      <c s="79" r="O1065"/>
      <c s="79" r="P1065"/>
      <c s="17" r="Q1065"/>
      <c s="17" r="R1065"/>
      <c s="7" r="S1065"/>
      <c s="7" r="T1065"/>
      <c s="7" r="U1065"/>
      <c s="7" r="V1065"/>
      <c s="30" r="W1065"/>
      <c s="30" r="X1065"/>
      <c s="30" r="Y1065"/>
      <c s="30" r="Z1065"/>
      <c s="30" r="AA1065"/>
      <c s="30" r="AB1065"/>
      <c s="30" r="AC1065"/>
      <c s="30" r="AD1065"/>
      <c s="30" r="AE1065"/>
      <c s="10" r="AF1065"/>
      <c s="10" r="AG1065"/>
      <c s="10" r="AH1065"/>
      <c s="10" r="AI1065"/>
      <c s="10" r="AJ1065"/>
      <c s="10" r="AK1065"/>
      <c s="30" r="AL1065"/>
    </row>
    <row r="1066">
      <c s="30" r="A1066"/>
      <c s="30" r="B1066"/>
      <c s="30" r="C1066"/>
      <c s="30" r="D1066"/>
      <c s="16" r="E1066"/>
      <c s="16" r="F1066"/>
      <c s="16" r="G1066"/>
      <c s="16" r="H1066"/>
      <c s="16" r="I1066"/>
      <c s="16" r="J1066"/>
      <c s="16" r="K1066"/>
      <c s="80" r="L1066"/>
      <c s="79" r="M1066"/>
      <c s="79" r="N1066"/>
      <c s="79" r="O1066"/>
      <c s="79" r="P1066"/>
      <c s="17" r="Q1066"/>
      <c s="17" r="R1066"/>
      <c s="7" r="S1066"/>
      <c s="7" r="T1066"/>
      <c s="7" r="U1066"/>
      <c s="7" r="V1066"/>
      <c s="30" r="W1066"/>
      <c s="30" r="X1066"/>
      <c s="30" r="Y1066"/>
      <c s="30" r="Z1066"/>
      <c s="30" r="AA1066"/>
      <c s="30" r="AB1066"/>
      <c s="30" r="AC1066"/>
      <c s="30" r="AD1066"/>
      <c s="30" r="AE1066"/>
      <c s="10" r="AF1066"/>
      <c s="10" r="AG1066"/>
      <c s="10" r="AH1066"/>
      <c s="10" r="AI1066"/>
      <c s="10" r="AJ1066"/>
      <c s="10" r="AK1066"/>
      <c s="30" r="AL1066"/>
    </row>
    <row r="1067">
      <c s="30" r="A1067"/>
      <c s="30" r="B1067"/>
      <c s="30" r="C1067"/>
      <c s="30" r="D1067"/>
      <c s="16" r="E1067"/>
      <c s="16" r="F1067"/>
      <c s="16" r="G1067"/>
      <c s="16" r="H1067"/>
      <c s="16" r="I1067"/>
      <c s="16" r="J1067"/>
      <c s="16" r="K1067"/>
      <c s="80" r="L1067"/>
      <c s="79" r="M1067"/>
      <c s="79" r="N1067"/>
      <c s="79" r="O1067"/>
      <c s="79" r="P1067"/>
      <c s="17" r="Q1067"/>
      <c s="17" r="R1067"/>
      <c s="7" r="S1067"/>
      <c s="7" r="T1067"/>
      <c s="7" r="U1067"/>
      <c s="7" r="V1067"/>
      <c s="30" r="W1067"/>
      <c s="30" r="X1067"/>
      <c s="30" r="Y1067"/>
      <c s="30" r="Z1067"/>
      <c s="30" r="AA1067"/>
      <c s="30" r="AB1067"/>
      <c s="30" r="AC1067"/>
      <c s="30" r="AD1067"/>
      <c s="30" r="AE1067"/>
      <c s="10" r="AF1067"/>
      <c s="10" r="AG1067"/>
      <c s="10" r="AH1067"/>
      <c s="10" r="AI1067"/>
      <c s="10" r="AJ1067"/>
      <c s="10" r="AK1067"/>
      <c s="30" r="AL1067"/>
    </row>
    <row r="1068">
      <c s="30" r="A1068"/>
      <c s="30" r="B1068"/>
      <c s="30" r="C1068"/>
      <c s="30" r="D1068"/>
      <c s="16" r="E1068"/>
      <c s="16" r="F1068"/>
      <c s="16" r="G1068"/>
      <c s="16" r="H1068"/>
      <c s="16" r="I1068"/>
      <c s="16" r="J1068"/>
      <c s="16" r="K1068"/>
      <c s="80" r="L1068"/>
      <c s="79" r="M1068"/>
      <c s="79" r="N1068"/>
      <c s="79" r="O1068"/>
      <c s="79" r="P1068"/>
      <c s="17" r="Q1068"/>
      <c s="17" r="R1068"/>
      <c s="7" r="S1068"/>
      <c s="7" r="T1068"/>
      <c s="7" r="U1068"/>
      <c s="7" r="V1068"/>
      <c s="30" r="W1068"/>
      <c s="30" r="X1068"/>
      <c s="30" r="Y1068"/>
      <c s="30" r="Z1068"/>
      <c s="30" r="AA1068"/>
      <c s="30" r="AB1068"/>
      <c s="30" r="AC1068"/>
      <c s="30" r="AD1068"/>
      <c s="30" r="AE1068"/>
      <c s="10" r="AF1068"/>
      <c s="10" r="AG1068"/>
      <c s="10" r="AH1068"/>
      <c s="10" r="AI1068"/>
      <c s="10" r="AJ1068"/>
      <c s="10" r="AK1068"/>
      <c s="30" r="AL1068"/>
    </row>
    <row r="1069">
      <c s="30" r="A1069"/>
      <c s="30" r="B1069"/>
      <c s="30" r="C1069"/>
      <c s="30" r="D1069"/>
      <c s="16" r="E1069"/>
      <c s="16" r="F1069"/>
      <c s="16" r="G1069"/>
      <c s="16" r="H1069"/>
      <c s="16" r="I1069"/>
      <c s="16" r="J1069"/>
      <c s="16" r="K1069"/>
      <c s="80" r="L1069"/>
      <c s="79" r="M1069"/>
      <c s="79" r="N1069"/>
      <c s="79" r="O1069"/>
      <c s="79" r="P1069"/>
      <c s="17" r="Q1069"/>
      <c s="17" r="R1069"/>
      <c s="7" r="S1069"/>
      <c s="7" r="T1069"/>
      <c s="7" r="U1069"/>
      <c s="7" r="V1069"/>
      <c s="30" r="W1069"/>
      <c s="30" r="X1069"/>
      <c s="30" r="Y1069"/>
      <c s="30" r="Z1069"/>
      <c s="30" r="AA1069"/>
      <c s="30" r="AB1069"/>
      <c s="30" r="AC1069"/>
      <c s="30" r="AD1069"/>
      <c s="30" r="AE1069"/>
      <c s="10" r="AF1069"/>
      <c s="10" r="AG1069"/>
      <c s="10" r="AH1069"/>
      <c s="10" r="AI1069"/>
      <c s="10" r="AJ1069"/>
      <c s="10" r="AK1069"/>
      <c s="30" r="AL1069"/>
    </row>
    <row r="1070">
      <c s="30" r="A1070"/>
      <c s="30" r="B1070"/>
      <c s="30" r="C1070"/>
      <c s="30" r="D1070"/>
      <c s="16" r="E1070"/>
      <c s="16" r="F1070"/>
      <c s="16" r="G1070"/>
      <c s="16" r="H1070"/>
      <c s="16" r="I1070"/>
      <c s="16" r="J1070"/>
      <c s="16" r="K1070"/>
      <c s="80" r="L1070"/>
      <c s="79" r="M1070"/>
      <c s="79" r="N1070"/>
      <c s="79" r="O1070"/>
      <c s="79" r="P1070"/>
      <c s="17" r="Q1070"/>
      <c s="17" r="R1070"/>
      <c s="7" r="S1070"/>
      <c s="7" r="T1070"/>
      <c s="7" r="U1070"/>
      <c s="7" r="V1070"/>
      <c s="30" r="W1070"/>
      <c s="30" r="X1070"/>
      <c s="30" r="Y1070"/>
      <c s="30" r="Z1070"/>
      <c s="30" r="AA1070"/>
      <c s="30" r="AB1070"/>
      <c s="30" r="AC1070"/>
      <c s="30" r="AD1070"/>
      <c s="30" r="AE1070"/>
      <c s="10" r="AF1070"/>
      <c s="10" r="AG1070"/>
      <c s="10" r="AH1070"/>
      <c s="10" r="AI1070"/>
      <c s="10" r="AJ1070"/>
      <c s="10" r="AK1070"/>
      <c s="30" r="AL1070"/>
    </row>
    <row r="1071">
      <c s="30" r="A1071"/>
      <c s="30" r="B1071"/>
      <c s="30" r="C1071"/>
      <c s="30" r="D1071"/>
      <c s="16" r="E1071"/>
      <c s="16" r="F1071"/>
      <c s="16" r="G1071"/>
      <c s="16" r="H1071"/>
      <c s="16" r="I1071"/>
      <c s="16" r="J1071"/>
      <c s="16" r="K1071"/>
      <c s="80" r="L1071"/>
      <c s="79" r="M1071"/>
      <c s="79" r="N1071"/>
      <c s="79" r="O1071"/>
      <c s="79" r="P1071"/>
      <c s="17" r="Q1071"/>
      <c s="17" r="R1071"/>
      <c s="7" r="S1071"/>
      <c s="7" r="T1071"/>
      <c s="7" r="U1071"/>
      <c s="7" r="V1071"/>
      <c s="30" r="W1071"/>
      <c s="30" r="X1071"/>
      <c s="30" r="Y1071"/>
      <c s="30" r="Z1071"/>
      <c s="30" r="AA1071"/>
      <c s="30" r="AB1071"/>
      <c s="30" r="AC1071"/>
      <c s="30" r="AD1071"/>
      <c s="30" r="AE1071"/>
      <c s="10" r="AF1071"/>
      <c s="10" r="AG1071"/>
      <c s="10" r="AH1071"/>
      <c s="10" r="AI1071"/>
      <c s="10" r="AJ1071"/>
      <c s="10" r="AK1071"/>
      <c s="30" r="AL1071"/>
    </row>
    <row r="1072">
      <c s="30" r="A1072"/>
      <c s="30" r="B1072"/>
      <c s="30" r="C1072"/>
      <c s="30" r="D1072"/>
      <c s="16" r="E1072"/>
      <c s="16" r="F1072"/>
      <c s="16" r="G1072"/>
      <c s="16" r="H1072"/>
      <c s="16" r="I1072"/>
      <c s="16" r="J1072"/>
      <c s="16" r="K1072"/>
      <c s="80" r="L1072"/>
      <c s="79" r="M1072"/>
      <c s="79" r="N1072"/>
      <c s="79" r="O1072"/>
      <c s="79" r="P1072"/>
      <c s="17" r="Q1072"/>
      <c s="17" r="R1072"/>
      <c s="7" r="S1072"/>
      <c s="7" r="T1072"/>
      <c s="7" r="U1072"/>
      <c s="7" r="V1072"/>
      <c s="30" r="W1072"/>
      <c s="30" r="X1072"/>
      <c s="30" r="Y1072"/>
      <c s="30" r="Z1072"/>
      <c s="30" r="AA1072"/>
      <c s="30" r="AB1072"/>
      <c s="30" r="AC1072"/>
      <c s="30" r="AD1072"/>
      <c s="30" r="AE1072"/>
      <c s="10" r="AF1072"/>
      <c s="10" r="AG1072"/>
      <c s="10" r="AH1072"/>
      <c s="10" r="AI1072"/>
      <c s="10" r="AJ1072"/>
      <c s="10" r="AK1072"/>
      <c s="30" r="AL1072"/>
    </row>
    <row r="1073">
      <c s="30" r="A1073"/>
      <c s="30" r="B1073"/>
      <c s="30" r="C1073"/>
      <c s="30" r="D1073"/>
      <c s="16" r="E1073"/>
      <c s="16" r="F1073"/>
      <c s="16" r="G1073"/>
      <c s="16" r="H1073"/>
      <c s="16" r="I1073"/>
      <c s="16" r="J1073"/>
      <c s="16" r="K1073"/>
      <c s="80" r="L1073"/>
      <c s="79" r="M1073"/>
      <c s="79" r="N1073"/>
      <c s="79" r="O1073"/>
      <c s="79" r="P1073"/>
      <c s="17" r="Q1073"/>
      <c s="17" r="R1073"/>
      <c s="7" r="S1073"/>
      <c s="7" r="T1073"/>
      <c s="7" r="U1073"/>
      <c s="7" r="V1073"/>
      <c s="30" r="W1073"/>
      <c s="30" r="X1073"/>
      <c s="30" r="Y1073"/>
      <c s="30" r="Z1073"/>
      <c s="30" r="AA1073"/>
      <c s="30" r="AB1073"/>
      <c s="30" r="AC1073"/>
      <c s="30" r="AD1073"/>
      <c s="30" r="AE1073"/>
      <c s="10" r="AF1073"/>
      <c s="10" r="AG1073"/>
      <c s="10" r="AH1073"/>
      <c s="10" r="AI1073"/>
      <c s="10" r="AJ1073"/>
      <c s="10" r="AK1073"/>
      <c s="30" r="AL1073"/>
    </row>
    <row r="1074">
      <c s="30" r="A1074"/>
      <c s="30" r="B1074"/>
      <c s="30" r="C1074"/>
      <c s="30" r="D1074"/>
      <c s="16" r="E1074"/>
      <c s="16" r="F1074"/>
      <c s="16" r="G1074"/>
      <c s="16" r="H1074"/>
      <c s="16" r="I1074"/>
      <c s="16" r="J1074"/>
      <c s="16" r="K1074"/>
      <c s="80" r="L1074"/>
      <c s="79" r="M1074"/>
      <c s="79" r="N1074"/>
      <c s="79" r="O1074"/>
      <c s="79" r="P1074"/>
      <c s="17" r="Q1074"/>
      <c s="17" r="R1074"/>
      <c s="7" r="S1074"/>
      <c s="7" r="T1074"/>
      <c s="7" r="U1074"/>
      <c s="7" r="V1074"/>
      <c s="30" r="W1074"/>
      <c s="30" r="X1074"/>
      <c s="30" r="Y1074"/>
      <c s="30" r="Z1074"/>
      <c s="30" r="AA1074"/>
      <c s="30" r="AB1074"/>
      <c s="30" r="AC1074"/>
      <c s="30" r="AD1074"/>
      <c s="30" r="AE1074"/>
      <c s="10" r="AF1074"/>
      <c s="10" r="AG1074"/>
      <c s="10" r="AH1074"/>
      <c s="10" r="AI1074"/>
      <c s="10" r="AJ1074"/>
      <c s="10" r="AK1074"/>
      <c s="30" r="AL1074"/>
    </row>
    <row r="1075">
      <c s="30" r="A1075"/>
      <c s="30" r="B1075"/>
      <c s="30" r="C1075"/>
      <c s="30" r="D1075"/>
      <c s="16" r="E1075"/>
      <c s="16" r="F1075"/>
      <c s="16" r="G1075"/>
      <c s="16" r="H1075"/>
      <c s="16" r="I1075"/>
      <c s="16" r="J1075"/>
      <c s="16" r="K1075"/>
      <c s="80" r="L1075"/>
      <c s="79" r="M1075"/>
      <c s="79" r="N1075"/>
      <c s="79" r="O1075"/>
      <c s="79" r="P1075"/>
      <c s="17" r="Q1075"/>
      <c s="17" r="R1075"/>
      <c s="7" r="S1075"/>
      <c s="7" r="T1075"/>
      <c s="7" r="U1075"/>
      <c s="7" r="V1075"/>
      <c s="30" r="W1075"/>
      <c s="30" r="X1075"/>
      <c s="30" r="Y1075"/>
      <c s="30" r="Z1075"/>
      <c s="30" r="AA1075"/>
      <c s="30" r="AB1075"/>
      <c s="30" r="AC1075"/>
      <c s="30" r="AD1075"/>
      <c s="30" r="AE1075"/>
      <c s="10" r="AF1075"/>
      <c s="10" r="AG1075"/>
      <c s="10" r="AH1075"/>
      <c s="10" r="AI1075"/>
      <c s="10" r="AJ1075"/>
      <c s="10" r="AK1075"/>
      <c s="30" r="AL1075"/>
    </row>
    <row r="1076">
      <c s="30" r="A1076"/>
      <c s="30" r="B1076"/>
      <c s="30" r="C1076"/>
      <c s="30" r="D1076"/>
      <c s="16" r="E1076"/>
      <c s="16" r="F1076"/>
      <c s="16" r="G1076"/>
      <c s="16" r="H1076"/>
      <c s="16" r="I1076"/>
      <c s="16" r="J1076"/>
      <c s="16" r="K1076"/>
      <c s="80" r="L1076"/>
      <c s="79" r="M1076"/>
      <c s="79" r="N1076"/>
      <c s="79" r="O1076"/>
      <c s="79" r="P1076"/>
      <c s="17" r="Q1076"/>
      <c s="17" r="R1076"/>
      <c s="7" r="S1076"/>
      <c s="7" r="T1076"/>
      <c s="7" r="U1076"/>
      <c s="7" r="V1076"/>
      <c s="30" r="W1076"/>
      <c s="30" r="X1076"/>
      <c s="30" r="Y1076"/>
      <c s="30" r="Z1076"/>
      <c s="30" r="AA1076"/>
      <c s="30" r="AB1076"/>
      <c s="30" r="AC1076"/>
      <c s="30" r="AD1076"/>
      <c s="30" r="AE1076"/>
      <c s="10" r="AF1076"/>
      <c s="10" r="AG1076"/>
      <c s="10" r="AH1076"/>
      <c s="10" r="AI1076"/>
      <c s="10" r="AJ1076"/>
      <c s="10" r="AK1076"/>
      <c s="30" r="AL1076"/>
    </row>
    <row r="1077">
      <c s="30" r="A1077"/>
      <c s="30" r="B1077"/>
      <c s="30" r="C1077"/>
      <c s="30" r="D1077"/>
      <c s="16" r="E1077"/>
      <c s="16" r="F1077"/>
      <c s="16" r="G1077"/>
      <c s="16" r="H1077"/>
      <c s="16" r="I1077"/>
      <c s="16" r="J1077"/>
      <c s="16" r="K1077"/>
      <c s="80" r="L1077"/>
      <c s="79" r="M1077"/>
      <c s="79" r="N1077"/>
      <c s="79" r="O1077"/>
      <c s="79" r="P1077"/>
      <c s="17" r="Q1077"/>
      <c s="17" r="R1077"/>
      <c s="7" r="S1077"/>
      <c s="7" r="T1077"/>
      <c s="7" r="U1077"/>
      <c s="7" r="V1077"/>
      <c s="30" r="W1077"/>
      <c s="30" r="X1077"/>
      <c s="30" r="Y1077"/>
      <c s="30" r="Z1077"/>
      <c s="30" r="AA1077"/>
      <c s="30" r="AB1077"/>
      <c s="30" r="AC1077"/>
      <c s="30" r="AD1077"/>
      <c s="30" r="AE1077"/>
      <c s="10" r="AF1077"/>
      <c s="10" r="AG1077"/>
      <c s="10" r="AH1077"/>
      <c s="10" r="AI1077"/>
      <c s="10" r="AJ1077"/>
      <c s="10" r="AK1077"/>
      <c s="30" r="AL1077"/>
    </row>
    <row r="1078">
      <c s="30" r="A1078"/>
      <c s="30" r="B1078"/>
      <c s="30" r="C1078"/>
      <c s="30" r="D1078"/>
      <c s="16" r="E1078"/>
      <c s="16" r="F1078"/>
      <c s="16" r="G1078"/>
      <c s="16" r="H1078"/>
      <c s="16" r="I1078"/>
      <c s="16" r="J1078"/>
      <c s="16" r="K1078"/>
      <c s="80" r="L1078"/>
      <c s="79" r="M1078"/>
      <c s="79" r="N1078"/>
      <c s="79" r="O1078"/>
      <c s="79" r="P1078"/>
      <c s="17" r="Q1078"/>
      <c s="17" r="R1078"/>
      <c s="7" r="S1078"/>
      <c s="7" r="T1078"/>
      <c s="7" r="U1078"/>
      <c s="7" r="V1078"/>
      <c s="30" r="W1078"/>
      <c s="30" r="X1078"/>
      <c s="30" r="Y1078"/>
      <c s="30" r="Z1078"/>
      <c s="30" r="AA1078"/>
      <c s="30" r="AB1078"/>
      <c s="30" r="AC1078"/>
      <c s="30" r="AD1078"/>
      <c s="30" r="AE1078"/>
      <c s="10" r="AF1078"/>
      <c s="10" r="AG1078"/>
      <c s="10" r="AH1078"/>
      <c s="10" r="AI1078"/>
      <c s="10" r="AJ1078"/>
      <c s="10" r="AK1078"/>
      <c s="30" r="AL1078"/>
    </row>
    <row r="1079">
      <c s="30" r="A1079"/>
      <c s="30" r="B1079"/>
      <c s="30" r="C1079"/>
      <c s="30" r="D1079"/>
      <c s="16" r="E1079"/>
      <c s="16" r="F1079"/>
      <c s="16" r="G1079"/>
      <c s="16" r="H1079"/>
      <c s="16" r="I1079"/>
      <c s="16" r="J1079"/>
      <c s="16" r="K1079"/>
      <c s="80" r="L1079"/>
      <c s="79" r="M1079"/>
      <c s="79" r="N1079"/>
      <c s="79" r="O1079"/>
      <c s="79" r="P1079"/>
      <c s="17" r="Q1079"/>
      <c s="17" r="R1079"/>
      <c s="7" r="S1079"/>
      <c s="7" r="T1079"/>
      <c s="7" r="U1079"/>
      <c s="7" r="V1079"/>
      <c s="30" r="W1079"/>
      <c s="30" r="X1079"/>
      <c s="30" r="Y1079"/>
      <c s="30" r="Z1079"/>
      <c s="30" r="AA1079"/>
      <c s="30" r="AB1079"/>
      <c s="30" r="AC1079"/>
      <c s="30" r="AD1079"/>
      <c s="30" r="AE1079"/>
      <c s="10" r="AF1079"/>
      <c s="10" r="AG1079"/>
      <c s="10" r="AH1079"/>
      <c s="10" r="AI1079"/>
      <c s="10" r="AJ1079"/>
      <c s="10" r="AK1079"/>
      <c s="30" r="AL1079"/>
    </row>
    <row r="1080">
      <c s="30" r="A1080"/>
      <c s="30" r="B1080"/>
      <c s="30" r="C1080"/>
      <c s="30" r="D1080"/>
      <c s="16" r="E1080"/>
      <c s="16" r="F1080"/>
      <c s="16" r="G1080"/>
      <c s="16" r="H1080"/>
      <c s="16" r="I1080"/>
      <c s="16" r="J1080"/>
      <c s="16" r="K1080"/>
      <c s="80" r="L1080"/>
      <c s="79" r="M1080"/>
      <c s="79" r="N1080"/>
      <c s="79" r="O1080"/>
      <c s="79" r="P1080"/>
      <c s="17" r="Q1080"/>
      <c s="17" r="R1080"/>
      <c s="7" r="S1080"/>
      <c s="7" r="T1080"/>
      <c s="7" r="U1080"/>
      <c s="7" r="V1080"/>
      <c s="30" r="W1080"/>
      <c s="30" r="X1080"/>
      <c s="30" r="Y1080"/>
      <c s="30" r="Z1080"/>
      <c s="30" r="AA1080"/>
      <c s="30" r="AB1080"/>
      <c s="30" r="AC1080"/>
      <c s="30" r="AD1080"/>
      <c s="30" r="AE1080"/>
      <c s="10" r="AF1080"/>
      <c s="10" r="AG1080"/>
      <c s="10" r="AH1080"/>
      <c s="10" r="AI1080"/>
      <c s="10" r="AJ1080"/>
      <c s="10" r="AK1080"/>
      <c s="30" r="AL1080"/>
    </row>
    <row r="1081">
      <c s="30" r="A1081"/>
      <c s="30" r="B1081"/>
      <c s="30" r="C1081"/>
      <c s="30" r="D1081"/>
      <c s="16" r="E1081"/>
      <c s="16" r="F1081"/>
      <c s="16" r="G1081"/>
      <c s="16" r="H1081"/>
      <c s="16" r="I1081"/>
      <c s="16" r="J1081"/>
      <c s="16" r="K1081"/>
      <c s="80" r="L1081"/>
      <c s="79" r="M1081"/>
      <c s="79" r="N1081"/>
      <c s="79" r="O1081"/>
      <c s="79" r="P1081"/>
      <c s="17" r="Q1081"/>
      <c s="17" r="R1081"/>
      <c s="7" r="S1081"/>
      <c s="7" r="T1081"/>
      <c s="7" r="U1081"/>
      <c s="7" r="V1081"/>
      <c s="30" r="W1081"/>
      <c s="30" r="X1081"/>
      <c s="30" r="Y1081"/>
      <c s="30" r="Z1081"/>
      <c s="30" r="AA1081"/>
      <c s="30" r="AB1081"/>
      <c s="30" r="AC1081"/>
      <c s="30" r="AD1081"/>
      <c s="30" r="AE1081"/>
      <c s="10" r="AF1081"/>
      <c s="10" r="AG1081"/>
      <c s="10" r="AH1081"/>
      <c s="10" r="AI1081"/>
      <c s="10" r="AJ1081"/>
      <c s="10" r="AK1081"/>
      <c s="30" r="AL1081"/>
    </row>
    <row r="1082">
      <c s="30" r="A1082"/>
      <c s="30" r="B1082"/>
      <c s="30" r="C1082"/>
      <c s="30" r="D1082"/>
      <c s="16" r="E1082"/>
      <c s="16" r="F1082"/>
      <c s="16" r="G1082"/>
      <c s="16" r="H1082"/>
      <c s="16" r="I1082"/>
      <c s="16" r="J1082"/>
      <c s="16" r="K1082"/>
      <c s="80" r="L1082"/>
      <c s="79" r="M1082"/>
      <c s="79" r="N1082"/>
      <c s="79" r="O1082"/>
      <c s="79" r="P1082"/>
      <c s="17" r="Q1082"/>
      <c s="17" r="R1082"/>
      <c s="7" r="S1082"/>
      <c s="7" r="T1082"/>
      <c s="7" r="U1082"/>
      <c s="7" r="V1082"/>
      <c s="30" r="W1082"/>
      <c s="30" r="X1082"/>
      <c s="30" r="Y1082"/>
      <c s="30" r="Z1082"/>
      <c s="30" r="AA1082"/>
      <c s="30" r="AB1082"/>
      <c s="30" r="AC1082"/>
      <c s="30" r="AD1082"/>
      <c s="30" r="AE1082"/>
      <c s="10" r="AF1082"/>
      <c s="10" r="AG1082"/>
      <c s="10" r="AH1082"/>
      <c s="10" r="AI1082"/>
      <c s="10" r="AJ1082"/>
      <c s="10" r="AK1082"/>
      <c s="30" r="AL1082"/>
    </row>
    <row r="1083">
      <c s="30" r="A1083"/>
      <c s="30" r="B1083"/>
      <c s="30" r="C1083"/>
      <c s="30" r="D1083"/>
      <c s="16" r="E1083"/>
      <c s="16" r="F1083"/>
      <c s="16" r="G1083"/>
      <c s="16" r="H1083"/>
      <c s="16" r="I1083"/>
      <c s="16" r="J1083"/>
      <c s="16" r="K1083"/>
      <c s="80" r="L1083"/>
      <c s="79" r="M1083"/>
      <c s="79" r="N1083"/>
      <c s="79" r="O1083"/>
      <c s="79" r="P1083"/>
      <c s="17" r="Q1083"/>
      <c s="17" r="R1083"/>
      <c s="7" r="S1083"/>
      <c s="7" r="T1083"/>
      <c s="7" r="U1083"/>
      <c s="7" r="V1083"/>
      <c s="30" r="W1083"/>
      <c s="30" r="X1083"/>
      <c s="30" r="Y1083"/>
      <c s="30" r="Z1083"/>
      <c s="30" r="AA1083"/>
      <c s="30" r="AB1083"/>
      <c s="30" r="AC1083"/>
      <c s="30" r="AD1083"/>
      <c s="30" r="AE1083"/>
      <c s="10" r="AF1083"/>
      <c s="10" r="AG1083"/>
      <c s="10" r="AH1083"/>
      <c s="10" r="AI1083"/>
      <c s="10" r="AJ1083"/>
      <c s="10" r="AK1083"/>
      <c s="30" r="AL1083"/>
    </row>
    <row r="1084">
      <c s="30" r="A1084"/>
      <c s="30" r="B1084"/>
      <c s="30" r="C1084"/>
      <c s="30" r="D1084"/>
      <c s="16" r="E1084"/>
      <c s="16" r="F1084"/>
      <c s="16" r="G1084"/>
      <c s="16" r="H1084"/>
      <c s="16" r="I1084"/>
      <c s="16" r="J1084"/>
      <c s="16" r="K1084"/>
      <c s="80" r="L1084"/>
      <c s="79" r="M1084"/>
      <c s="79" r="N1084"/>
      <c s="79" r="O1084"/>
      <c s="79" r="P1084"/>
      <c s="17" r="Q1084"/>
      <c s="17" r="R1084"/>
      <c s="7" r="S1084"/>
      <c s="7" r="T1084"/>
      <c s="7" r="U1084"/>
      <c s="7" r="V1084"/>
      <c s="30" r="W1084"/>
      <c s="30" r="X1084"/>
      <c s="30" r="Y1084"/>
      <c s="30" r="Z1084"/>
      <c s="30" r="AA1084"/>
      <c s="30" r="AB1084"/>
      <c s="30" r="AC1084"/>
      <c s="30" r="AD1084"/>
      <c s="30" r="AE1084"/>
      <c s="10" r="AF1084"/>
      <c s="10" r="AG1084"/>
      <c s="10" r="AH1084"/>
      <c s="10" r="AI1084"/>
      <c s="10" r="AJ1084"/>
      <c s="10" r="AK1084"/>
      <c s="30" r="AL1084"/>
    </row>
    <row r="1085">
      <c s="30" r="A1085"/>
      <c s="30" r="B1085"/>
      <c s="30" r="C1085"/>
      <c s="30" r="D1085"/>
      <c s="16" r="E1085"/>
      <c s="16" r="F1085"/>
      <c s="16" r="G1085"/>
      <c s="16" r="H1085"/>
      <c s="16" r="I1085"/>
      <c s="16" r="J1085"/>
      <c s="16" r="K1085"/>
      <c s="80" r="L1085"/>
      <c s="79" r="M1085"/>
      <c s="79" r="N1085"/>
      <c s="79" r="O1085"/>
      <c s="79" r="P1085"/>
      <c s="17" r="Q1085"/>
      <c s="17" r="R1085"/>
      <c s="7" r="S1085"/>
      <c s="7" r="T1085"/>
      <c s="7" r="U1085"/>
      <c s="7" r="V1085"/>
      <c s="30" r="W1085"/>
      <c s="30" r="X1085"/>
      <c s="30" r="Y1085"/>
      <c s="30" r="Z1085"/>
      <c s="30" r="AA1085"/>
      <c s="30" r="AB1085"/>
      <c s="30" r="AC1085"/>
      <c s="30" r="AD1085"/>
      <c s="30" r="AE1085"/>
      <c s="10" r="AF1085"/>
      <c s="10" r="AG1085"/>
      <c s="10" r="AH1085"/>
      <c s="10" r="AI1085"/>
      <c s="10" r="AJ1085"/>
      <c s="10" r="AK1085"/>
      <c s="30" r="AL1085"/>
    </row>
    <row r="1086">
      <c s="30" r="A1086"/>
      <c s="30" r="B1086"/>
      <c s="30" r="C1086"/>
      <c s="30" r="D1086"/>
      <c s="16" r="E1086"/>
      <c s="16" r="F1086"/>
      <c s="16" r="G1086"/>
      <c s="16" r="H1086"/>
      <c s="16" r="I1086"/>
      <c s="16" r="J1086"/>
      <c s="16" r="K1086"/>
      <c s="80" r="L1086"/>
      <c s="79" r="M1086"/>
      <c s="79" r="N1086"/>
      <c s="79" r="O1086"/>
      <c s="79" r="P1086"/>
      <c s="17" r="Q1086"/>
      <c s="17" r="R1086"/>
      <c s="7" r="S1086"/>
      <c s="7" r="T1086"/>
      <c s="7" r="U1086"/>
      <c s="7" r="V1086"/>
      <c s="30" r="W1086"/>
      <c s="30" r="X1086"/>
      <c s="30" r="Y1086"/>
      <c s="30" r="Z1086"/>
      <c s="30" r="AA1086"/>
      <c s="30" r="AB1086"/>
      <c s="30" r="AC1086"/>
      <c s="30" r="AD1086"/>
      <c s="30" r="AE1086"/>
      <c s="10" r="AF1086"/>
      <c s="10" r="AG1086"/>
      <c s="10" r="AH1086"/>
      <c s="10" r="AI1086"/>
      <c s="10" r="AJ1086"/>
      <c s="10" r="AK1086"/>
      <c s="30" r="AL1086"/>
    </row>
    <row r="1087">
      <c s="30" r="A1087"/>
      <c s="30" r="B1087"/>
      <c s="30" r="C1087"/>
      <c s="30" r="D1087"/>
      <c s="16" r="E1087"/>
      <c s="16" r="F1087"/>
      <c s="16" r="G1087"/>
      <c s="16" r="H1087"/>
      <c s="16" r="I1087"/>
      <c s="16" r="J1087"/>
      <c s="16" r="K1087"/>
      <c s="80" r="L1087"/>
      <c s="79" r="M1087"/>
      <c s="79" r="N1087"/>
      <c s="79" r="O1087"/>
      <c s="79" r="P1087"/>
      <c s="17" r="Q1087"/>
      <c s="17" r="R1087"/>
      <c s="7" r="S1087"/>
      <c s="7" r="T1087"/>
      <c s="7" r="U1087"/>
      <c s="7" r="V1087"/>
      <c s="30" r="W1087"/>
      <c s="30" r="X1087"/>
      <c s="30" r="Y1087"/>
      <c s="30" r="Z1087"/>
      <c s="30" r="AA1087"/>
      <c s="30" r="AB1087"/>
      <c s="30" r="AC1087"/>
      <c s="30" r="AD1087"/>
      <c s="30" r="AE1087"/>
      <c s="10" r="AF1087"/>
      <c s="10" r="AG1087"/>
      <c s="10" r="AH1087"/>
      <c s="10" r="AI1087"/>
      <c s="10" r="AJ1087"/>
      <c s="10" r="AK1087"/>
      <c s="30" r="AL1087"/>
    </row>
    <row r="1088">
      <c s="30" r="A1088"/>
      <c s="30" r="B1088"/>
      <c s="30" r="C1088"/>
      <c s="30" r="D1088"/>
      <c s="16" r="E1088"/>
      <c s="16" r="F1088"/>
      <c s="16" r="G1088"/>
      <c s="16" r="H1088"/>
      <c s="16" r="I1088"/>
      <c s="16" r="J1088"/>
      <c s="16" r="K1088"/>
      <c s="80" r="L1088"/>
      <c s="79" r="M1088"/>
      <c s="79" r="N1088"/>
      <c s="79" r="O1088"/>
      <c s="79" r="P1088"/>
      <c s="17" r="Q1088"/>
      <c s="17" r="R1088"/>
      <c s="7" r="S1088"/>
      <c s="7" r="T1088"/>
      <c s="7" r="U1088"/>
      <c s="7" r="V1088"/>
      <c s="30" r="W1088"/>
      <c s="30" r="X1088"/>
      <c s="30" r="Y1088"/>
      <c s="30" r="Z1088"/>
      <c s="30" r="AA1088"/>
      <c s="30" r="AB1088"/>
      <c s="30" r="AC1088"/>
      <c s="30" r="AD1088"/>
      <c s="30" r="AE1088"/>
      <c s="10" r="AF1088"/>
      <c s="10" r="AG1088"/>
      <c s="10" r="AH1088"/>
      <c s="10" r="AI1088"/>
      <c s="10" r="AJ1088"/>
      <c s="10" r="AK1088"/>
      <c s="30" r="AL1088"/>
    </row>
    <row r="1089">
      <c s="30" r="A1089"/>
      <c s="30" r="B1089"/>
      <c s="30" r="C1089"/>
      <c s="30" r="D1089"/>
      <c s="16" r="E1089"/>
      <c s="16" r="F1089"/>
      <c s="16" r="G1089"/>
      <c s="16" r="H1089"/>
      <c s="16" r="I1089"/>
      <c s="16" r="J1089"/>
      <c s="16" r="K1089"/>
      <c s="80" r="L1089"/>
      <c s="79" r="M1089"/>
      <c s="79" r="N1089"/>
      <c s="79" r="O1089"/>
      <c s="79" r="P1089"/>
      <c s="17" r="Q1089"/>
      <c s="17" r="R1089"/>
      <c s="7" r="S1089"/>
      <c s="7" r="T1089"/>
      <c s="7" r="U1089"/>
      <c s="7" r="V1089"/>
      <c s="30" r="W1089"/>
      <c s="30" r="X1089"/>
      <c s="30" r="Y1089"/>
      <c s="30" r="Z1089"/>
      <c s="30" r="AA1089"/>
      <c s="30" r="AB1089"/>
      <c s="30" r="AC1089"/>
      <c s="30" r="AD1089"/>
      <c s="30" r="AE1089"/>
      <c s="10" r="AF1089"/>
      <c s="10" r="AG1089"/>
      <c s="10" r="AH1089"/>
      <c s="10" r="AI1089"/>
      <c s="10" r="AJ1089"/>
      <c s="10" r="AK1089"/>
      <c s="30" r="AL1089"/>
    </row>
    <row r="1090">
      <c s="30" r="A1090"/>
      <c s="30" r="B1090"/>
      <c s="30" r="C1090"/>
      <c s="30" r="D1090"/>
      <c s="16" r="E1090"/>
      <c s="16" r="F1090"/>
      <c s="16" r="G1090"/>
      <c s="16" r="H1090"/>
      <c s="16" r="I1090"/>
      <c s="16" r="J1090"/>
      <c s="16" r="K1090"/>
      <c s="80" r="L1090"/>
      <c s="79" r="M1090"/>
      <c s="79" r="N1090"/>
      <c s="79" r="O1090"/>
      <c s="79" r="P1090"/>
      <c s="17" r="Q1090"/>
      <c s="17" r="R1090"/>
      <c s="7" r="S1090"/>
      <c s="7" r="T1090"/>
      <c s="7" r="U1090"/>
      <c s="7" r="V1090"/>
      <c s="30" r="W1090"/>
      <c s="30" r="X1090"/>
      <c s="30" r="Y1090"/>
      <c s="30" r="Z1090"/>
      <c s="30" r="AA1090"/>
      <c s="30" r="AB1090"/>
      <c s="30" r="AC1090"/>
      <c s="30" r="AD1090"/>
      <c s="30" r="AE1090"/>
      <c s="10" r="AF1090"/>
      <c s="10" r="AG1090"/>
      <c s="10" r="AH1090"/>
      <c s="10" r="AI1090"/>
      <c s="10" r="AJ1090"/>
      <c s="10" r="AK1090"/>
      <c s="30" r="AL1090"/>
    </row>
    <row r="1091">
      <c s="30" r="A1091"/>
      <c s="30" r="B1091"/>
      <c s="30" r="C1091"/>
      <c s="30" r="D1091"/>
      <c s="16" r="E1091"/>
      <c s="16" r="F1091"/>
      <c s="16" r="G1091"/>
      <c s="16" r="H1091"/>
      <c s="16" r="I1091"/>
      <c s="16" r="J1091"/>
      <c s="16" r="K1091"/>
      <c s="80" r="L1091"/>
      <c s="79" r="M1091"/>
      <c s="79" r="N1091"/>
      <c s="79" r="O1091"/>
      <c s="79" r="P1091"/>
      <c s="17" r="Q1091"/>
      <c s="17" r="R1091"/>
      <c s="7" r="S1091"/>
      <c s="7" r="T1091"/>
      <c s="7" r="U1091"/>
      <c s="7" r="V1091"/>
      <c s="30" r="W1091"/>
      <c s="30" r="X1091"/>
      <c s="30" r="Y1091"/>
      <c s="30" r="Z1091"/>
      <c s="30" r="AA1091"/>
      <c s="30" r="AB1091"/>
      <c s="30" r="AC1091"/>
      <c s="30" r="AD1091"/>
      <c s="30" r="AE1091"/>
      <c s="10" r="AF1091"/>
      <c s="10" r="AG1091"/>
      <c s="10" r="AH1091"/>
      <c s="10" r="AI1091"/>
      <c s="10" r="AJ1091"/>
      <c s="10" r="AK1091"/>
      <c s="30" r="AL1091"/>
    </row>
    <row r="1092">
      <c s="30" r="A1092"/>
      <c s="30" r="B1092"/>
      <c s="30" r="C1092"/>
      <c s="30" r="D1092"/>
      <c s="16" r="E1092"/>
      <c s="16" r="F1092"/>
      <c s="16" r="G1092"/>
      <c s="16" r="H1092"/>
      <c s="16" r="I1092"/>
      <c s="16" r="J1092"/>
      <c s="16" r="K1092"/>
      <c s="80" r="L1092"/>
      <c s="79" r="M1092"/>
      <c s="79" r="N1092"/>
      <c s="79" r="O1092"/>
      <c s="79" r="P1092"/>
      <c s="17" r="Q1092"/>
      <c s="17" r="R1092"/>
      <c s="7" r="S1092"/>
      <c s="7" r="T1092"/>
      <c s="7" r="U1092"/>
      <c s="7" r="V1092"/>
      <c s="30" r="W1092"/>
      <c s="30" r="X1092"/>
      <c s="30" r="Y1092"/>
      <c s="30" r="Z1092"/>
      <c s="30" r="AA1092"/>
      <c s="30" r="AB1092"/>
      <c s="30" r="AC1092"/>
      <c s="30" r="AD1092"/>
      <c s="30" r="AE1092"/>
      <c s="10" r="AF1092"/>
      <c s="10" r="AG1092"/>
      <c s="10" r="AH1092"/>
      <c s="10" r="AI1092"/>
      <c s="10" r="AJ1092"/>
      <c s="10" r="AK1092"/>
      <c s="30" r="AL1092"/>
    </row>
    <row r="1093">
      <c s="30" r="A1093"/>
      <c s="30" r="B1093"/>
      <c s="30" r="C1093"/>
      <c s="30" r="D1093"/>
      <c s="16" r="E1093"/>
      <c s="16" r="F1093"/>
      <c s="16" r="G1093"/>
      <c s="16" r="H1093"/>
      <c s="16" r="I1093"/>
      <c s="16" r="J1093"/>
      <c s="16" r="K1093"/>
      <c s="80" r="L1093"/>
      <c s="79" r="M1093"/>
      <c s="79" r="N1093"/>
      <c s="79" r="O1093"/>
      <c s="79" r="P1093"/>
      <c s="17" r="Q1093"/>
      <c s="17" r="R1093"/>
      <c s="7" r="S1093"/>
      <c s="7" r="T1093"/>
      <c s="7" r="U1093"/>
      <c s="7" r="V1093"/>
      <c s="30" r="W1093"/>
      <c s="30" r="X1093"/>
      <c s="30" r="Y1093"/>
      <c s="30" r="Z1093"/>
      <c s="30" r="AA1093"/>
      <c s="30" r="AB1093"/>
      <c s="30" r="AC1093"/>
      <c s="30" r="AD1093"/>
      <c s="30" r="AE1093"/>
      <c s="10" r="AF1093"/>
      <c s="10" r="AG1093"/>
      <c s="10" r="AH1093"/>
      <c s="10" r="AI1093"/>
      <c s="10" r="AJ1093"/>
      <c s="10" r="AK1093"/>
      <c s="30" r="AL1093"/>
    </row>
    <row r="1094">
      <c s="30" r="A1094"/>
      <c s="30" r="B1094"/>
      <c s="30" r="C1094"/>
      <c s="30" r="D1094"/>
      <c s="16" r="E1094"/>
      <c s="16" r="F1094"/>
      <c s="16" r="G1094"/>
      <c s="16" r="H1094"/>
      <c s="16" r="I1094"/>
      <c s="16" r="J1094"/>
      <c s="16" r="K1094"/>
      <c s="80" r="L1094"/>
      <c s="79" r="M1094"/>
      <c s="79" r="N1094"/>
      <c s="79" r="O1094"/>
      <c s="79" r="P1094"/>
      <c s="17" r="Q1094"/>
      <c s="17" r="R1094"/>
      <c s="7" r="S1094"/>
      <c s="7" r="T1094"/>
      <c s="7" r="U1094"/>
      <c s="7" r="V1094"/>
      <c s="30" r="W1094"/>
      <c s="30" r="X1094"/>
      <c s="30" r="Y1094"/>
      <c s="30" r="Z1094"/>
      <c s="30" r="AA1094"/>
      <c s="30" r="AB1094"/>
      <c s="30" r="AC1094"/>
      <c s="30" r="AD1094"/>
      <c s="30" r="AE1094"/>
      <c s="10" r="AF1094"/>
      <c s="10" r="AG1094"/>
      <c s="10" r="AH1094"/>
      <c s="10" r="AI1094"/>
      <c s="10" r="AJ1094"/>
      <c s="10" r="AK1094"/>
      <c s="30" r="AL1094"/>
    </row>
    <row r="1095">
      <c s="30" r="A1095"/>
      <c s="30" r="B1095"/>
      <c s="30" r="C1095"/>
      <c s="30" r="D1095"/>
      <c s="16" r="E1095"/>
      <c s="16" r="F1095"/>
      <c s="16" r="G1095"/>
      <c s="16" r="H1095"/>
      <c s="16" r="I1095"/>
      <c s="16" r="J1095"/>
      <c s="16" r="K1095"/>
      <c s="80" r="L1095"/>
      <c s="79" r="M1095"/>
      <c s="79" r="N1095"/>
      <c s="79" r="O1095"/>
      <c s="79" r="P1095"/>
      <c s="17" r="Q1095"/>
      <c s="17" r="R1095"/>
      <c s="7" r="S1095"/>
      <c s="7" r="T1095"/>
      <c s="7" r="U1095"/>
      <c s="7" r="V1095"/>
      <c s="30" r="W1095"/>
      <c s="30" r="X1095"/>
      <c s="30" r="Y1095"/>
      <c s="30" r="Z1095"/>
      <c s="30" r="AA1095"/>
      <c s="30" r="AB1095"/>
      <c s="30" r="AC1095"/>
      <c s="30" r="AD1095"/>
      <c s="30" r="AE1095"/>
      <c s="10" r="AF1095"/>
      <c s="10" r="AG1095"/>
      <c s="10" r="AH1095"/>
      <c s="10" r="AI1095"/>
      <c s="10" r="AJ1095"/>
      <c s="10" r="AK1095"/>
      <c s="30" r="AL1095"/>
    </row>
    <row r="1096">
      <c s="30" r="A1096"/>
      <c s="30" r="B1096"/>
      <c s="30" r="C1096"/>
      <c s="30" r="D1096"/>
      <c s="16" r="E1096"/>
      <c s="16" r="F1096"/>
      <c s="16" r="G1096"/>
      <c s="16" r="H1096"/>
      <c s="16" r="I1096"/>
      <c s="16" r="J1096"/>
      <c s="16" r="K1096"/>
      <c s="80" r="L1096"/>
      <c s="79" r="M1096"/>
      <c s="79" r="N1096"/>
      <c s="79" r="O1096"/>
      <c s="79" r="P1096"/>
      <c s="17" r="Q1096"/>
      <c s="17" r="R1096"/>
      <c s="7" r="S1096"/>
      <c s="7" r="T1096"/>
      <c s="7" r="U1096"/>
      <c s="7" r="V1096"/>
      <c s="30" r="W1096"/>
      <c s="30" r="X1096"/>
      <c s="30" r="Y1096"/>
      <c s="30" r="Z1096"/>
      <c s="30" r="AA1096"/>
      <c s="30" r="AB1096"/>
      <c s="30" r="AC1096"/>
      <c s="30" r="AD1096"/>
      <c s="30" r="AE1096"/>
      <c s="10" r="AF1096"/>
      <c s="10" r="AG1096"/>
      <c s="10" r="AH1096"/>
      <c s="10" r="AI1096"/>
      <c s="10" r="AJ1096"/>
      <c s="10" r="AK1096"/>
      <c s="30" r="AL1096"/>
    </row>
    <row r="1097">
      <c s="30" r="A1097"/>
      <c s="30" r="B1097"/>
      <c s="30" r="C1097"/>
      <c s="30" r="D1097"/>
      <c s="16" r="E1097"/>
      <c s="16" r="F1097"/>
      <c s="16" r="G1097"/>
      <c s="16" r="H1097"/>
      <c s="16" r="I1097"/>
      <c s="16" r="J1097"/>
      <c s="16" r="K1097"/>
      <c s="80" r="L1097"/>
      <c s="79" r="M1097"/>
      <c s="79" r="N1097"/>
      <c s="79" r="O1097"/>
      <c s="79" r="P1097"/>
      <c s="17" r="Q1097"/>
      <c s="17" r="R1097"/>
      <c s="7" r="S1097"/>
      <c s="7" r="T1097"/>
      <c s="7" r="U1097"/>
      <c s="7" r="V1097"/>
      <c s="30" r="W1097"/>
      <c s="30" r="X1097"/>
      <c s="30" r="Y1097"/>
      <c s="30" r="Z1097"/>
      <c s="30" r="AA1097"/>
      <c s="30" r="AB1097"/>
      <c s="30" r="AC1097"/>
      <c s="30" r="AD1097"/>
      <c s="30" r="AE1097"/>
      <c s="10" r="AF1097"/>
      <c s="10" r="AG1097"/>
      <c s="10" r="AH1097"/>
      <c s="10" r="AI1097"/>
      <c s="10" r="AJ1097"/>
      <c s="10" r="AK1097"/>
      <c s="30" r="AL1097"/>
    </row>
    <row r="1098">
      <c s="30" r="A1098"/>
      <c s="30" r="B1098"/>
      <c s="30" r="C1098"/>
      <c s="30" r="D1098"/>
      <c s="16" r="E1098"/>
      <c s="16" r="F1098"/>
      <c s="16" r="G1098"/>
      <c s="16" r="H1098"/>
      <c s="16" r="I1098"/>
      <c s="16" r="J1098"/>
      <c s="16" r="K1098"/>
      <c s="80" r="L1098"/>
      <c s="79" r="M1098"/>
      <c s="79" r="N1098"/>
      <c s="79" r="O1098"/>
      <c s="79" r="P1098"/>
      <c s="17" r="Q1098"/>
      <c s="17" r="R1098"/>
      <c s="7" r="S1098"/>
      <c s="7" r="T1098"/>
      <c s="7" r="U1098"/>
      <c s="7" r="V1098"/>
      <c s="30" r="W1098"/>
      <c s="30" r="X1098"/>
      <c s="30" r="Y1098"/>
      <c s="30" r="Z1098"/>
      <c s="30" r="AA1098"/>
      <c s="30" r="AB1098"/>
      <c s="30" r="AC1098"/>
      <c s="30" r="AD1098"/>
      <c s="30" r="AE1098"/>
      <c s="10" r="AF1098"/>
      <c s="10" r="AG1098"/>
      <c s="10" r="AH1098"/>
      <c s="10" r="AI1098"/>
      <c s="10" r="AJ1098"/>
      <c s="10" r="AK1098"/>
      <c s="30" r="AL1098"/>
    </row>
    <row r="1099">
      <c s="30" r="A1099"/>
      <c s="30" r="B1099"/>
      <c s="30" r="C1099"/>
      <c s="30" r="D1099"/>
      <c s="16" r="E1099"/>
      <c s="16" r="F1099"/>
      <c s="16" r="G1099"/>
      <c s="16" r="H1099"/>
      <c s="16" r="I1099"/>
      <c s="16" r="J1099"/>
      <c s="16" r="K1099"/>
      <c s="80" r="L1099"/>
      <c s="79" r="M1099"/>
      <c s="79" r="N1099"/>
      <c s="79" r="O1099"/>
      <c s="79" r="P1099"/>
      <c s="17" r="Q1099"/>
      <c s="17" r="R1099"/>
      <c s="7" r="S1099"/>
      <c s="7" r="T1099"/>
      <c s="7" r="U1099"/>
      <c s="7" r="V1099"/>
      <c s="30" r="W1099"/>
      <c s="30" r="X1099"/>
      <c s="30" r="Y1099"/>
      <c s="30" r="Z1099"/>
      <c s="30" r="AA1099"/>
      <c s="30" r="AB1099"/>
      <c s="30" r="AC1099"/>
      <c s="30" r="AD1099"/>
      <c s="30" r="AE1099"/>
      <c s="10" r="AF1099"/>
      <c s="10" r="AG1099"/>
      <c s="10" r="AH1099"/>
      <c s="10" r="AI1099"/>
      <c s="10" r="AJ1099"/>
      <c s="10" r="AK1099"/>
      <c s="30" r="AL1099"/>
    </row>
    <row r="1100">
      <c s="30" r="A1100"/>
      <c s="30" r="B1100"/>
      <c s="30" r="C1100"/>
      <c s="30" r="D1100"/>
      <c s="16" r="E1100"/>
      <c s="16" r="F1100"/>
      <c s="16" r="G1100"/>
      <c s="16" r="H1100"/>
      <c s="16" r="I1100"/>
      <c s="16" r="J1100"/>
      <c s="16" r="K1100"/>
      <c s="80" r="L1100"/>
      <c s="79" r="M1100"/>
      <c s="79" r="N1100"/>
      <c s="79" r="O1100"/>
      <c s="79" r="P1100"/>
      <c s="17" r="Q1100"/>
      <c s="17" r="R1100"/>
      <c s="7" r="S1100"/>
      <c s="7" r="T1100"/>
      <c s="7" r="U1100"/>
      <c s="7" r="V1100"/>
      <c s="30" r="W1100"/>
      <c s="30" r="X1100"/>
      <c s="30" r="Y1100"/>
      <c s="30" r="Z1100"/>
      <c s="30" r="AA1100"/>
      <c s="30" r="AB1100"/>
      <c s="30" r="AC1100"/>
      <c s="30" r="AD1100"/>
      <c s="30" r="AE1100"/>
      <c s="10" r="AF1100"/>
      <c s="10" r="AG1100"/>
      <c s="10" r="AH1100"/>
      <c s="10" r="AI1100"/>
      <c s="10" r="AJ1100"/>
      <c s="10" r="AK1100"/>
      <c s="30" r="AL1100"/>
    </row>
    <row r="1101">
      <c s="30" r="A1101"/>
      <c s="30" r="B1101"/>
      <c s="30" r="C1101"/>
      <c s="30" r="D1101"/>
      <c s="16" r="E1101"/>
      <c s="16" r="F1101"/>
      <c s="16" r="G1101"/>
      <c s="16" r="H1101"/>
      <c s="16" r="I1101"/>
      <c s="16" r="J1101"/>
      <c s="16" r="K1101"/>
      <c s="80" r="L1101"/>
      <c s="79" r="M1101"/>
      <c s="79" r="N1101"/>
      <c s="79" r="O1101"/>
      <c s="79" r="P1101"/>
      <c s="17" r="Q1101"/>
      <c s="17" r="R1101"/>
      <c s="7" r="S1101"/>
      <c s="7" r="T1101"/>
      <c s="7" r="U1101"/>
      <c s="7" r="V1101"/>
      <c s="30" r="W1101"/>
      <c s="30" r="X1101"/>
      <c s="30" r="Y1101"/>
      <c s="30" r="Z1101"/>
      <c s="30" r="AA1101"/>
      <c s="30" r="AB1101"/>
      <c s="30" r="AC1101"/>
      <c s="30" r="AD1101"/>
      <c s="30" r="AE1101"/>
      <c s="10" r="AF1101"/>
      <c s="10" r="AG1101"/>
      <c s="10" r="AH1101"/>
      <c s="10" r="AI1101"/>
      <c s="10" r="AJ1101"/>
      <c s="10" r="AK1101"/>
      <c s="30" r="AL1101"/>
    </row>
    <row r="1102">
      <c s="30" r="A1102"/>
      <c s="30" r="B1102"/>
      <c s="30" r="C1102"/>
      <c s="30" r="D1102"/>
      <c s="16" r="E1102"/>
      <c s="16" r="F1102"/>
      <c s="16" r="G1102"/>
      <c s="16" r="H1102"/>
      <c s="16" r="I1102"/>
      <c s="16" r="J1102"/>
      <c s="16" r="K1102"/>
      <c s="80" r="L1102"/>
      <c s="79" r="M1102"/>
      <c s="79" r="N1102"/>
      <c s="79" r="O1102"/>
      <c s="79" r="P1102"/>
      <c s="17" r="Q1102"/>
      <c s="17" r="R1102"/>
      <c s="7" r="S1102"/>
      <c s="7" r="T1102"/>
      <c s="7" r="U1102"/>
      <c s="7" r="V1102"/>
      <c s="30" r="W1102"/>
      <c s="30" r="X1102"/>
      <c s="30" r="Y1102"/>
      <c s="30" r="Z1102"/>
      <c s="30" r="AA1102"/>
      <c s="30" r="AB1102"/>
      <c s="30" r="AC1102"/>
      <c s="30" r="AD1102"/>
      <c s="30" r="AE1102"/>
      <c s="10" r="AF1102"/>
      <c s="10" r="AG1102"/>
      <c s="10" r="AH1102"/>
      <c s="10" r="AI1102"/>
      <c s="10" r="AJ1102"/>
      <c s="10" r="AK1102"/>
      <c s="30" r="AL1102"/>
    </row>
    <row r="1103">
      <c s="30" r="A1103"/>
      <c s="30" r="B1103"/>
      <c s="30" r="C1103"/>
      <c s="30" r="D1103"/>
      <c s="16" r="E1103"/>
      <c s="16" r="F1103"/>
      <c s="16" r="G1103"/>
      <c s="16" r="H1103"/>
      <c s="16" r="I1103"/>
      <c s="16" r="J1103"/>
      <c s="16" r="K1103"/>
      <c s="80" r="L1103"/>
      <c s="79" r="M1103"/>
      <c s="79" r="N1103"/>
      <c s="79" r="O1103"/>
      <c s="79" r="P1103"/>
      <c s="17" r="Q1103"/>
      <c s="17" r="R1103"/>
      <c s="7" r="S1103"/>
      <c s="7" r="T1103"/>
      <c s="7" r="U1103"/>
      <c s="7" r="V1103"/>
      <c s="30" r="W1103"/>
      <c s="30" r="X1103"/>
      <c s="30" r="Y1103"/>
      <c s="30" r="Z1103"/>
      <c s="30" r="AA1103"/>
      <c s="30" r="AB1103"/>
      <c s="30" r="AC1103"/>
      <c s="30" r="AD1103"/>
      <c s="30" r="AE1103"/>
      <c s="10" r="AF1103"/>
      <c s="10" r="AG1103"/>
      <c s="10" r="AH1103"/>
      <c s="10" r="AI1103"/>
      <c s="10" r="AJ1103"/>
      <c s="10" r="AK1103"/>
      <c s="30" r="AL1103"/>
    </row>
    <row r="1104">
      <c s="30" r="A1104"/>
      <c s="30" r="B1104"/>
      <c s="30" r="C1104"/>
      <c s="30" r="D1104"/>
      <c s="16" r="E1104"/>
      <c s="16" r="F1104"/>
      <c s="16" r="G1104"/>
      <c s="16" r="H1104"/>
      <c s="16" r="I1104"/>
      <c s="16" r="J1104"/>
      <c s="16" r="K1104"/>
      <c s="80" r="L1104"/>
      <c s="79" r="M1104"/>
      <c s="79" r="N1104"/>
      <c s="79" r="O1104"/>
      <c s="79" r="P1104"/>
      <c s="17" r="Q1104"/>
      <c s="17" r="R1104"/>
      <c s="7" r="S1104"/>
      <c s="7" r="T1104"/>
      <c s="7" r="U1104"/>
      <c s="7" r="V1104"/>
      <c s="30" r="W1104"/>
      <c s="30" r="X1104"/>
      <c s="30" r="Y1104"/>
      <c s="30" r="Z1104"/>
      <c s="30" r="AA1104"/>
      <c s="30" r="AB1104"/>
      <c s="30" r="AC1104"/>
      <c s="30" r="AD1104"/>
      <c s="30" r="AE1104"/>
      <c s="10" r="AF1104"/>
      <c s="10" r="AG1104"/>
      <c s="10" r="AH1104"/>
      <c s="10" r="AI1104"/>
      <c s="10" r="AJ1104"/>
      <c s="10" r="AK1104"/>
      <c s="30" r="AL1104"/>
    </row>
    <row r="1105">
      <c s="30" r="A1105"/>
      <c s="30" r="B1105"/>
      <c s="30" r="C1105"/>
      <c s="30" r="D1105"/>
      <c s="16" r="E1105"/>
      <c s="16" r="F1105"/>
      <c s="16" r="G1105"/>
      <c s="16" r="H1105"/>
      <c s="16" r="I1105"/>
      <c s="16" r="J1105"/>
      <c s="16" r="K1105"/>
      <c s="80" r="L1105"/>
      <c s="79" r="M1105"/>
      <c s="79" r="N1105"/>
      <c s="79" r="O1105"/>
      <c s="79" r="P1105"/>
      <c s="17" r="Q1105"/>
      <c s="17" r="R1105"/>
      <c s="7" r="S1105"/>
      <c s="7" r="T1105"/>
      <c s="7" r="U1105"/>
      <c s="7" r="V1105"/>
      <c s="30" r="W1105"/>
      <c s="30" r="X1105"/>
      <c s="30" r="Y1105"/>
      <c s="30" r="Z1105"/>
      <c s="30" r="AA1105"/>
      <c s="30" r="AB1105"/>
      <c s="30" r="AC1105"/>
      <c s="30" r="AD1105"/>
      <c s="30" r="AE1105"/>
      <c s="10" r="AF1105"/>
      <c s="10" r="AG1105"/>
      <c s="10" r="AH1105"/>
      <c s="10" r="AI1105"/>
      <c s="10" r="AJ1105"/>
      <c s="10" r="AK1105"/>
      <c s="30" r="AL1105"/>
    </row>
    <row r="1106">
      <c s="30" r="A1106"/>
      <c s="30" r="B1106"/>
      <c s="30" r="C1106"/>
      <c s="30" r="D1106"/>
      <c s="16" r="E1106"/>
      <c s="16" r="F1106"/>
      <c s="16" r="G1106"/>
      <c s="16" r="H1106"/>
      <c s="16" r="I1106"/>
      <c s="16" r="J1106"/>
      <c s="16" r="K1106"/>
      <c s="80" r="L1106"/>
      <c s="79" r="M1106"/>
      <c s="79" r="N1106"/>
      <c s="79" r="O1106"/>
      <c s="79" r="P1106"/>
      <c s="17" r="Q1106"/>
      <c s="17" r="R1106"/>
      <c s="7" r="S1106"/>
      <c s="7" r="T1106"/>
      <c s="7" r="U1106"/>
      <c s="7" r="V1106"/>
      <c s="30" r="W1106"/>
      <c s="30" r="X1106"/>
      <c s="30" r="Y1106"/>
      <c s="30" r="Z1106"/>
      <c s="30" r="AA1106"/>
      <c s="30" r="AB1106"/>
      <c s="30" r="AC1106"/>
      <c s="30" r="AD1106"/>
      <c s="30" r="AE1106"/>
      <c s="10" r="AF1106"/>
      <c s="10" r="AG1106"/>
      <c s="10" r="AH1106"/>
      <c s="10" r="AI1106"/>
      <c s="10" r="AJ1106"/>
      <c s="10" r="AK1106"/>
      <c s="30" r="AL1106"/>
    </row>
    <row r="1107">
      <c s="30" r="A1107"/>
      <c s="30" r="B1107"/>
      <c s="30" r="C1107"/>
      <c s="30" r="D1107"/>
      <c s="16" r="E1107"/>
      <c s="16" r="F1107"/>
      <c s="16" r="G1107"/>
      <c s="16" r="H1107"/>
      <c s="16" r="I1107"/>
      <c s="16" r="J1107"/>
      <c s="16" r="K1107"/>
      <c s="80" r="L1107"/>
      <c s="79" r="M1107"/>
      <c s="79" r="N1107"/>
      <c s="79" r="O1107"/>
      <c s="79" r="P1107"/>
      <c s="17" r="Q1107"/>
      <c s="17" r="R1107"/>
      <c s="7" r="S1107"/>
      <c s="7" r="T1107"/>
      <c s="7" r="U1107"/>
      <c s="7" r="V1107"/>
      <c s="30" r="W1107"/>
      <c s="30" r="X1107"/>
      <c s="30" r="Y1107"/>
      <c s="30" r="Z1107"/>
      <c s="30" r="AA1107"/>
      <c s="30" r="AB1107"/>
      <c s="30" r="AC1107"/>
      <c s="30" r="AD1107"/>
      <c s="30" r="AE1107"/>
      <c s="10" r="AF1107"/>
      <c s="10" r="AG1107"/>
      <c s="10" r="AH1107"/>
      <c s="10" r="AI1107"/>
      <c s="10" r="AJ1107"/>
      <c s="10" r="AK1107"/>
      <c s="30" r="AL1107"/>
    </row>
    <row r="1108">
      <c s="30" r="A1108"/>
      <c s="30" r="B1108"/>
      <c s="30" r="C1108"/>
      <c s="30" r="D1108"/>
      <c s="16" r="E1108"/>
      <c s="16" r="F1108"/>
      <c s="16" r="G1108"/>
      <c s="16" r="H1108"/>
      <c s="16" r="I1108"/>
      <c s="16" r="J1108"/>
      <c s="16" r="K1108"/>
      <c s="80" r="L1108"/>
      <c s="79" r="M1108"/>
      <c s="79" r="N1108"/>
      <c s="79" r="O1108"/>
      <c s="79" r="P1108"/>
      <c s="17" r="Q1108"/>
      <c s="17" r="R1108"/>
      <c s="7" r="S1108"/>
      <c s="7" r="T1108"/>
      <c s="7" r="U1108"/>
      <c s="7" r="V1108"/>
      <c s="30" r="W1108"/>
      <c s="30" r="X1108"/>
      <c s="30" r="Y1108"/>
      <c s="30" r="Z1108"/>
      <c s="30" r="AA1108"/>
      <c s="30" r="AB1108"/>
      <c s="30" r="AC1108"/>
      <c s="30" r="AD1108"/>
      <c s="30" r="AE1108"/>
      <c s="10" r="AF1108"/>
      <c s="10" r="AG1108"/>
      <c s="10" r="AH1108"/>
      <c s="10" r="AI1108"/>
      <c s="10" r="AJ1108"/>
      <c s="10" r="AK1108"/>
      <c s="30" r="AL1108"/>
    </row>
    <row r="1109">
      <c s="30" r="A1109"/>
      <c s="30" r="B1109"/>
      <c s="30" r="C1109"/>
      <c s="30" r="D1109"/>
      <c s="16" r="E1109"/>
      <c s="16" r="F1109"/>
      <c s="16" r="G1109"/>
      <c s="16" r="H1109"/>
      <c s="16" r="I1109"/>
      <c s="16" r="J1109"/>
      <c s="16" r="K1109"/>
      <c s="80" r="L1109"/>
      <c s="79" r="M1109"/>
      <c s="79" r="N1109"/>
      <c s="79" r="O1109"/>
      <c s="79" r="P1109"/>
      <c s="17" r="Q1109"/>
      <c s="17" r="R1109"/>
      <c s="7" r="S1109"/>
      <c s="7" r="T1109"/>
      <c s="7" r="U1109"/>
      <c s="7" r="V1109"/>
      <c s="30" r="W1109"/>
      <c s="30" r="X1109"/>
      <c s="30" r="Y1109"/>
      <c s="30" r="Z1109"/>
      <c s="30" r="AA1109"/>
      <c s="30" r="AB1109"/>
      <c s="30" r="AC1109"/>
      <c s="30" r="AD1109"/>
      <c s="30" r="AE1109"/>
      <c s="10" r="AF1109"/>
      <c s="10" r="AG1109"/>
      <c s="10" r="AH1109"/>
      <c s="10" r="AI1109"/>
      <c s="10" r="AJ1109"/>
      <c s="10" r="AK1109"/>
      <c s="30" r="AL1109"/>
    </row>
    <row r="1110">
      <c s="30" r="A1110"/>
      <c s="30" r="B1110"/>
      <c s="30" r="C1110"/>
      <c s="30" r="D1110"/>
      <c s="16" r="E1110"/>
      <c s="16" r="F1110"/>
      <c s="16" r="G1110"/>
      <c s="16" r="H1110"/>
      <c s="16" r="I1110"/>
      <c s="16" r="J1110"/>
      <c s="16" r="K1110"/>
      <c s="80" r="L1110"/>
      <c s="79" r="M1110"/>
      <c s="79" r="N1110"/>
      <c s="79" r="O1110"/>
      <c s="79" r="P1110"/>
      <c s="17" r="Q1110"/>
      <c s="17" r="R1110"/>
      <c s="7" r="S1110"/>
      <c s="7" r="T1110"/>
      <c s="7" r="U1110"/>
      <c s="7" r="V1110"/>
      <c s="30" r="W1110"/>
      <c s="30" r="X1110"/>
      <c s="30" r="Y1110"/>
      <c s="30" r="Z1110"/>
      <c s="30" r="AA1110"/>
      <c s="30" r="AB1110"/>
      <c s="30" r="AC1110"/>
      <c s="30" r="AD1110"/>
      <c s="30" r="AE1110"/>
      <c s="10" r="AF1110"/>
      <c s="10" r="AG1110"/>
      <c s="10" r="AH1110"/>
      <c s="10" r="AI1110"/>
      <c s="10" r="AJ1110"/>
      <c s="10" r="AK1110"/>
      <c s="30" r="AL1110"/>
    </row>
    <row r="1111">
      <c s="30" r="A1111"/>
      <c s="30" r="B1111"/>
      <c s="30" r="C1111"/>
      <c s="30" r="D1111"/>
      <c s="16" r="E1111"/>
      <c s="16" r="F1111"/>
      <c s="16" r="G1111"/>
      <c s="16" r="H1111"/>
      <c s="16" r="I1111"/>
      <c s="16" r="J1111"/>
      <c s="16" r="K1111"/>
      <c s="80" r="L1111"/>
      <c s="79" r="M1111"/>
      <c s="79" r="N1111"/>
      <c s="79" r="O1111"/>
      <c s="79" r="P1111"/>
      <c s="17" r="Q1111"/>
      <c s="17" r="R1111"/>
      <c s="7" r="S1111"/>
      <c s="7" r="T1111"/>
      <c s="7" r="U1111"/>
      <c s="7" r="V1111"/>
      <c s="30" r="W1111"/>
      <c s="30" r="X1111"/>
      <c s="30" r="Y1111"/>
      <c s="30" r="Z1111"/>
      <c s="30" r="AA1111"/>
      <c s="30" r="AB1111"/>
      <c s="30" r="AC1111"/>
      <c s="30" r="AD1111"/>
      <c s="30" r="AE1111"/>
      <c s="10" r="AF1111"/>
      <c s="10" r="AG1111"/>
      <c s="10" r="AH1111"/>
      <c s="10" r="AI1111"/>
      <c s="10" r="AJ1111"/>
      <c s="10" r="AK1111"/>
      <c s="30" r="AL1111"/>
    </row>
    <row r="1112">
      <c s="30" r="A1112"/>
      <c s="30" r="B1112"/>
      <c s="30" r="C1112"/>
      <c s="30" r="D1112"/>
      <c s="16" r="E1112"/>
      <c s="16" r="F1112"/>
      <c s="16" r="G1112"/>
      <c s="16" r="H1112"/>
      <c s="16" r="I1112"/>
      <c s="16" r="J1112"/>
      <c s="16" r="K1112"/>
      <c s="80" r="L1112"/>
      <c s="79" r="M1112"/>
      <c s="79" r="N1112"/>
      <c s="79" r="O1112"/>
      <c s="79" r="P1112"/>
      <c s="17" r="Q1112"/>
      <c s="17" r="R1112"/>
      <c s="7" r="S1112"/>
      <c s="7" r="T1112"/>
      <c s="7" r="U1112"/>
      <c s="7" r="V1112"/>
      <c s="30" r="W1112"/>
      <c s="30" r="X1112"/>
      <c s="30" r="Y1112"/>
      <c s="30" r="Z1112"/>
      <c s="30" r="AA1112"/>
      <c s="30" r="AB1112"/>
      <c s="30" r="AC1112"/>
      <c s="30" r="AD1112"/>
      <c s="30" r="AE1112"/>
      <c s="10" r="AF1112"/>
      <c s="10" r="AG1112"/>
      <c s="10" r="AH1112"/>
      <c s="10" r="AI1112"/>
      <c s="10" r="AJ1112"/>
      <c s="10" r="AK1112"/>
      <c s="30" r="AL1112"/>
    </row>
    <row r="1113">
      <c s="30" r="A1113"/>
      <c s="30" r="B1113"/>
      <c s="30" r="C1113"/>
      <c s="30" r="D1113"/>
      <c s="16" r="E1113"/>
      <c s="16" r="F1113"/>
      <c s="16" r="G1113"/>
      <c s="16" r="H1113"/>
      <c s="16" r="I1113"/>
      <c s="16" r="J1113"/>
      <c s="16" r="K1113"/>
      <c s="80" r="L1113"/>
      <c s="79" r="M1113"/>
      <c s="79" r="N1113"/>
      <c s="79" r="O1113"/>
      <c s="79" r="P1113"/>
      <c s="17" r="Q1113"/>
      <c s="17" r="R1113"/>
      <c s="7" r="S1113"/>
      <c s="7" r="T1113"/>
      <c s="7" r="U1113"/>
      <c s="7" r="V1113"/>
      <c s="30" r="W1113"/>
      <c s="30" r="X1113"/>
      <c s="30" r="Y1113"/>
      <c s="30" r="Z1113"/>
      <c s="30" r="AA1113"/>
      <c s="30" r="AB1113"/>
      <c s="30" r="AC1113"/>
      <c s="30" r="AD1113"/>
      <c s="30" r="AE1113"/>
      <c s="10" r="AF1113"/>
      <c s="10" r="AG1113"/>
      <c s="10" r="AH1113"/>
      <c s="10" r="AI1113"/>
      <c s="10" r="AJ1113"/>
      <c s="10" r="AK1113"/>
      <c s="30" r="AL1113"/>
    </row>
    <row r="1114">
      <c s="30" r="A1114"/>
      <c s="30" r="B1114"/>
      <c s="30" r="C1114"/>
      <c s="30" r="D1114"/>
      <c s="16" r="E1114"/>
      <c s="16" r="F1114"/>
      <c s="16" r="G1114"/>
      <c s="16" r="H1114"/>
      <c s="16" r="I1114"/>
      <c s="16" r="J1114"/>
      <c s="16" r="K1114"/>
      <c s="80" r="L1114"/>
      <c s="79" r="M1114"/>
      <c s="79" r="N1114"/>
      <c s="79" r="O1114"/>
      <c s="79" r="P1114"/>
      <c s="17" r="Q1114"/>
      <c s="17" r="R1114"/>
      <c s="7" r="S1114"/>
      <c s="7" r="T1114"/>
      <c s="7" r="U1114"/>
      <c s="7" r="V1114"/>
      <c s="30" r="W1114"/>
      <c s="30" r="X1114"/>
      <c s="30" r="Y1114"/>
      <c s="30" r="Z1114"/>
      <c s="30" r="AA1114"/>
      <c s="30" r="AB1114"/>
      <c s="30" r="AC1114"/>
      <c s="30" r="AD1114"/>
      <c s="30" r="AE1114"/>
      <c s="10" r="AF1114"/>
      <c s="10" r="AG1114"/>
      <c s="10" r="AH1114"/>
      <c s="10" r="AI1114"/>
      <c s="10" r="AJ1114"/>
      <c s="10" r="AK1114"/>
      <c s="30" r="AL1114"/>
    </row>
    <row r="1115">
      <c s="30" r="A1115"/>
      <c s="30" r="B1115"/>
      <c s="30" r="C1115"/>
      <c s="30" r="D1115"/>
      <c s="16" r="E1115"/>
      <c s="16" r="F1115"/>
      <c s="16" r="G1115"/>
      <c s="16" r="H1115"/>
      <c s="16" r="I1115"/>
      <c s="16" r="J1115"/>
      <c s="16" r="K1115"/>
      <c s="80" r="L1115"/>
      <c s="79" r="M1115"/>
      <c s="79" r="N1115"/>
      <c s="79" r="O1115"/>
      <c s="79" r="P1115"/>
      <c s="17" r="Q1115"/>
      <c s="17" r="R1115"/>
      <c s="7" r="S1115"/>
      <c s="7" r="T1115"/>
      <c s="7" r="U1115"/>
      <c s="7" r="V1115"/>
      <c s="30" r="W1115"/>
      <c s="30" r="X1115"/>
      <c s="30" r="Y1115"/>
      <c s="30" r="Z1115"/>
      <c s="30" r="AA1115"/>
      <c s="30" r="AB1115"/>
      <c s="30" r="AC1115"/>
      <c s="30" r="AD1115"/>
      <c s="30" r="AE1115"/>
      <c s="10" r="AF1115"/>
      <c s="10" r="AG1115"/>
      <c s="10" r="AH1115"/>
      <c s="10" r="AI1115"/>
      <c s="10" r="AJ1115"/>
      <c s="10" r="AK1115"/>
      <c s="30" r="AL1115"/>
    </row>
    <row r="1116">
      <c s="30" r="A1116"/>
      <c s="30" r="B1116"/>
      <c s="30" r="C1116"/>
      <c s="30" r="D1116"/>
      <c s="16" r="E1116"/>
      <c s="16" r="F1116"/>
      <c s="16" r="G1116"/>
      <c s="16" r="H1116"/>
      <c s="16" r="I1116"/>
      <c s="16" r="J1116"/>
      <c s="16" r="K1116"/>
      <c s="80" r="L1116"/>
      <c s="79" r="M1116"/>
      <c s="79" r="N1116"/>
      <c s="79" r="O1116"/>
      <c s="79" r="P1116"/>
      <c s="17" r="Q1116"/>
      <c s="17" r="R1116"/>
      <c s="7" r="S1116"/>
      <c s="7" r="T1116"/>
      <c s="7" r="U1116"/>
      <c s="7" r="V1116"/>
      <c s="30" r="W1116"/>
      <c s="30" r="X1116"/>
      <c s="30" r="Y1116"/>
      <c s="30" r="Z1116"/>
      <c s="30" r="AA1116"/>
      <c s="30" r="AB1116"/>
      <c s="30" r="AC1116"/>
      <c s="30" r="AD1116"/>
      <c s="30" r="AE1116"/>
      <c s="10" r="AF1116"/>
      <c s="10" r="AG1116"/>
      <c s="10" r="AH1116"/>
      <c s="10" r="AI1116"/>
      <c s="10" r="AJ1116"/>
      <c s="10" r="AK1116"/>
      <c s="30" r="AL1116"/>
    </row>
    <row r="1117">
      <c s="30" r="A1117"/>
      <c s="30" r="B1117"/>
      <c s="30" r="C1117"/>
      <c s="30" r="D1117"/>
      <c s="16" r="E1117"/>
      <c s="16" r="F1117"/>
      <c s="16" r="G1117"/>
      <c s="16" r="H1117"/>
      <c s="16" r="I1117"/>
      <c s="16" r="J1117"/>
      <c s="16" r="K1117"/>
      <c s="80" r="L1117"/>
      <c s="79" r="M1117"/>
      <c s="79" r="N1117"/>
      <c s="79" r="O1117"/>
      <c s="79" r="P1117"/>
      <c s="17" r="Q1117"/>
      <c s="17" r="R1117"/>
      <c s="7" r="S1117"/>
      <c s="7" r="T1117"/>
      <c s="7" r="U1117"/>
      <c s="7" r="V1117"/>
      <c s="30" r="W1117"/>
      <c s="30" r="X1117"/>
      <c s="30" r="Y1117"/>
      <c s="30" r="Z1117"/>
      <c s="30" r="AA1117"/>
      <c s="30" r="AB1117"/>
      <c s="30" r="AC1117"/>
      <c s="30" r="AD1117"/>
      <c s="30" r="AE1117"/>
      <c s="10" r="AF1117"/>
      <c s="10" r="AG1117"/>
      <c s="10" r="AH1117"/>
      <c s="10" r="AI1117"/>
      <c s="10" r="AJ1117"/>
      <c s="10" r="AK1117"/>
      <c s="30" r="AL1117"/>
    </row>
    <row r="1118">
      <c s="30" r="A1118"/>
      <c s="30" r="B1118"/>
      <c s="30" r="C1118"/>
      <c s="30" r="D1118"/>
      <c s="16" r="E1118"/>
      <c s="16" r="F1118"/>
      <c s="16" r="G1118"/>
      <c s="16" r="H1118"/>
      <c s="16" r="I1118"/>
      <c s="16" r="J1118"/>
      <c s="16" r="K1118"/>
      <c s="80" r="L1118"/>
      <c s="79" r="M1118"/>
      <c s="79" r="N1118"/>
      <c s="79" r="O1118"/>
      <c s="79" r="P1118"/>
      <c s="17" r="Q1118"/>
      <c s="17" r="R1118"/>
      <c s="7" r="S1118"/>
      <c s="7" r="T1118"/>
      <c s="7" r="U1118"/>
      <c s="7" r="V1118"/>
      <c s="30" r="W1118"/>
      <c s="30" r="X1118"/>
      <c s="30" r="Y1118"/>
      <c s="30" r="Z1118"/>
      <c s="30" r="AA1118"/>
      <c s="30" r="AB1118"/>
      <c s="30" r="AC1118"/>
      <c s="30" r="AD1118"/>
      <c s="30" r="AE1118"/>
      <c s="10" r="AF1118"/>
      <c s="10" r="AG1118"/>
      <c s="10" r="AH1118"/>
      <c s="10" r="AI1118"/>
      <c s="10" r="AJ1118"/>
      <c s="10" r="AK1118"/>
      <c s="30" r="AL1118"/>
    </row>
    <row r="1119">
      <c s="30" r="A1119"/>
      <c s="30" r="B1119"/>
      <c s="30" r="C1119"/>
      <c s="30" r="D1119"/>
      <c s="16" r="E1119"/>
      <c s="16" r="F1119"/>
      <c s="16" r="G1119"/>
      <c s="16" r="H1119"/>
      <c s="16" r="I1119"/>
      <c s="16" r="J1119"/>
      <c s="16" r="K1119"/>
      <c s="80" r="L1119"/>
      <c s="79" r="M1119"/>
      <c s="79" r="N1119"/>
      <c s="79" r="O1119"/>
      <c s="79" r="P1119"/>
      <c s="17" r="Q1119"/>
      <c s="17" r="R1119"/>
      <c s="7" r="S1119"/>
      <c s="7" r="T1119"/>
      <c s="7" r="U1119"/>
      <c s="7" r="V1119"/>
      <c s="30" r="W1119"/>
      <c s="30" r="X1119"/>
      <c s="30" r="Y1119"/>
      <c s="30" r="Z1119"/>
      <c s="30" r="AA1119"/>
      <c s="30" r="AB1119"/>
      <c s="30" r="AC1119"/>
      <c s="30" r="AD1119"/>
      <c s="30" r="AE1119"/>
      <c s="10" r="AF1119"/>
      <c s="10" r="AG1119"/>
      <c s="10" r="AH1119"/>
      <c s="10" r="AI1119"/>
      <c s="10" r="AJ1119"/>
      <c s="10" r="AK1119"/>
      <c s="30" r="AL1119"/>
    </row>
    <row r="1120">
      <c s="30" r="A1120"/>
      <c s="30" r="B1120"/>
      <c s="30" r="C1120"/>
      <c s="30" r="D1120"/>
      <c s="16" r="E1120"/>
      <c s="16" r="F1120"/>
      <c s="16" r="G1120"/>
      <c s="16" r="H1120"/>
      <c s="16" r="I1120"/>
      <c s="16" r="J1120"/>
      <c s="16" r="K1120"/>
      <c s="80" r="L1120"/>
      <c s="79" r="M1120"/>
      <c s="79" r="N1120"/>
      <c s="79" r="O1120"/>
      <c s="79" r="P1120"/>
      <c s="17" r="Q1120"/>
      <c s="17" r="R1120"/>
      <c s="7" r="S1120"/>
      <c s="7" r="T1120"/>
      <c s="7" r="U1120"/>
      <c s="7" r="V1120"/>
      <c s="30" r="W1120"/>
      <c s="30" r="X1120"/>
      <c s="30" r="Y1120"/>
      <c s="30" r="Z1120"/>
      <c s="30" r="AA1120"/>
      <c s="30" r="AB1120"/>
      <c s="30" r="AC1120"/>
      <c s="30" r="AD1120"/>
      <c s="30" r="AE1120"/>
      <c s="10" r="AF1120"/>
      <c s="10" r="AG1120"/>
      <c s="10" r="AH1120"/>
      <c s="10" r="AI1120"/>
      <c s="10" r="AJ1120"/>
      <c s="10" r="AK1120"/>
      <c s="30" r="AL1120"/>
    </row>
    <row r="1121">
      <c s="30" r="A1121"/>
      <c s="30" r="B1121"/>
      <c s="30" r="C1121"/>
      <c s="30" r="D1121"/>
      <c s="16" r="E1121"/>
      <c s="16" r="F1121"/>
      <c s="16" r="G1121"/>
      <c s="16" r="H1121"/>
      <c s="16" r="I1121"/>
      <c s="16" r="J1121"/>
      <c s="16" r="K1121"/>
      <c s="80" r="L1121"/>
      <c s="79" r="M1121"/>
      <c s="79" r="N1121"/>
      <c s="79" r="O1121"/>
      <c s="79" r="P1121"/>
      <c s="17" r="Q1121"/>
      <c s="17" r="R1121"/>
      <c s="7" r="S1121"/>
      <c s="7" r="T1121"/>
      <c s="7" r="U1121"/>
      <c s="7" r="V1121"/>
      <c s="30" r="W1121"/>
      <c s="30" r="X1121"/>
      <c s="30" r="Y1121"/>
      <c s="30" r="Z1121"/>
      <c s="30" r="AA1121"/>
      <c s="30" r="AB1121"/>
      <c s="30" r="AC1121"/>
      <c s="30" r="AD1121"/>
      <c s="30" r="AE1121"/>
      <c s="10" r="AF1121"/>
      <c s="10" r="AG1121"/>
      <c s="10" r="AH1121"/>
      <c s="10" r="AI1121"/>
      <c s="10" r="AJ1121"/>
      <c s="10" r="AK1121"/>
      <c s="30" r="AL1121"/>
    </row>
    <row r="1122">
      <c s="30" r="A1122"/>
      <c s="30" r="B1122"/>
      <c s="30" r="C1122"/>
      <c s="30" r="D1122"/>
      <c s="16" r="E1122"/>
      <c s="16" r="F1122"/>
      <c s="16" r="G1122"/>
      <c s="16" r="H1122"/>
      <c s="16" r="I1122"/>
      <c s="16" r="J1122"/>
      <c s="16" r="K1122"/>
      <c s="80" r="L1122"/>
      <c s="79" r="M1122"/>
      <c s="79" r="N1122"/>
      <c s="79" r="O1122"/>
      <c s="79" r="P1122"/>
      <c s="17" r="Q1122"/>
      <c s="17" r="R1122"/>
      <c s="7" r="S1122"/>
      <c s="7" r="T1122"/>
      <c s="7" r="U1122"/>
      <c s="7" r="V1122"/>
      <c s="30" r="W1122"/>
      <c s="30" r="X1122"/>
      <c s="30" r="Y1122"/>
      <c s="30" r="Z1122"/>
      <c s="30" r="AA1122"/>
      <c s="30" r="AB1122"/>
      <c s="30" r="AC1122"/>
      <c s="30" r="AD1122"/>
      <c s="30" r="AE1122"/>
      <c s="10" r="AF1122"/>
      <c s="10" r="AG1122"/>
      <c s="10" r="AH1122"/>
      <c s="10" r="AI1122"/>
      <c s="10" r="AJ1122"/>
      <c s="10" r="AK1122"/>
      <c s="30" r="AL1122"/>
    </row>
    <row r="1123">
      <c s="30" r="A1123"/>
      <c s="30" r="B1123"/>
      <c s="30" r="C1123"/>
      <c s="30" r="D1123"/>
      <c s="16" r="E1123"/>
      <c s="16" r="F1123"/>
      <c s="16" r="G1123"/>
      <c s="16" r="H1123"/>
      <c s="16" r="I1123"/>
      <c s="16" r="J1123"/>
      <c s="16" r="K1123"/>
      <c s="80" r="L1123"/>
      <c s="79" r="M1123"/>
      <c s="79" r="N1123"/>
      <c s="79" r="O1123"/>
      <c s="79" r="P1123"/>
      <c s="17" r="Q1123"/>
      <c s="17" r="R1123"/>
      <c s="7" r="S1123"/>
      <c s="7" r="T1123"/>
      <c s="7" r="U1123"/>
      <c s="7" r="V1123"/>
      <c s="30" r="W1123"/>
      <c s="30" r="X1123"/>
      <c s="30" r="Y1123"/>
      <c s="30" r="Z1123"/>
      <c s="30" r="AA1123"/>
      <c s="30" r="AB1123"/>
      <c s="30" r="AC1123"/>
      <c s="30" r="AD1123"/>
      <c s="30" r="AE1123"/>
      <c s="10" r="AF1123"/>
      <c s="10" r="AG1123"/>
      <c s="10" r="AH1123"/>
      <c s="10" r="AI1123"/>
      <c s="10" r="AJ1123"/>
      <c s="10" r="AK1123"/>
      <c s="30" r="AL1123"/>
    </row>
    <row r="1124">
      <c s="30" r="A1124"/>
      <c s="30" r="B1124"/>
      <c s="30" r="C1124"/>
      <c s="30" r="D1124"/>
      <c s="16" r="E1124"/>
      <c s="16" r="F1124"/>
      <c s="16" r="G1124"/>
      <c s="16" r="H1124"/>
      <c s="16" r="I1124"/>
      <c s="16" r="J1124"/>
      <c s="16" r="K1124"/>
      <c s="80" r="L1124"/>
      <c s="79" r="M1124"/>
      <c s="79" r="N1124"/>
      <c s="79" r="O1124"/>
      <c s="79" r="P1124"/>
      <c s="17" r="Q1124"/>
      <c s="17" r="R1124"/>
      <c s="7" r="S1124"/>
      <c s="7" r="T1124"/>
      <c s="7" r="U1124"/>
      <c s="7" r="V1124"/>
      <c s="30" r="W1124"/>
      <c s="30" r="X1124"/>
      <c s="30" r="Y1124"/>
      <c s="30" r="Z1124"/>
      <c s="30" r="AA1124"/>
      <c s="30" r="AB1124"/>
      <c s="30" r="AC1124"/>
      <c s="30" r="AD1124"/>
      <c s="30" r="AE1124"/>
      <c s="10" r="AF1124"/>
      <c s="10" r="AG1124"/>
      <c s="10" r="AH1124"/>
      <c s="10" r="AI1124"/>
      <c s="10" r="AJ1124"/>
      <c s="10" r="AK1124"/>
      <c s="30" r="AL1124"/>
    </row>
    <row r="1125">
      <c s="30" r="A1125"/>
      <c s="30" r="B1125"/>
      <c s="30" r="C1125"/>
      <c s="30" r="D1125"/>
      <c s="16" r="E1125"/>
      <c s="16" r="F1125"/>
      <c s="16" r="G1125"/>
      <c s="16" r="H1125"/>
      <c s="16" r="I1125"/>
      <c s="16" r="J1125"/>
      <c s="16" r="K1125"/>
      <c s="80" r="L1125"/>
      <c s="79" r="M1125"/>
      <c s="79" r="N1125"/>
      <c s="79" r="O1125"/>
      <c s="79" r="P1125"/>
      <c s="17" r="Q1125"/>
      <c s="17" r="R1125"/>
      <c s="7" r="S1125"/>
      <c s="7" r="T1125"/>
      <c s="7" r="U1125"/>
      <c s="7" r="V1125"/>
      <c s="30" r="W1125"/>
      <c s="30" r="X1125"/>
      <c s="30" r="Y1125"/>
      <c s="30" r="Z1125"/>
      <c s="30" r="AA1125"/>
      <c s="30" r="AB1125"/>
      <c s="30" r="AC1125"/>
      <c s="30" r="AD1125"/>
      <c s="30" r="AE1125"/>
      <c s="10" r="AF1125"/>
      <c s="10" r="AG1125"/>
      <c s="10" r="AH1125"/>
      <c s="10" r="AI1125"/>
      <c s="10" r="AJ1125"/>
      <c s="10" r="AK1125"/>
      <c s="30" r="AL1125"/>
    </row>
    <row r="1126">
      <c s="30" r="A1126"/>
      <c s="30" r="B1126"/>
      <c s="30" r="C1126"/>
      <c s="30" r="D1126"/>
      <c s="16" r="E1126"/>
      <c s="16" r="F1126"/>
      <c s="16" r="G1126"/>
      <c s="16" r="H1126"/>
      <c s="16" r="I1126"/>
      <c s="16" r="J1126"/>
      <c s="16" r="K1126"/>
      <c s="80" r="L1126"/>
      <c s="79" r="M1126"/>
      <c s="79" r="N1126"/>
      <c s="79" r="O1126"/>
      <c s="79" r="P1126"/>
      <c s="17" r="Q1126"/>
      <c s="17" r="R1126"/>
      <c s="7" r="S1126"/>
      <c s="7" r="T1126"/>
      <c s="7" r="U1126"/>
      <c s="7" r="V1126"/>
      <c s="30" r="W1126"/>
      <c s="30" r="X1126"/>
      <c s="30" r="Y1126"/>
      <c s="30" r="Z1126"/>
      <c s="30" r="AA1126"/>
      <c s="30" r="AB1126"/>
      <c s="30" r="AC1126"/>
      <c s="30" r="AD1126"/>
      <c s="30" r="AE1126"/>
      <c s="10" r="AF1126"/>
      <c s="10" r="AG1126"/>
      <c s="10" r="AH1126"/>
      <c s="10" r="AI1126"/>
      <c s="10" r="AJ1126"/>
      <c s="10" r="AK1126"/>
      <c s="30" r="AL1126"/>
    </row>
    <row r="1127">
      <c s="30" r="A1127"/>
      <c s="30" r="B1127"/>
      <c s="30" r="C1127"/>
      <c s="30" r="D1127"/>
      <c s="16" r="E1127"/>
      <c s="16" r="F1127"/>
      <c s="16" r="G1127"/>
      <c s="16" r="H1127"/>
      <c s="16" r="I1127"/>
      <c s="16" r="J1127"/>
      <c s="16" r="K1127"/>
      <c s="80" r="L1127"/>
      <c s="79" r="M1127"/>
      <c s="79" r="N1127"/>
      <c s="79" r="O1127"/>
      <c s="79" r="P1127"/>
      <c s="17" r="Q1127"/>
      <c s="17" r="R1127"/>
      <c s="7" r="S1127"/>
      <c s="7" r="T1127"/>
      <c s="7" r="U1127"/>
      <c s="7" r="V1127"/>
      <c s="30" r="W1127"/>
      <c s="30" r="X1127"/>
      <c s="30" r="Y1127"/>
      <c s="30" r="Z1127"/>
      <c s="30" r="AA1127"/>
      <c s="30" r="AB1127"/>
      <c s="30" r="AC1127"/>
      <c s="30" r="AD1127"/>
      <c s="30" r="AE1127"/>
      <c s="10" r="AF1127"/>
      <c s="10" r="AG1127"/>
      <c s="10" r="AH1127"/>
      <c s="10" r="AI1127"/>
      <c s="10" r="AJ1127"/>
      <c s="10" r="AK1127"/>
      <c s="30" r="AL1127"/>
    </row>
    <row r="1128">
      <c s="30" r="A1128"/>
      <c s="30" r="B1128"/>
      <c s="30" r="C1128"/>
      <c s="30" r="D1128"/>
      <c s="16" r="E1128"/>
      <c s="16" r="F1128"/>
      <c s="16" r="G1128"/>
      <c s="16" r="H1128"/>
      <c s="16" r="I1128"/>
      <c s="16" r="J1128"/>
      <c s="16" r="K1128"/>
      <c s="80" r="L1128"/>
      <c s="79" r="M1128"/>
      <c s="79" r="N1128"/>
      <c s="79" r="O1128"/>
      <c s="79" r="P1128"/>
      <c s="17" r="Q1128"/>
      <c s="17" r="R1128"/>
      <c s="7" r="S1128"/>
      <c s="7" r="T1128"/>
      <c s="7" r="U1128"/>
      <c s="7" r="V1128"/>
      <c s="30" r="W1128"/>
      <c s="30" r="X1128"/>
      <c s="30" r="Y1128"/>
      <c s="30" r="Z1128"/>
      <c s="30" r="AA1128"/>
      <c s="30" r="AB1128"/>
      <c s="30" r="AC1128"/>
      <c s="30" r="AD1128"/>
      <c s="30" r="AE1128"/>
      <c s="10" r="AF1128"/>
      <c s="10" r="AG1128"/>
      <c s="10" r="AH1128"/>
      <c s="10" r="AI1128"/>
      <c s="10" r="AJ1128"/>
      <c s="10" r="AK1128"/>
      <c s="30" r="AL1128"/>
    </row>
    <row r="1129">
      <c s="30" r="A1129"/>
      <c s="30" r="B1129"/>
      <c s="30" r="C1129"/>
      <c s="30" r="D1129"/>
      <c s="16" r="E1129"/>
      <c s="16" r="F1129"/>
      <c s="16" r="G1129"/>
      <c s="16" r="H1129"/>
      <c s="16" r="I1129"/>
      <c s="16" r="J1129"/>
      <c s="16" r="K1129"/>
      <c s="80" r="L1129"/>
      <c s="79" r="M1129"/>
      <c s="79" r="N1129"/>
      <c s="79" r="O1129"/>
      <c s="79" r="P1129"/>
      <c s="17" r="Q1129"/>
      <c s="17" r="R1129"/>
      <c s="7" r="S1129"/>
      <c s="7" r="T1129"/>
      <c s="7" r="U1129"/>
      <c s="7" r="V1129"/>
      <c s="30" r="W1129"/>
      <c s="30" r="X1129"/>
      <c s="30" r="Y1129"/>
      <c s="30" r="Z1129"/>
      <c s="30" r="AA1129"/>
      <c s="30" r="AB1129"/>
      <c s="30" r="AC1129"/>
      <c s="30" r="AD1129"/>
      <c s="30" r="AE1129"/>
      <c s="10" r="AF1129"/>
      <c s="10" r="AG1129"/>
      <c s="10" r="AH1129"/>
      <c s="10" r="AI1129"/>
      <c s="10" r="AJ1129"/>
      <c s="10" r="AK1129"/>
      <c s="30" r="AL1129"/>
    </row>
    <row r="1130">
      <c s="30" r="A1130"/>
      <c s="30" r="B1130"/>
      <c s="30" r="C1130"/>
      <c s="30" r="D1130"/>
      <c s="16" r="E1130"/>
      <c s="16" r="F1130"/>
      <c s="16" r="G1130"/>
      <c s="16" r="H1130"/>
      <c s="16" r="I1130"/>
      <c s="16" r="J1130"/>
      <c s="16" r="K1130"/>
      <c s="80" r="L1130"/>
      <c s="79" r="M1130"/>
      <c s="79" r="N1130"/>
      <c s="79" r="O1130"/>
      <c s="79" r="P1130"/>
      <c s="17" r="Q1130"/>
      <c s="17" r="R1130"/>
      <c s="7" r="S1130"/>
      <c s="7" r="T1130"/>
      <c s="7" r="U1130"/>
      <c s="7" r="V1130"/>
      <c s="30" r="W1130"/>
      <c s="30" r="X1130"/>
      <c s="30" r="Y1130"/>
      <c s="30" r="Z1130"/>
      <c s="30" r="AA1130"/>
      <c s="30" r="AB1130"/>
      <c s="30" r="AC1130"/>
      <c s="30" r="AD1130"/>
      <c s="30" r="AE1130"/>
      <c s="10" r="AF1130"/>
      <c s="10" r="AG1130"/>
      <c s="10" r="AH1130"/>
      <c s="10" r="AI1130"/>
      <c s="10" r="AJ1130"/>
      <c s="10" r="AK1130"/>
      <c s="30" r="AL1130"/>
    </row>
    <row r="1131">
      <c s="30" r="A1131"/>
      <c s="30" r="B1131"/>
      <c s="30" r="C1131"/>
      <c s="30" r="D1131"/>
      <c s="16" r="E1131"/>
      <c s="16" r="F1131"/>
      <c s="16" r="G1131"/>
      <c s="16" r="H1131"/>
      <c s="16" r="I1131"/>
      <c s="16" r="J1131"/>
      <c s="16" r="K1131"/>
      <c s="80" r="L1131"/>
      <c s="79" r="M1131"/>
      <c s="79" r="N1131"/>
      <c s="79" r="O1131"/>
      <c s="79" r="P1131"/>
      <c s="17" r="Q1131"/>
      <c s="17" r="R1131"/>
      <c s="7" r="S1131"/>
      <c s="7" r="T1131"/>
      <c s="7" r="U1131"/>
      <c s="7" r="V1131"/>
      <c s="30" r="W1131"/>
      <c s="30" r="X1131"/>
      <c s="30" r="Y1131"/>
      <c s="30" r="Z1131"/>
      <c s="30" r="AA1131"/>
      <c s="30" r="AB1131"/>
      <c s="30" r="AC1131"/>
      <c s="30" r="AD1131"/>
      <c s="30" r="AE1131"/>
      <c s="10" r="AF1131"/>
      <c s="10" r="AG1131"/>
      <c s="10" r="AH1131"/>
      <c s="10" r="AI1131"/>
      <c s="10" r="AJ1131"/>
      <c s="10" r="AK1131"/>
      <c s="30" r="AL1131"/>
    </row>
    <row r="1132">
      <c s="30" r="A1132"/>
      <c s="30" r="B1132"/>
      <c s="30" r="C1132"/>
      <c s="30" r="D1132"/>
      <c s="16" r="E1132"/>
      <c s="16" r="F1132"/>
      <c s="16" r="G1132"/>
      <c s="16" r="H1132"/>
      <c s="16" r="I1132"/>
      <c s="16" r="J1132"/>
      <c s="16" r="K1132"/>
      <c s="80" r="L1132"/>
      <c s="79" r="M1132"/>
      <c s="79" r="N1132"/>
      <c s="79" r="O1132"/>
      <c s="79" r="P1132"/>
      <c s="17" r="Q1132"/>
      <c s="17" r="R1132"/>
      <c s="7" r="S1132"/>
      <c s="7" r="T1132"/>
      <c s="7" r="U1132"/>
      <c s="7" r="V1132"/>
      <c s="30" r="W1132"/>
      <c s="30" r="X1132"/>
      <c s="30" r="Y1132"/>
      <c s="30" r="Z1132"/>
      <c s="30" r="AA1132"/>
      <c s="30" r="AB1132"/>
      <c s="30" r="AC1132"/>
      <c s="30" r="AD1132"/>
      <c s="30" r="AE1132"/>
      <c s="10" r="AF1132"/>
      <c s="10" r="AG1132"/>
      <c s="10" r="AH1132"/>
      <c s="10" r="AI1132"/>
      <c s="10" r="AJ1132"/>
      <c s="10" r="AK1132"/>
      <c s="30" r="AL1132"/>
    </row>
    <row r="1133">
      <c s="30" r="A1133"/>
      <c s="30" r="B1133"/>
      <c s="30" r="C1133"/>
      <c s="30" r="D1133"/>
      <c s="16" r="E1133"/>
      <c s="16" r="F1133"/>
      <c s="16" r="G1133"/>
      <c s="16" r="H1133"/>
      <c s="16" r="I1133"/>
      <c s="16" r="J1133"/>
      <c s="16" r="K1133"/>
      <c s="80" r="L1133"/>
      <c s="79" r="M1133"/>
      <c s="79" r="N1133"/>
      <c s="79" r="O1133"/>
      <c s="79" r="P1133"/>
      <c s="17" r="Q1133"/>
      <c s="17" r="R1133"/>
      <c s="7" r="S1133"/>
      <c s="7" r="T1133"/>
      <c s="7" r="U1133"/>
      <c s="7" r="V1133"/>
      <c s="30" r="W1133"/>
      <c s="30" r="X1133"/>
      <c s="30" r="Y1133"/>
      <c s="30" r="Z1133"/>
      <c s="30" r="AA1133"/>
      <c s="30" r="AB1133"/>
      <c s="30" r="AC1133"/>
      <c s="30" r="AD1133"/>
      <c s="30" r="AE1133"/>
      <c s="10" r="AF1133"/>
      <c s="10" r="AG1133"/>
      <c s="10" r="AH1133"/>
      <c s="10" r="AI1133"/>
      <c s="10" r="AJ1133"/>
      <c s="10" r="AK1133"/>
      <c s="30" r="AL1133"/>
    </row>
    <row r="1134">
      <c s="30" r="A1134"/>
      <c s="30" r="B1134"/>
      <c s="30" r="C1134"/>
      <c s="30" r="D1134"/>
      <c s="16" r="E1134"/>
      <c s="16" r="F1134"/>
      <c s="16" r="G1134"/>
      <c s="16" r="H1134"/>
      <c s="16" r="I1134"/>
      <c s="16" r="J1134"/>
      <c s="16" r="K1134"/>
      <c s="80" r="L1134"/>
      <c s="79" r="M1134"/>
      <c s="79" r="N1134"/>
      <c s="79" r="O1134"/>
      <c s="79" r="P1134"/>
      <c s="17" r="Q1134"/>
      <c s="17" r="R1134"/>
      <c s="7" r="S1134"/>
      <c s="7" r="T1134"/>
      <c s="7" r="U1134"/>
      <c s="7" r="V1134"/>
      <c s="30" r="W1134"/>
      <c s="30" r="X1134"/>
      <c s="30" r="Y1134"/>
      <c s="30" r="Z1134"/>
      <c s="30" r="AA1134"/>
      <c s="30" r="AB1134"/>
      <c s="30" r="AC1134"/>
      <c s="30" r="AD1134"/>
      <c s="30" r="AE1134"/>
      <c s="10" r="AF1134"/>
      <c s="10" r="AG1134"/>
      <c s="10" r="AH1134"/>
      <c s="10" r="AI1134"/>
      <c s="10" r="AJ1134"/>
      <c s="10" r="AK1134"/>
      <c s="30" r="AL1134"/>
    </row>
    <row r="1135">
      <c s="30" r="A1135"/>
      <c s="30" r="B1135"/>
      <c s="30" r="C1135"/>
      <c s="30" r="D1135"/>
      <c s="16" r="E1135"/>
      <c s="16" r="F1135"/>
      <c s="16" r="G1135"/>
      <c s="16" r="H1135"/>
      <c s="16" r="I1135"/>
      <c s="16" r="J1135"/>
      <c s="16" r="K1135"/>
      <c s="80" r="L1135"/>
      <c s="79" r="M1135"/>
      <c s="79" r="N1135"/>
      <c s="79" r="O1135"/>
      <c s="79" r="P1135"/>
      <c s="17" r="Q1135"/>
      <c s="17" r="R1135"/>
      <c s="7" r="S1135"/>
      <c s="7" r="T1135"/>
      <c s="7" r="U1135"/>
      <c s="7" r="V1135"/>
      <c s="30" r="W1135"/>
      <c s="30" r="X1135"/>
      <c s="30" r="Y1135"/>
      <c s="30" r="Z1135"/>
      <c s="30" r="AA1135"/>
      <c s="30" r="AB1135"/>
      <c s="30" r="AC1135"/>
      <c s="30" r="AD1135"/>
      <c s="30" r="AE1135"/>
      <c s="10" r="AF1135"/>
      <c s="10" r="AG1135"/>
      <c s="10" r="AH1135"/>
      <c s="10" r="AI1135"/>
      <c s="10" r="AJ1135"/>
      <c s="10" r="AK1135"/>
      <c s="30" r="AL1135"/>
    </row>
    <row r="1136">
      <c s="30" r="A1136"/>
      <c s="30" r="B1136"/>
      <c s="30" r="C1136"/>
      <c s="30" r="D1136"/>
      <c s="16" r="E1136"/>
      <c s="16" r="F1136"/>
      <c s="16" r="G1136"/>
      <c s="16" r="H1136"/>
      <c s="16" r="I1136"/>
      <c s="16" r="J1136"/>
      <c s="16" r="K1136"/>
      <c s="80" r="L1136"/>
      <c s="79" r="M1136"/>
      <c s="79" r="N1136"/>
      <c s="79" r="O1136"/>
      <c s="79" r="P1136"/>
      <c s="17" r="Q1136"/>
      <c s="17" r="R1136"/>
      <c s="7" r="S1136"/>
      <c s="7" r="T1136"/>
      <c s="7" r="U1136"/>
      <c s="7" r="V1136"/>
      <c s="30" r="W1136"/>
      <c s="30" r="X1136"/>
      <c s="30" r="Y1136"/>
      <c s="30" r="Z1136"/>
      <c s="30" r="AA1136"/>
      <c s="30" r="AB1136"/>
      <c s="30" r="AC1136"/>
      <c s="30" r="AD1136"/>
      <c s="30" r="AE1136"/>
      <c s="10" r="AF1136"/>
      <c s="10" r="AG1136"/>
      <c s="10" r="AH1136"/>
      <c s="10" r="AI1136"/>
      <c s="10" r="AJ1136"/>
      <c s="10" r="AK1136"/>
      <c s="30" r="AL1136"/>
    </row>
    <row r="1137">
      <c s="30" r="A1137"/>
      <c s="30" r="B1137"/>
      <c s="30" r="C1137"/>
      <c s="30" r="D1137"/>
      <c s="16" r="E1137"/>
      <c s="16" r="F1137"/>
      <c s="16" r="G1137"/>
      <c s="16" r="H1137"/>
      <c s="16" r="I1137"/>
      <c s="16" r="J1137"/>
      <c s="16" r="K1137"/>
      <c s="80" r="L1137"/>
      <c s="79" r="M1137"/>
      <c s="79" r="N1137"/>
      <c s="79" r="O1137"/>
      <c s="79" r="P1137"/>
      <c s="17" r="Q1137"/>
      <c s="17" r="R1137"/>
      <c s="7" r="S1137"/>
      <c s="7" r="T1137"/>
      <c s="7" r="U1137"/>
      <c s="7" r="V1137"/>
      <c s="30" r="W1137"/>
      <c s="30" r="X1137"/>
      <c s="30" r="Y1137"/>
      <c s="30" r="Z1137"/>
      <c s="30" r="AA1137"/>
      <c s="30" r="AB1137"/>
      <c s="30" r="AC1137"/>
      <c s="30" r="AD1137"/>
      <c s="30" r="AE1137"/>
      <c s="10" r="AF1137"/>
      <c s="10" r="AG1137"/>
      <c s="10" r="AH1137"/>
      <c s="10" r="AI1137"/>
      <c s="10" r="AJ1137"/>
      <c s="10" r="AK1137"/>
      <c s="30" r="AL1137"/>
    </row>
    <row r="1138">
      <c s="30" r="A1138"/>
      <c s="30" r="B1138"/>
      <c s="30" r="C1138"/>
      <c s="30" r="D1138"/>
      <c s="16" r="E1138"/>
      <c s="16" r="F1138"/>
      <c s="16" r="G1138"/>
      <c s="16" r="H1138"/>
      <c s="16" r="I1138"/>
      <c s="16" r="J1138"/>
      <c s="16" r="K1138"/>
      <c s="80" r="L1138"/>
      <c s="79" r="M1138"/>
      <c s="79" r="N1138"/>
      <c s="79" r="O1138"/>
      <c s="79" r="P1138"/>
      <c s="17" r="Q1138"/>
      <c s="17" r="R1138"/>
      <c s="7" r="S1138"/>
      <c s="7" r="T1138"/>
      <c s="7" r="U1138"/>
      <c s="7" r="V1138"/>
      <c s="30" r="W1138"/>
      <c s="30" r="X1138"/>
      <c s="30" r="Y1138"/>
      <c s="30" r="Z1138"/>
      <c s="30" r="AA1138"/>
      <c s="30" r="AB1138"/>
      <c s="30" r="AC1138"/>
      <c s="30" r="AD1138"/>
      <c s="30" r="AE1138"/>
      <c s="10" r="AF1138"/>
      <c s="10" r="AG1138"/>
      <c s="10" r="AH1138"/>
      <c s="10" r="AI1138"/>
      <c s="10" r="AJ1138"/>
      <c s="10" r="AK1138"/>
      <c s="30" r="AL1138"/>
    </row>
    <row r="1139">
      <c s="30" r="A1139"/>
      <c s="30" r="B1139"/>
      <c s="30" r="C1139"/>
      <c s="30" r="D1139"/>
      <c s="16" r="E1139"/>
      <c s="16" r="F1139"/>
      <c s="16" r="G1139"/>
      <c s="16" r="H1139"/>
      <c s="16" r="I1139"/>
      <c s="16" r="J1139"/>
      <c s="16" r="K1139"/>
      <c s="80" r="L1139"/>
      <c s="79" r="M1139"/>
      <c s="79" r="N1139"/>
      <c s="79" r="O1139"/>
      <c s="79" r="P1139"/>
      <c s="17" r="Q1139"/>
      <c s="17" r="R1139"/>
      <c s="7" r="S1139"/>
      <c s="7" r="T1139"/>
      <c s="7" r="U1139"/>
      <c s="7" r="V1139"/>
      <c s="30" r="W1139"/>
      <c s="30" r="X1139"/>
      <c s="30" r="Y1139"/>
      <c s="30" r="Z1139"/>
      <c s="30" r="AA1139"/>
      <c s="30" r="AB1139"/>
      <c s="30" r="AC1139"/>
      <c s="30" r="AD1139"/>
      <c s="30" r="AE1139"/>
      <c s="10" r="AF1139"/>
      <c s="10" r="AG1139"/>
      <c s="10" r="AH1139"/>
      <c s="10" r="AI1139"/>
      <c s="10" r="AJ1139"/>
      <c s="10" r="AK1139"/>
      <c s="30" r="AL1139"/>
    </row>
    <row r="1140">
      <c s="30" r="A1140"/>
      <c s="30" r="B1140"/>
      <c s="30" r="C1140"/>
      <c s="30" r="D1140"/>
      <c s="16" r="E1140"/>
      <c s="16" r="F1140"/>
      <c s="16" r="G1140"/>
      <c s="16" r="H1140"/>
      <c s="16" r="I1140"/>
      <c s="16" r="J1140"/>
      <c s="16" r="K1140"/>
      <c s="80" r="L1140"/>
      <c s="79" r="M1140"/>
      <c s="79" r="N1140"/>
      <c s="79" r="O1140"/>
      <c s="79" r="P1140"/>
      <c s="17" r="Q1140"/>
      <c s="17" r="R1140"/>
      <c s="7" r="S1140"/>
      <c s="7" r="T1140"/>
      <c s="7" r="U1140"/>
      <c s="7" r="V1140"/>
      <c s="30" r="W1140"/>
      <c s="30" r="X1140"/>
      <c s="30" r="Y1140"/>
      <c s="30" r="Z1140"/>
      <c s="30" r="AA1140"/>
      <c s="30" r="AB1140"/>
      <c s="30" r="AC1140"/>
      <c s="30" r="AD1140"/>
      <c s="30" r="AE1140"/>
      <c s="10" r="AF1140"/>
      <c s="10" r="AG1140"/>
      <c s="10" r="AH1140"/>
      <c s="10" r="AI1140"/>
      <c s="10" r="AJ1140"/>
      <c s="10" r="AK1140"/>
      <c s="30" r="AL1140"/>
    </row>
    <row r="1141">
      <c s="30" r="A1141"/>
      <c s="30" r="B1141"/>
      <c s="30" r="C1141"/>
      <c s="30" r="D1141"/>
      <c s="16" r="E1141"/>
      <c s="16" r="F1141"/>
      <c s="16" r="G1141"/>
      <c s="16" r="H1141"/>
      <c s="16" r="I1141"/>
      <c s="16" r="J1141"/>
      <c s="16" r="K1141"/>
      <c s="80" r="L1141"/>
      <c s="79" r="M1141"/>
      <c s="79" r="N1141"/>
      <c s="79" r="O1141"/>
      <c s="79" r="P1141"/>
      <c s="17" r="Q1141"/>
      <c s="17" r="R1141"/>
      <c s="7" r="S1141"/>
      <c s="7" r="T1141"/>
      <c s="7" r="U1141"/>
      <c s="7" r="V1141"/>
      <c s="30" r="W1141"/>
      <c s="30" r="X1141"/>
      <c s="30" r="Y1141"/>
      <c s="30" r="Z1141"/>
      <c s="30" r="AA1141"/>
      <c s="30" r="AB1141"/>
      <c s="30" r="AC1141"/>
      <c s="30" r="AD1141"/>
      <c s="30" r="AE1141"/>
      <c s="10" r="AF1141"/>
      <c s="10" r="AG1141"/>
      <c s="10" r="AH1141"/>
      <c s="10" r="AI1141"/>
      <c s="10" r="AJ1141"/>
      <c s="10" r="AK1141"/>
      <c s="30" r="AL1141"/>
    </row>
    <row r="1142">
      <c s="30" r="A1142"/>
      <c s="30" r="B1142"/>
      <c s="30" r="C1142"/>
      <c s="30" r="D1142"/>
      <c s="16" r="E1142"/>
      <c s="16" r="F1142"/>
      <c s="16" r="G1142"/>
      <c s="16" r="H1142"/>
      <c s="16" r="I1142"/>
      <c s="16" r="J1142"/>
      <c s="16" r="K1142"/>
      <c s="80" r="L1142"/>
      <c s="79" r="M1142"/>
      <c s="79" r="N1142"/>
      <c s="79" r="O1142"/>
      <c s="79" r="P1142"/>
      <c s="17" r="Q1142"/>
      <c s="17" r="R1142"/>
      <c s="7" r="S1142"/>
      <c s="7" r="T1142"/>
      <c s="7" r="U1142"/>
      <c s="7" r="V1142"/>
      <c s="30" r="W1142"/>
      <c s="30" r="X1142"/>
      <c s="30" r="Y1142"/>
      <c s="30" r="Z1142"/>
      <c s="30" r="AA1142"/>
      <c s="30" r="AB1142"/>
      <c s="30" r="AC1142"/>
      <c s="30" r="AD1142"/>
      <c s="30" r="AE1142"/>
      <c s="10" r="AF1142"/>
      <c s="10" r="AG1142"/>
      <c s="10" r="AH1142"/>
      <c s="10" r="AI1142"/>
      <c s="10" r="AJ1142"/>
      <c s="10" r="AK1142"/>
      <c s="30" r="AL1142"/>
    </row>
    <row r="1143">
      <c s="30" r="A1143"/>
      <c s="30" r="B1143"/>
      <c s="30" r="C1143"/>
      <c s="30" r="D1143"/>
      <c s="16" r="E1143"/>
      <c s="16" r="F1143"/>
      <c s="16" r="G1143"/>
      <c s="16" r="H1143"/>
      <c s="16" r="I1143"/>
      <c s="16" r="J1143"/>
      <c s="16" r="K1143"/>
      <c s="80" r="L1143"/>
      <c s="79" r="M1143"/>
      <c s="79" r="N1143"/>
      <c s="79" r="O1143"/>
      <c s="79" r="P1143"/>
      <c s="17" r="Q1143"/>
      <c s="17" r="R1143"/>
      <c s="7" r="S1143"/>
      <c s="7" r="T1143"/>
      <c s="7" r="U1143"/>
      <c s="7" r="V1143"/>
      <c s="30" r="W1143"/>
      <c s="30" r="X1143"/>
      <c s="30" r="Y1143"/>
      <c s="30" r="Z1143"/>
      <c s="30" r="AA1143"/>
      <c s="30" r="AB1143"/>
      <c s="30" r="AC1143"/>
      <c s="30" r="AD1143"/>
      <c s="30" r="AE1143"/>
      <c s="10" r="AF1143"/>
      <c s="10" r="AG1143"/>
      <c s="10" r="AH1143"/>
      <c s="10" r="AI1143"/>
      <c s="10" r="AJ1143"/>
      <c s="10" r="AK1143"/>
      <c s="30" r="AL1143"/>
    </row>
    <row r="1144">
      <c s="30" r="A1144"/>
      <c s="30" r="B1144"/>
      <c s="30" r="C1144"/>
      <c s="30" r="D1144"/>
      <c s="16" r="E1144"/>
      <c s="16" r="F1144"/>
      <c s="16" r="G1144"/>
      <c s="16" r="H1144"/>
      <c s="16" r="I1144"/>
      <c s="16" r="J1144"/>
      <c s="16" r="K1144"/>
      <c s="80" r="L1144"/>
      <c s="79" r="M1144"/>
      <c s="79" r="N1144"/>
      <c s="79" r="O1144"/>
      <c s="79" r="P1144"/>
      <c s="17" r="Q1144"/>
      <c s="17" r="R1144"/>
      <c s="7" r="S1144"/>
      <c s="7" r="T1144"/>
      <c s="7" r="U1144"/>
      <c s="7" r="V1144"/>
      <c s="30" r="W1144"/>
      <c s="30" r="X1144"/>
      <c s="30" r="Y1144"/>
      <c s="30" r="Z1144"/>
      <c s="30" r="AA1144"/>
      <c s="30" r="AB1144"/>
      <c s="30" r="AC1144"/>
      <c s="30" r="AD1144"/>
      <c s="30" r="AE1144"/>
      <c s="10" r="AF1144"/>
      <c s="10" r="AG1144"/>
      <c s="10" r="AH1144"/>
      <c s="10" r="AI1144"/>
      <c s="10" r="AJ1144"/>
      <c s="10" r="AK1144"/>
      <c s="30" r="AL1144"/>
    </row>
    <row r="1145">
      <c s="30" r="A1145"/>
      <c s="30" r="B1145"/>
      <c s="30" r="C1145"/>
      <c s="30" r="D1145"/>
      <c s="16" r="E1145"/>
      <c s="16" r="F1145"/>
      <c s="16" r="G1145"/>
      <c s="16" r="H1145"/>
      <c s="16" r="I1145"/>
      <c s="16" r="J1145"/>
      <c s="16" r="K1145"/>
      <c s="80" r="L1145"/>
      <c s="79" r="M1145"/>
      <c s="79" r="N1145"/>
      <c s="79" r="O1145"/>
      <c s="79" r="P1145"/>
      <c s="17" r="Q1145"/>
      <c s="17" r="R1145"/>
      <c s="7" r="S1145"/>
      <c s="7" r="T1145"/>
      <c s="7" r="U1145"/>
      <c s="7" r="V1145"/>
      <c s="30" r="W1145"/>
      <c s="30" r="X1145"/>
      <c s="30" r="Y1145"/>
      <c s="30" r="Z1145"/>
      <c s="30" r="AA1145"/>
      <c s="30" r="AB1145"/>
      <c s="30" r="AC1145"/>
      <c s="30" r="AD1145"/>
      <c s="30" r="AE1145"/>
      <c s="10" r="AF1145"/>
      <c s="10" r="AG1145"/>
      <c s="10" r="AH1145"/>
      <c s="10" r="AI1145"/>
      <c s="10" r="AJ1145"/>
      <c s="10" r="AK1145"/>
      <c s="30" r="AL1145"/>
    </row>
    <row r="1146">
      <c s="30" r="A1146"/>
      <c s="30" r="B1146"/>
      <c s="30" r="C1146"/>
      <c s="30" r="D1146"/>
      <c s="16" r="E1146"/>
      <c s="16" r="F1146"/>
      <c s="16" r="G1146"/>
      <c s="16" r="H1146"/>
      <c s="16" r="I1146"/>
      <c s="16" r="J1146"/>
      <c s="16" r="K1146"/>
      <c s="80" r="L1146"/>
      <c s="79" r="M1146"/>
      <c s="79" r="N1146"/>
      <c s="79" r="O1146"/>
      <c s="79" r="P1146"/>
      <c s="17" r="Q1146"/>
      <c s="17" r="R1146"/>
      <c s="7" r="S1146"/>
      <c s="7" r="T1146"/>
      <c s="7" r="U1146"/>
      <c s="7" r="V1146"/>
      <c s="30" r="W1146"/>
      <c s="30" r="X1146"/>
      <c s="30" r="Y1146"/>
      <c s="30" r="Z1146"/>
      <c s="30" r="AA1146"/>
      <c s="30" r="AB1146"/>
      <c s="30" r="AC1146"/>
      <c s="30" r="AD1146"/>
      <c s="30" r="AE1146"/>
      <c s="10" r="AF1146"/>
      <c s="10" r="AG1146"/>
      <c s="10" r="AH1146"/>
      <c s="10" r="AI1146"/>
      <c s="10" r="AJ1146"/>
      <c s="10" r="AK1146"/>
      <c s="30" r="AL1146"/>
    </row>
    <row r="1147">
      <c s="30" r="A1147"/>
      <c s="30" r="B1147"/>
      <c s="30" r="C1147"/>
      <c s="30" r="D1147"/>
      <c s="16" r="E1147"/>
      <c s="16" r="F1147"/>
      <c s="16" r="G1147"/>
      <c s="16" r="H1147"/>
      <c s="16" r="I1147"/>
      <c s="16" r="J1147"/>
      <c s="16" r="K1147"/>
      <c s="80" r="L1147"/>
      <c s="79" r="M1147"/>
      <c s="79" r="N1147"/>
      <c s="79" r="O1147"/>
      <c s="79" r="P1147"/>
      <c s="17" r="Q1147"/>
      <c s="17" r="R1147"/>
      <c s="7" r="S1147"/>
      <c s="7" r="T1147"/>
      <c s="7" r="U1147"/>
      <c s="7" r="V1147"/>
      <c s="30" r="W1147"/>
      <c s="30" r="X1147"/>
      <c s="30" r="Y1147"/>
      <c s="30" r="Z1147"/>
      <c s="30" r="AA1147"/>
      <c s="30" r="AB1147"/>
      <c s="30" r="AC1147"/>
      <c s="30" r="AD1147"/>
      <c s="30" r="AE1147"/>
      <c s="10" r="AF1147"/>
      <c s="10" r="AG1147"/>
      <c s="10" r="AH1147"/>
      <c s="10" r="AI1147"/>
      <c s="10" r="AJ1147"/>
      <c s="10" r="AK1147"/>
      <c s="30" r="AL1147"/>
    </row>
    <row r="1148">
      <c s="30" r="A1148"/>
      <c s="30" r="B1148"/>
      <c s="30" r="C1148"/>
      <c s="30" r="D1148"/>
      <c s="16" r="E1148"/>
      <c s="16" r="F1148"/>
      <c s="16" r="G1148"/>
      <c s="16" r="H1148"/>
      <c s="16" r="I1148"/>
      <c s="16" r="J1148"/>
      <c s="16" r="K1148"/>
      <c s="80" r="L1148"/>
      <c s="79" r="M1148"/>
      <c s="79" r="N1148"/>
      <c s="79" r="O1148"/>
      <c s="79" r="P1148"/>
      <c s="17" r="Q1148"/>
      <c s="17" r="R1148"/>
      <c s="7" r="S1148"/>
      <c s="7" r="T1148"/>
      <c s="7" r="U1148"/>
      <c s="7" r="V1148"/>
      <c s="30" r="W1148"/>
      <c s="30" r="X1148"/>
      <c s="30" r="Y1148"/>
      <c s="30" r="Z1148"/>
      <c s="30" r="AA1148"/>
      <c s="30" r="AB1148"/>
      <c s="30" r="AC1148"/>
      <c s="30" r="AD1148"/>
      <c s="30" r="AE1148"/>
      <c s="10" r="AF1148"/>
      <c s="10" r="AG1148"/>
      <c s="10" r="AH1148"/>
      <c s="10" r="AI1148"/>
      <c s="10" r="AJ1148"/>
      <c s="10" r="AK1148"/>
      <c s="30" r="AL1148"/>
    </row>
    <row r="1149">
      <c s="30" r="A1149"/>
      <c s="30" r="B1149"/>
      <c s="30" r="C1149"/>
      <c s="30" r="D1149"/>
      <c s="16" r="E1149"/>
      <c s="16" r="F1149"/>
      <c s="16" r="G1149"/>
      <c s="16" r="H1149"/>
      <c s="16" r="I1149"/>
      <c s="16" r="J1149"/>
      <c s="16" r="K1149"/>
      <c s="80" r="L1149"/>
      <c s="79" r="M1149"/>
      <c s="79" r="N1149"/>
      <c s="79" r="O1149"/>
      <c s="79" r="P1149"/>
      <c s="17" r="Q1149"/>
      <c s="17" r="R1149"/>
      <c s="7" r="S1149"/>
      <c s="7" r="T1149"/>
      <c s="7" r="U1149"/>
      <c s="7" r="V1149"/>
      <c s="30" r="W1149"/>
      <c s="30" r="X1149"/>
      <c s="30" r="Y1149"/>
      <c s="30" r="Z1149"/>
      <c s="30" r="AA1149"/>
      <c s="30" r="AB1149"/>
      <c s="30" r="AC1149"/>
      <c s="30" r="AD1149"/>
      <c s="30" r="AE1149"/>
      <c s="10" r="AF1149"/>
      <c s="10" r="AG1149"/>
      <c s="10" r="AH1149"/>
      <c s="10" r="AI1149"/>
      <c s="10" r="AJ1149"/>
      <c s="10" r="AK1149"/>
      <c s="30" r="AL1149"/>
    </row>
    <row r="1150">
      <c s="30" r="A1150"/>
      <c s="30" r="B1150"/>
      <c s="30" r="C1150"/>
      <c s="30" r="D1150"/>
      <c s="16" r="E1150"/>
      <c s="16" r="F1150"/>
      <c s="16" r="G1150"/>
      <c s="16" r="H1150"/>
      <c s="16" r="I1150"/>
      <c s="16" r="J1150"/>
      <c s="16" r="K1150"/>
      <c s="80" r="L1150"/>
      <c s="79" r="M1150"/>
      <c s="79" r="N1150"/>
      <c s="79" r="O1150"/>
      <c s="79" r="P1150"/>
      <c s="17" r="Q1150"/>
      <c s="17" r="R1150"/>
      <c s="7" r="S1150"/>
      <c s="7" r="T1150"/>
      <c s="7" r="U1150"/>
      <c s="7" r="V1150"/>
      <c s="30" r="W1150"/>
      <c s="30" r="X1150"/>
      <c s="30" r="Y1150"/>
      <c s="30" r="Z1150"/>
      <c s="30" r="AA1150"/>
      <c s="30" r="AB1150"/>
      <c s="30" r="AC1150"/>
      <c s="30" r="AD1150"/>
      <c s="30" r="AE1150"/>
      <c s="10" r="AF1150"/>
      <c s="10" r="AG1150"/>
      <c s="10" r="AH1150"/>
      <c s="10" r="AI1150"/>
      <c s="10" r="AJ1150"/>
      <c s="10" r="AK1150"/>
      <c s="30" r="AL1150"/>
    </row>
    <row r="1151">
      <c s="30" r="A1151"/>
      <c s="30" r="B1151"/>
      <c s="30" r="C1151"/>
      <c s="30" r="D1151"/>
      <c s="16" r="E1151"/>
      <c s="16" r="F1151"/>
      <c s="16" r="G1151"/>
      <c s="16" r="H1151"/>
      <c s="16" r="I1151"/>
      <c s="16" r="J1151"/>
      <c s="16" r="K1151"/>
      <c s="80" r="L1151"/>
      <c s="79" r="M1151"/>
      <c s="79" r="N1151"/>
      <c s="79" r="O1151"/>
      <c s="79" r="P1151"/>
      <c s="17" r="Q1151"/>
      <c s="17" r="R1151"/>
      <c s="7" r="S1151"/>
      <c s="7" r="T1151"/>
      <c s="7" r="U1151"/>
      <c s="7" r="V1151"/>
      <c s="30" r="W1151"/>
      <c s="30" r="X1151"/>
      <c s="30" r="Y1151"/>
      <c s="30" r="Z1151"/>
      <c s="30" r="AA1151"/>
      <c s="30" r="AB1151"/>
      <c s="30" r="AC1151"/>
      <c s="30" r="AD1151"/>
      <c s="30" r="AE1151"/>
      <c s="10" r="AF1151"/>
      <c s="10" r="AG1151"/>
      <c s="10" r="AH1151"/>
      <c s="10" r="AI1151"/>
      <c s="10" r="AJ1151"/>
      <c s="10" r="AK1151"/>
      <c s="30" r="AL1151"/>
    </row>
    <row r="1152">
      <c s="30" r="A1152"/>
      <c s="30" r="B1152"/>
      <c s="30" r="C1152"/>
      <c s="30" r="D1152"/>
      <c s="16" r="E1152"/>
      <c s="16" r="F1152"/>
      <c s="16" r="G1152"/>
      <c s="16" r="H1152"/>
      <c s="16" r="I1152"/>
      <c s="16" r="J1152"/>
      <c s="16" r="K1152"/>
      <c s="80" r="L1152"/>
      <c s="79" r="M1152"/>
      <c s="79" r="N1152"/>
      <c s="79" r="O1152"/>
      <c s="79" r="P1152"/>
      <c s="17" r="Q1152"/>
      <c s="17" r="R1152"/>
      <c s="7" r="S1152"/>
      <c s="7" r="T1152"/>
      <c s="7" r="U1152"/>
      <c s="7" r="V1152"/>
      <c s="30" r="W1152"/>
      <c s="30" r="X1152"/>
      <c s="30" r="Y1152"/>
      <c s="30" r="Z1152"/>
      <c s="30" r="AA1152"/>
      <c s="30" r="AB1152"/>
      <c s="30" r="AC1152"/>
      <c s="30" r="AD1152"/>
      <c s="30" r="AE1152"/>
      <c s="10" r="AF1152"/>
      <c s="10" r="AG1152"/>
      <c s="10" r="AH1152"/>
      <c s="10" r="AI1152"/>
      <c s="10" r="AJ1152"/>
      <c s="10" r="AK1152"/>
      <c s="30" r="AL1152"/>
    </row>
    <row r="1153">
      <c s="30" r="A1153"/>
      <c s="30" r="B1153"/>
      <c s="30" r="C1153"/>
      <c s="30" r="D1153"/>
      <c s="16" r="E1153"/>
      <c s="16" r="F1153"/>
      <c s="16" r="G1153"/>
      <c s="16" r="H1153"/>
      <c s="16" r="I1153"/>
      <c s="16" r="J1153"/>
      <c s="16" r="K1153"/>
      <c s="80" r="L1153"/>
      <c s="79" r="M1153"/>
      <c s="79" r="N1153"/>
      <c s="79" r="O1153"/>
      <c s="79" r="P1153"/>
      <c s="17" r="Q1153"/>
      <c s="17" r="R1153"/>
      <c s="7" r="S1153"/>
      <c s="7" r="T1153"/>
      <c s="7" r="U1153"/>
      <c s="7" r="V1153"/>
      <c s="30" r="W1153"/>
      <c s="30" r="X1153"/>
      <c s="30" r="Y1153"/>
      <c s="30" r="Z1153"/>
      <c s="30" r="AA1153"/>
      <c s="30" r="AB1153"/>
      <c s="30" r="AC1153"/>
      <c s="30" r="AD1153"/>
      <c s="30" r="AE1153"/>
      <c s="10" r="AF1153"/>
      <c s="10" r="AG1153"/>
      <c s="10" r="AH1153"/>
      <c s="10" r="AI1153"/>
      <c s="10" r="AJ1153"/>
      <c s="10" r="AK1153"/>
      <c s="30" r="AL1153"/>
    </row>
    <row r="1154">
      <c s="30" r="A1154"/>
      <c s="30" r="B1154"/>
      <c s="30" r="C1154"/>
      <c s="30" r="D1154"/>
      <c s="16" r="E1154"/>
      <c s="16" r="F1154"/>
      <c s="16" r="G1154"/>
      <c s="16" r="H1154"/>
      <c s="16" r="I1154"/>
      <c s="16" r="J1154"/>
      <c s="16" r="K1154"/>
      <c s="80" r="L1154"/>
      <c s="79" r="M1154"/>
      <c s="79" r="N1154"/>
      <c s="79" r="O1154"/>
      <c s="79" r="P1154"/>
      <c s="17" r="Q1154"/>
      <c s="17" r="R1154"/>
      <c s="7" r="S1154"/>
      <c s="7" r="T1154"/>
      <c s="7" r="U1154"/>
      <c s="7" r="V1154"/>
      <c s="30" r="W1154"/>
      <c s="30" r="X1154"/>
      <c s="30" r="Y1154"/>
      <c s="30" r="Z1154"/>
      <c s="30" r="AA1154"/>
      <c s="30" r="AB1154"/>
      <c s="30" r="AC1154"/>
      <c s="30" r="AD1154"/>
      <c s="30" r="AE1154"/>
      <c s="10" r="AF1154"/>
      <c s="10" r="AG1154"/>
      <c s="10" r="AH1154"/>
      <c s="10" r="AI1154"/>
      <c s="10" r="AJ1154"/>
      <c s="10" r="AK1154"/>
      <c s="30" r="AL1154"/>
    </row>
    <row r="1155">
      <c s="30" r="A1155"/>
      <c s="30" r="B1155"/>
      <c s="30" r="C1155"/>
      <c s="30" r="D1155"/>
      <c s="16" r="E1155"/>
      <c s="16" r="F1155"/>
      <c s="16" r="G1155"/>
      <c s="16" r="H1155"/>
      <c s="16" r="I1155"/>
      <c s="16" r="J1155"/>
      <c s="16" r="K1155"/>
      <c s="80" r="L1155"/>
      <c s="79" r="M1155"/>
      <c s="79" r="N1155"/>
      <c s="79" r="O1155"/>
      <c s="79" r="P1155"/>
      <c s="17" r="Q1155"/>
      <c s="17" r="R1155"/>
      <c s="7" r="S1155"/>
      <c s="7" r="T1155"/>
      <c s="7" r="U1155"/>
      <c s="7" r="V1155"/>
      <c s="30" r="W1155"/>
      <c s="30" r="X1155"/>
      <c s="30" r="Y1155"/>
      <c s="30" r="Z1155"/>
      <c s="30" r="AA1155"/>
      <c s="30" r="AB1155"/>
      <c s="30" r="AC1155"/>
      <c s="30" r="AD1155"/>
      <c s="30" r="AE1155"/>
      <c s="10" r="AF1155"/>
      <c s="10" r="AG1155"/>
      <c s="10" r="AH1155"/>
      <c s="10" r="AI1155"/>
      <c s="10" r="AJ1155"/>
      <c s="10" r="AK1155"/>
      <c s="30" r="AL1155"/>
    </row>
    <row r="1156">
      <c s="30" r="A1156"/>
      <c s="30" r="B1156"/>
      <c s="30" r="C1156"/>
      <c s="30" r="D1156"/>
      <c s="16" r="E1156"/>
      <c s="16" r="F1156"/>
      <c s="16" r="G1156"/>
      <c s="16" r="H1156"/>
      <c s="16" r="I1156"/>
      <c s="16" r="J1156"/>
      <c s="16" r="K1156"/>
      <c s="80" r="L1156"/>
      <c s="79" r="M1156"/>
      <c s="79" r="N1156"/>
      <c s="79" r="O1156"/>
      <c s="79" r="P1156"/>
      <c s="17" r="Q1156"/>
      <c s="17" r="R1156"/>
      <c s="7" r="S1156"/>
      <c s="7" r="T1156"/>
      <c s="7" r="U1156"/>
      <c s="7" r="V1156"/>
      <c s="30" r="W1156"/>
      <c s="30" r="X1156"/>
      <c s="30" r="Y1156"/>
      <c s="30" r="Z1156"/>
      <c s="30" r="AA1156"/>
      <c s="30" r="AB1156"/>
      <c s="30" r="AC1156"/>
      <c s="30" r="AD1156"/>
      <c s="30" r="AE1156"/>
      <c s="10" r="AF1156"/>
      <c s="10" r="AG1156"/>
      <c s="10" r="AH1156"/>
      <c s="10" r="AI1156"/>
      <c s="10" r="AJ1156"/>
      <c s="10" r="AK1156"/>
      <c s="30" r="AL1156"/>
    </row>
    <row r="1157">
      <c s="30" r="A1157"/>
      <c s="30" r="B1157"/>
      <c s="30" r="C1157"/>
      <c s="30" r="D1157"/>
      <c s="16" r="E1157"/>
      <c s="16" r="F1157"/>
      <c s="16" r="G1157"/>
      <c s="16" r="H1157"/>
      <c s="16" r="I1157"/>
      <c s="16" r="J1157"/>
      <c s="16" r="K1157"/>
      <c s="80" r="L1157"/>
      <c s="79" r="M1157"/>
      <c s="79" r="N1157"/>
      <c s="79" r="O1157"/>
      <c s="79" r="P1157"/>
      <c s="17" r="Q1157"/>
      <c s="17" r="R1157"/>
      <c s="7" r="S1157"/>
      <c s="7" r="T1157"/>
      <c s="7" r="U1157"/>
      <c s="7" r="V1157"/>
      <c s="30" r="W1157"/>
      <c s="30" r="X1157"/>
      <c s="30" r="Y1157"/>
      <c s="30" r="Z1157"/>
      <c s="30" r="AA1157"/>
      <c s="30" r="AB1157"/>
      <c s="30" r="AC1157"/>
      <c s="30" r="AD1157"/>
      <c s="30" r="AE1157"/>
      <c s="10" r="AF1157"/>
      <c s="10" r="AG1157"/>
      <c s="10" r="AH1157"/>
      <c s="10" r="AI1157"/>
      <c s="10" r="AJ1157"/>
      <c s="10" r="AK1157"/>
      <c s="30" r="AL1157"/>
    </row>
    <row r="1158">
      <c s="30" r="A1158"/>
      <c s="30" r="B1158"/>
      <c s="30" r="C1158"/>
      <c s="30" r="D1158"/>
      <c s="16" r="E1158"/>
      <c s="16" r="F1158"/>
      <c s="16" r="G1158"/>
      <c s="16" r="H1158"/>
      <c s="16" r="I1158"/>
      <c s="16" r="J1158"/>
      <c s="16" r="K1158"/>
      <c s="80" r="L1158"/>
      <c s="79" r="M1158"/>
      <c s="79" r="N1158"/>
      <c s="79" r="O1158"/>
      <c s="79" r="P1158"/>
      <c s="17" r="Q1158"/>
      <c s="17" r="R1158"/>
      <c s="7" r="S1158"/>
      <c s="7" r="T1158"/>
      <c s="7" r="U1158"/>
      <c s="7" r="V1158"/>
      <c s="30" r="W1158"/>
      <c s="30" r="X1158"/>
      <c s="30" r="Y1158"/>
      <c s="30" r="Z1158"/>
      <c s="30" r="AA1158"/>
      <c s="30" r="AB1158"/>
      <c s="30" r="AC1158"/>
      <c s="30" r="AD1158"/>
      <c s="30" r="AE1158"/>
      <c s="10" r="AF1158"/>
      <c s="10" r="AG1158"/>
      <c s="10" r="AH1158"/>
      <c s="10" r="AI1158"/>
      <c s="10" r="AJ1158"/>
      <c s="10" r="AK1158"/>
      <c s="30" r="AL1158"/>
    </row>
    <row r="1159">
      <c s="30" r="A1159"/>
      <c s="30" r="B1159"/>
      <c s="30" r="C1159"/>
      <c s="30" r="D1159"/>
      <c s="16" r="E1159"/>
      <c s="16" r="F1159"/>
      <c s="16" r="G1159"/>
      <c s="16" r="H1159"/>
      <c s="16" r="I1159"/>
      <c s="16" r="J1159"/>
      <c s="16" r="K1159"/>
      <c s="80" r="L1159"/>
      <c s="79" r="M1159"/>
      <c s="79" r="N1159"/>
      <c s="79" r="O1159"/>
      <c s="79" r="P1159"/>
      <c s="17" r="Q1159"/>
      <c s="17" r="R1159"/>
      <c s="7" r="S1159"/>
      <c s="7" r="T1159"/>
      <c s="7" r="U1159"/>
      <c s="7" r="V1159"/>
      <c s="30" r="W1159"/>
      <c s="30" r="X1159"/>
      <c s="30" r="Y1159"/>
      <c s="30" r="Z1159"/>
      <c s="30" r="AA1159"/>
      <c s="30" r="AB1159"/>
      <c s="30" r="AC1159"/>
      <c s="30" r="AD1159"/>
      <c s="30" r="AE1159"/>
      <c s="10" r="AF1159"/>
      <c s="10" r="AG1159"/>
      <c s="10" r="AH1159"/>
      <c s="10" r="AI1159"/>
      <c s="10" r="AJ1159"/>
      <c s="10" r="AK1159"/>
      <c s="30" r="AL1159"/>
    </row>
    <row r="1160">
      <c s="30" r="A1160"/>
      <c s="30" r="B1160"/>
      <c s="30" r="C1160"/>
      <c s="30" r="D1160"/>
      <c s="16" r="E1160"/>
      <c s="16" r="F1160"/>
      <c s="16" r="G1160"/>
      <c s="16" r="H1160"/>
      <c s="16" r="I1160"/>
      <c s="16" r="J1160"/>
      <c s="16" r="K1160"/>
      <c s="80" r="L1160"/>
      <c s="79" r="M1160"/>
      <c s="79" r="N1160"/>
      <c s="79" r="O1160"/>
      <c s="79" r="P1160"/>
      <c s="17" r="Q1160"/>
      <c s="17" r="R1160"/>
      <c s="7" r="S1160"/>
      <c s="7" r="T1160"/>
      <c s="7" r="U1160"/>
      <c s="7" r="V1160"/>
      <c s="30" r="W1160"/>
      <c s="30" r="X1160"/>
      <c s="30" r="Y1160"/>
      <c s="30" r="Z1160"/>
      <c s="30" r="AA1160"/>
      <c s="30" r="AB1160"/>
      <c s="30" r="AC1160"/>
      <c s="30" r="AD1160"/>
      <c s="30" r="AE1160"/>
      <c s="10" r="AF1160"/>
      <c s="10" r="AG1160"/>
      <c s="10" r="AH1160"/>
      <c s="10" r="AI1160"/>
      <c s="10" r="AJ1160"/>
      <c s="10" r="AK1160"/>
      <c s="30" r="AL1160"/>
    </row>
    <row r="1161">
      <c s="30" r="A1161"/>
      <c s="30" r="B1161"/>
      <c s="30" r="C1161"/>
      <c s="30" r="D1161"/>
      <c s="16" r="E1161"/>
      <c s="16" r="F1161"/>
      <c s="16" r="G1161"/>
      <c s="16" r="H1161"/>
      <c s="16" r="I1161"/>
      <c s="16" r="J1161"/>
      <c s="16" r="K1161"/>
      <c s="80" r="L1161"/>
      <c s="79" r="M1161"/>
      <c s="79" r="N1161"/>
      <c s="79" r="O1161"/>
      <c s="79" r="P1161"/>
      <c s="17" r="Q1161"/>
      <c s="17" r="R1161"/>
      <c s="7" r="S1161"/>
      <c s="7" r="T1161"/>
      <c s="7" r="U1161"/>
      <c s="7" r="V1161"/>
      <c s="30" r="W1161"/>
      <c s="30" r="X1161"/>
      <c s="30" r="Y1161"/>
      <c s="30" r="Z1161"/>
      <c s="30" r="AA1161"/>
      <c s="30" r="AB1161"/>
      <c s="30" r="AC1161"/>
      <c s="30" r="AD1161"/>
      <c s="30" r="AE1161"/>
      <c s="10" r="AF1161"/>
      <c s="10" r="AG1161"/>
      <c s="10" r="AH1161"/>
      <c s="10" r="AI1161"/>
      <c s="10" r="AJ1161"/>
      <c s="10" r="AK1161"/>
      <c s="30" r="AL1161"/>
    </row>
    <row r="1162">
      <c s="30" r="A1162"/>
      <c s="30" r="B1162"/>
      <c s="30" r="C1162"/>
      <c s="30" r="D1162"/>
      <c s="16" r="E1162"/>
      <c s="16" r="F1162"/>
      <c s="16" r="G1162"/>
      <c s="16" r="H1162"/>
      <c s="16" r="I1162"/>
      <c s="16" r="J1162"/>
      <c s="16" r="K1162"/>
      <c s="80" r="L1162"/>
      <c s="79" r="M1162"/>
      <c s="79" r="N1162"/>
      <c s="79" r="O1162"/>
      <c s="79" r="P1162"/>
      <c s="17" r="Q1162"/>
      <c s="17" r="R1162"/>
      <c s="7" r="S1162"/>
      <c s="7" r="T1162"/>
      <c s="7" r="U1162"/>
      <c s="7" r="V1162"/>
      <c s="30" r="W1162"/>
      <c s="30" r="X1162"/>
      <c s="30" r="Y1162"/>
      <c s="30" r="Z1162"/>
      <c s="30" r="AA1162"/>
      <c s="30" r="AB1162"/>
      <c s="30" r="AC1162"/>
      <c s="30" r="AD1162"/>
      <c s="30" r="AE1162"/>
      <c s="10" r="AF1162"/>
      <c s="10" r="AG1162"/>
      <c s="10" r="AH1162"/>
      <c s="10" r="AI1162"/>
      <c s="10" r="AJ1162"/>
      <c s="10" r="AK1162"/>
      <c s="30" r="AL1162"/>
    </row>
    <row r="1163">
      <c s="30" r="A1163"/>
      <c s="30" r="B1163"/>
      <c s="30" r="C1163"/>
      <c s="30" r="D1163"/>
      <c s="16" r="E1163"/>
      <c s="16" r="F1163"/>
      <c s="16" r="G1163"/>
      <c s="16" r="H1163"/>
      <c s="16" r="I1163"/>
      <c s="16" r="J1163"/>
      <c s="16" r="K1163"/>
      <c s="80" r="L1163"/>
      <c s="79" r="M1163"/>
      <c s="79" r="N1163"/>
      <c s="79" r="O1163"/>
      <c s="79" r="P1163"/>
      <c s="17" r="Q1163"/>
      <c s="17" r="R1163"/>
      <c s="7" r="S1163"/>
      <c s="7" r="T1163"/>
      <c s="7" r="U1163"/>
      <c s="7" r="V1163"/>
      <c s="30" r="W1163"/>
      <c s="30" r="X1163"/>
      <c s="30" r="Y1163"/>
      <c s="30" r="Z1163"/>
      <c s="30" r="AA1163"/>
      <c s="30" r="AB1163"/>
      <c s="30" r="AC1163"/>
      <c s="30" r="AD1163"/>
      <c s="30" r="AE1163"/>
      <c s="10" r="AF1163"/>
      <c s="10" r="AG1163"/>
      <c s="10" r="AH1163"/>
      <c s="10" r="AI1163"/>
      <c s="10" r="AJ1163"/>
      <c s="10" r="AK1163"/>
      <c s="30" r="AL1163"/>
    </row>
    <row r="1164">
      <c s="30" r="A1164"/>
      <c s="30" r="B1164"/>
      <c s="30" r="C1164"/>
      <c s="30" r="D1164"/>
      <c s="16" r="E1164"/>
      <c s="16" r="F1164"/>
      <c s="16" r="G1164"/>
      <c s="16" r="H1164"/>
      <c s="16" r="I1164"/>
      <c s="16" r="J1164"/>
      <c s="16" r="K1164"/>
      <c s="80" r="L1164"/>
      <c s="79" r="M1164"/>
      <c s="79" r="N1164"/>
      <c s="79" r="O1164"/>
      <c s="79" r="P1164"/>
      <c s="17" r="Q1164"/>
      <c s="17" r="R1164"/>
      <c s="7" r="S1164"/>
      <c s="7" r="T1164"/>
      <c s="7" r="U1164"/>
      <c s="7" r="V1164"/>
      <c s="30" r="W1164"/>
      <c s="30" r="X1164"/>
      <c s="30" r="Y1164"/>
      <c s="30" r="Z1164"/>
      <c s="30" r="AA1164"/>
      <c s="30" r="AB1164"/>
      <c s="30" r="AC1164"/>
      <c s="30" r="AD1164"/>
      <c s="30" r="AE1164"/>
      <c s="10" r="AF1164"/>
      <c s="10" r="AG1164"/>
      <c s="10" r="AH1164"/>
      <c s="10" r="AI1164"/>
      <c s="10" r="AJ1164"/>
      <c s="10" r="AK1164"/>
      <c s="30" r="AL1164"/>
    </row>
    <row r="1165">
      <c s="30" r="A1165"/>
      <c s="30" r="B1165"/>
      <c s="30" r="C1165"/>
      <c s="30" r="D1165"/>
      <c s="16" r="E1165"/>
      <c s="16" r="F1165"/>
      <c s="16" r="G1165"/>
      <c s="16" r="H1165"/>
      <c s="16" r="I1165"/>
      <c s="16" r="J1165"/>
      <c s="16" r="K1165"/>
      <c s="80" r="L1165"/>
      <c s="79" r="M1165"/>
      <c s="79" r="N1165"/>
      <c s="79" r="O1165"/>
      <c s="79" r="P1165"/>
      <c s="17" r="Q1165"/>
      <c s="17" r="R1165"/>
      <c s="7" r="S1165"/>
      <c s="7" r="T1165"/>
      <c s="7" r="U1165"/>
      <c s="7" r="V1165"/>
      <c s="30" r="W1165"/>
      <c s="30" r="X1165"/>
      <c s="30" r="Y1165"/>
      <c s="30" r="Z1165"/>
      <c s="30" r="AA1165"/>
      <c s="30" r="AB1165"/>
      <c s="30" r="AC1165"/>
      <c s="30" r="AD1165"/>
      <c s="30" r="AE1165"/>
      <c s="10" r="AF1165"/>
      <c s="10" r="AG1165"/>
      <c s="10" r="AH1165"/>
      <c s="10" r="AI1165"/>
      <c s="10" r="AJ1165"/>
      <c s="10" r="AK1165"/>
      <c s="30" r="AL1165"/>
    </row>
    <row r="1166">
      <c s="30" r="A1166"/>
      <c s="30" r="B1166"/>
      <c s="30" r="C1166"/>
      <c s="30" r="D1166"/>
      <c s="16" r="E1166"/>
      <c s="16" r="F1166"/>
      <c s="16" r="G1166"/>
      <c s="16" r="H1166"/>
      <c s="16" r="I1166"/>
      <c s="16" r="J1166"/>
      <c s="16" r="K1166"/>
      <c s="80" r="L1166"/>
      <c s="79" r="M1166"/>
      <c s="79" r="N1166"/>
      <c s="79" r="O1166"/>
      <c s="79" r="P1166"/>
      <c s="17" r="Q1166"/>
      <c s="17" r="R1166"/>
      <c s="7" r="S1166"/>
      <c s="7" r="T1166"/>
      <c s="7" r="U1166"/>
      <c s="7" r="V1166"/>
      <c s="30" r="W1166"/>
      <c s="30" r="X1166"/>
      <c s="30" r="Y1166"/>
      <c s="30" r="Z1166"/>
      <c s="30" r="AA1166"/>
      <c s="30" r="AB1166"/>
      <c s="30" r="AC1166"/>
      <c s="30" r="AD1166"/>
      <c s="30" r="AE1166"/>
      <c s="10" r="AF1166"/>
      <c s="10" r="AG1166"/>
      <c s="10" r="AH1166"/>
      <c s="10" r="AI1166"/>
      <c s="10" r="AJ1166"/>
      <c s="10" r="AK1166"/>
      <c s="30" r="AL1166"/>
    </row>
    <row r="1167">
      <c s="30" r="A1167"/>
      <c s="30" r="B1167"/>
      <c s="30" r="C1167"/>
      <c s="30" r="D1167"/>
      <c s="16" r="E1167"/>
      <c s="16" r="F1167"/>
      <c s="16" r="G1167"/>
      <c s="16" r="H1167"/>
      <c s="16" r="I1167"/>
      <c s="16" r="J1167"/>
      <c s="16" r="K1167"/>
      <c s="80" r="L1167"/>
      <c s="79" r="M1167"/>
      <c s="79" r="N1167"/>
      <c s="79" r="O1167"/>
      <c s="79" r="P1167"/>
      <c s="17" r="Q1167"/>
      <c s="17" r="R1167"/>
      <c s="7" r="S1167"/>
      <c s="7" r="T1167"/>
      <c s="7" r="U1167"/>
      <c s="7" r="V1167"/>
      <c s="30" r="W1167"/>
      <c s="30" r="X1167"/>
      <c s="30" r="Y1167"/>
      <c s="30" r="Z1167"/>
      <c s="30" r="AA1167"/>
      <c s="30" r="AB1167"/>
      <c s="30" r="AC1167"/>
      <c s="30" r="AD1167"/>
      <c s="30" r="AE1167"/>
      <c s="10" r="AF1167"/>
      <c s="10" r="AG1167"/>
      <c s="10" r="AH1167"/>
      <c s="10" r="AI1167"/>
      <c s="10" r="AJ1167"/>
      <c s="10" r="AK1167"/>
      <c s="30" r="AL1167"/>
    </row>
    <row r="1168">
      <c s="30" r="A1168"/>
      <c s="30" r="B1168"/>
      <c s="30" r="C1168"/>
      <c s="30" r="D1168"/>
      <c s="16" r="E1168"/>
      <c s="16" r="F1168"/>
      <c s="16" r="G1168"/>
      <c s="16" r="H1168"/>
      <c s="16" r="I1168"/>
      <c s="16" r="J1168"/>
      <c s="16" r="K1168"/>
      <c s="80" r="L1168"/>
      <c s="79" r="M1168"/>
      <c s="79" r="N1168"/>
      <c s="79" r="O1168"/>
      <c s="79" r="P1168"/>
      <c s="17" r="Q1168"/>
      <c s="17" r="R1168"/>
      <c s="7" r="S1168"/>
      <c s="7" r="T1168"/>
      <c s="7" r="U1168"/>
      <c s="7" r="V1168"/>
      <c s="30" r="W1168"/>
      <c s="30" r="X1168"/>
      <c s="30" r="Y1168"/>
      <c s="30" r="Z1168"/>
      <c s="30" r="AA1168"/>
      <c s="30" r="AB1168"/>
      <c s="30" r="AC1168"/>
      <c s="30" r="AD1168"/>
      <c s="30" r="AE1168"/>
      <c s="10" r="AF1168"/>
      <c s="10" r="AG1168"/>
      <c s="10" r="AH1168"/>
      <c s="10" r="AI1168"/>
      <c s="10" r="AJ1168"/>
      <c s="10" r="AK1168"/>
      <c s="30" r="AL1168"/>
    </row>
    <row r="1169">
      <c s="30" r="A1169"/>
      <c s="30" r="B1169"/>
      <c s="30" r="C1169"/>
      <c s="30" r="D1169"/>
      <c s="16" r="E1169"/>
      <c s="16" r="F1169"/>
      <c s="16" r="G1169"/>
      <c s="16" r="H1169"/>
      <c s="16" r="I1169"/>
      <c s="16" r="J1169"/>
      <c s="16" r="K1169"/>
      <c s="80" r="L1169"/>
      <c s="79" r="M1169"/>
      <c s="79" r="N1169"/>
      <c s="79" r="O1169"/>
      <c s="79" r="P1169"/>
      <c s="17" r="Q1169"/>
      <c s="17" r="R1169"/>
      <c s="7" r="S1169"/>
      <c s="7" r="T1169"/>
      <c s="7" r="U1169"/>
      <c s="7" r="V1169"/>
      <c s="30" r="W1169"/>
      <c s="30" r="X1169"/>
      <c s="30" r="Y1169"/>
      <c s="30" r="Z1169"/>
      <c s="30" r="AA1169"/>
      <c s="30" r="AB1169"/>
      <c s="30" r="AC1169"/>
      <c s="30" r="AD1169"/>
      <c s="30" r="AE1169"/>
      <c s="10" r="AF1169"/>
      <c s="10" r="AG1169"/>
      <c s="10" r="AH1169"/>
      <c s="10" r="AI1169"/>
      <c s="10" r="AJ1169"/>
      <c s="10" r="AK1169"/>
      <c s="30" r="AL1169"/>
    </row>
    <row r="1170">
      <c s="30" r="A1170"/>
      <c s="30" r="B1170"/>
      <c s="30" r="C1170"/>
      <c s="30" r="D1170"/>
      <c s="16" r="E1170"/>
      <c s="16" r="F1170"/>
      <c s="16" r="G1170"/>
      <c s="16" r="H1170"/>
      <c s="16" r="I1170"/>
      <c s="16" r="J1170"/>
      <c s="16" r="K1170"/>
      <c s="80" r="L1170"/>
      <c s="79" r="M1170"/>
      <c s="79" r="N1170"/>
      <c s="79" r="O1170"/>
      <c s="79" r="P1170"/>
      <c s="17" r="Q1170"/>
      <c s="17" r="R1170"/>
      <c s="7" r="S1170"/>
      <c s="7" r="T1170"/>
      <c s="7" r="U1170"/>
      <c s="7" r="V1170"/>
      <c s="30" r="W1170"/>
      <c s="30" r="X1170"/>
      <c s="30" r="Y1170"/>
      <c s="30" r="Z1170"/>
      <c s="30" r="AA1170"/>
      <c s="30" r="AB1170"/>
      <c s="30" r="AC1170"/>
      <c s="30" r="AD1170"/>
      <c s="30" r="AE1170"/>
      <c s="10" r="AF1170"/>
      <c s="10" r="AG1170"/>
      <c s="10" r="AH1170"/>
      <c s="10" r="AI1170"/>
      <c s="10" r="AJ1170"/>
      <c s="10" r="AK1170"/>
      <c s="30" r="AL1170"/>
    </row>
    <row r="1171">
      <c s="30" r="A1171"/>
      <c s="30" r="B1171"/>
      <c s="30" r="C1171"/>
      <c s="30" r="D1171"/>
      <c s="16" r="E1171"/>
      <c s="16" r="F1171"/>
      <c s="16" r="G1171"/>
      <c s="16" r="H1171"/>
      <c s="16" r="I1171"/>
      <c s="16" r="J1171"/>
      <c s="16" r="K1171"/>
      <c s="80" r="L1171"/>
      <c s="79" r="M1171"/>
      <c s="79" r="N1171"/>
      <c s="79" r="O1171"/>
      <c s="79" r="P1171"/>
      <c s="17" r="Q1171"/>
      <c s="17" r="R1171"/>
      <c s="7" r="S1171"/>
      <c s="7" r="T1171"/>
      <c s="7" r="U1171"/>
      <c s="7" r="V1171"/>
      <c s="30" r="W1171"/>
      <c s="30" r="X1171"/>
      <c s="30" r="Y1171"/>
      <c s="30" r="Z1171"/>
      <c s="30" r="AA1171"/>
      <c s="30" r="AB1171"/>
      <c s="30" r="AC1171"/>
      <c s="30" r="AD1171"/>
      <c s="30" r="AE1171"/>
      <c s="10" r="AF1171"/>
      <c s="10" r="AG1171"/>
      <c s="10" r="AH1171"/>
      <c s="10" r="AI1171"/>
      <c s="10" r="AJ1171"/>
      <c s="10" r="AK1171"/>
      <c s="30" r="AL1171"/>
    </row>
    <row r="1172">
      <c s="30" r="A1172"/>
      <c s="30" r="B1172"/>
      <c s="30" r="C1172"/>
      <c s="30" r="D1172"/>
      <c s="16" r="E1172"/>
      <c s="16" r="F1172"/>
      <c s="16" r="G1172"/>
      <c s="16" r="H1172"/>
      <c s="16" r="I1172"/>
      <c s="16" r="J1172"/>
      <c s="16" r="K1172"/>
      <c s="80" r="L1172"/>
      <c s="79" r="M1172"/>
      <c s="79" r="N1172"/>
      <c s="79" r="O1172"/>
      <c s="79" r="P1172"/>
      <c s="17" r="Q1172"/>
      <c s="17" r="R1172"/>
      <c s="7" r="S1172"/>
      <c s="7" r="T1172"/>
      <c s="7" r="U1172"/>
      <c s="7" r="V1172"/>
      <c s="30" r="W1172"/>
      <c s="30" r="X1172"/>
      <c s="30" r="Y1172"/>
      <c s="30" r="Z1172"/>
      <c s="30" r="AA1172"/>
      <c s="30" r="AB1172"/>
      <c s="30" r="AC1172"/>
      <c s="30" r="AD1172"/>
      <c s="30" r="AE1172"/>
      <c s="10" r="AF1172"/>
      <c s="10" r="AG1172"/>
      <c s="10" r="AH1172"/>
      <c s="10" r="AI1172"/>
      <c s="10" r="AJ1172"/>
      <c s="10" r="AK1172"/>
      <c s="30" r="AL1172"/>
    </row>
    <row r="1173">
      <c s="30" r="A1173"/>
      <c s="30" r="B1173"/>
      <c s="30" r="C1173"/>
      <c s="30" r="D1173"/>
      <c s="16" r="E1173"/>
      <c s="16" r="F1173"/>
      <c s="16" r="G1173"/>
      <c s="16" r="H1173"/>
      <c s="16" r="I1173"/>
      <c s="16" r="J1173"/>
      <c s="16" r="K1173"/>
      <c s="80" r="L1173"/>
      <c s="79" r="M1173"/>
      <c s="79" r="N1173"/>
      <c s="79" r="O1173"/>
      <c s="79" r="P1173"/>
      <c s="17" r="Q1173"/>
      <c s="17" r="R1173"/>
      <c s="7" r="S1173"/>
      <c s="7" r="T1173"/>
      <c s="7" r="U1173"/>
      <c s="7" r="V1173"/>
      <c s="30" r="W1173"/>
      <c s="30" r="X1173"/>
      <c s="30" r="Y1173"/>
      <c s="30" r="Z1173"/>
      <c s="30" r="AA1173"/>
      <c s="30" r="AB1173"/>
      <c s="30" r="AC1173"/>
      <c s="30" r="AD1173"/>
      <c s="30" r="AE1173"/>
      <c s="10" r="AF1173"/>
      <c s="10" r="AG1173"/>
      <c s="10" r="AH1173"/>
      <c s="10" r="AI1173"/>
      <c s="10" r="AJ1173"/>
      <c s="10" r="AK1173"/>
      <c s="30" r="AL1173"/>
    </row>
    <row r="1174">
      <c s="30" r="A1174"/>
      <c s="30" r="B1174"/>
      <c s="30" r="C1174"/>
      <c s="30" r="D1174"/>
      <c s="16" r="E1174"/>
      <c s="16" r="F1174"/>
      <c s="16" r="G1174"/>
      <c s="16" r="H1174"/>
      <c s="16" r="I1174"/>
      <c s="16" r="J1174"/>
      <c s="16" r="K1174"/>
      <c s="80" r="L1174"/>
      <c s="79" r="M1174"/>
      <c s="79" r="N1174"/>
      <c s="79" r="O1174"/>
      <c s="79" r="P1174"/>
      <c s="17" r="Q1174"/>
      <c s="17" r="R1174"/>
      <c s="7" r="S1174"/>
      <c s="7" r="T1174"/>
      <c s="7" r="U1174"/>
      <c s="7" r="V1174"/>
      <c s="30" r="W1174"/>
      <c s="30" r="X1174"/>
      <c s="30" r="Y1174"/>
      <c s="30" r="Z1174"/>
      <c s="30" r="AA1174"/>
      <c s="30" r="AB1174"/>
      <c s="30" r="AC1174"/>
      <c s="30" r="AD1174"/>
      <c s="30" r="AE1174"/>
      <c s="10" r="AF1174"/>
      <c s="10" r="AG1174"/>
      <c s="10" r="AH1174"/>
      <c s="10" r="AI1174"/>
      <c s="10" r="AJ1174"/>
      <c s="10" r="AK1174"/>
      <c s="30" r="AL1174"/>
    </row>
    <row r="1175">
      <c s="30" r="A1175"/>
      <c s="30" r="B1175"/>
      <c s="30" r="C1175"/>
      <c s="30" r="D1175"/>
      <c s="16" r="E1175"/>
      <c s="16" r="F1175"/>
      <c s="16" r="G1175"/>
      <c s="16" r="H1175"/>
      <c s="16" r="I1175"/>
      <c s="16" r="J1175"/>
      <c s="16" r="K1175"/>
      <c s="80" r="L1175"/>
      <c s="79" r="M1175"/>
      <c s="79" r="N1175"/>
      <c s="79" r="O1175"/>
      <c s="79" r="P1175"/>
      <c s="17" r="Q1175"/>
      <c s="17" r="R1175"/>
      <c s="7" r="S1175"/>
      <c s="7" r="T1175"/>
      <c s="7" r="U1175"/>
      <c s="7" r="V1175"/>
      <c s="30" r="W1175"/>
      <c s="30" r="X1175"/>
      <c s="30" r="Y1175"/>
      <c s="30" r="Z1175"/>
      <c s="30" r="AA1175"/>
      <c s="30" r="AB1175"/>
      <c s="30" r="AC1175"/>
      <c s="30" r="AD1175"/>
      <c s="30" r="AE1175"/>
      <c s="10" r="AF1175"/>
      <c s="10" r="AG1175"/>
      <c s="10" r="AH1175"/>
      <c s="10" r="AI1175"/>
      <c s="10" r="AJ1175"/>
      <c s="10" r="AK1175"/>
      <c s="30" r="AL1175"/>
    </row>
    <row r="1176">
      <c s="30" r="A1176"/>
      <c s="30" r="B1176"/>
      <c s="30" r="C1176"/>
      <c s="30" r="D1176"/>
      <c s="16" r="E1176"/>
      <c s="16" r="F1176"/>
      <c s="16" r="G1176"/>
      <c s="16" r="H1176"/>
      <c s="16" r="I1176"/>
      <c s="16" r="J1176"/>
      <c s="16" r="K1176"/>
      <c s="80" r="L1176"/>
      <c s="79" r="M1176"/>
      <c s="79" r="N1176"/>
      <c s="79" r="O1176"/>
      <c s="79" r="P1176"/>
      <c s="17" r="Q1176"/>
      <c s="17" r="R1176"/>
      <c s="7" r="S1176"/>
      <c s="7" r="T1176"/>
      <c s="7" r="U1176"/>
      <c s="7" r="V1176"/>
      <c s="30" r="W1176"/>
      <c s="30" r="X1176"/>
      <c s="30" r="Y1176"/>
      <c s="30" r="Z1176"/>
      <c s="30" r="AA1176"/>
      <c s="30" r="AB1176"/>
      <c s="30" r="AC1176"/>
      <c s="30" r="AD1176"/>
      <c s="30" r="AE1176"/>
      <c s="10" r="AF1176"/>
      <c s="10" r="AG1176"/>
      <c s="10" r="AH1176"/>
      <c s="10" r="AI1176"/>
      <c s="10" r="AJ1176"/>
      <c s="10" r="AK1176"/>
      <c s="30" r="AL1176"/>
    </row>
    <row r="1177">
      <c s="30" r="A1177"/>
      <c s="30" r="B1177"/>
      <c s="30" r="C1177"/>
      <c s="30" r="D1177"/>
      <c s="16" r="E1177"/>
      <c s="16" r="F1177"/>
      <c s="16" r="G1177"/>
      <c s="16" r="H1177"/>
      <c s="16" r="I1177"/>
      <c s="16" r="J1177"/>
      <c s="16" r="K1177"/>
      <c s="80" r="L1177"/>
      <c s="79" r="M1177"/>
      <c s="79" r="N1177"/>
      <c s="79" r="O1177"/>
      <c s="79" r="P1177"/>
      <c s="17" r="Q1177"/>
      <c s="17" r="R1177"/>
      <c s="7" r="S1177"/>
      <c s="7" r="T1177"/>
      <c s="7" r="U1177"/>
      <c s="7" r="V1177"/>
      <c s="30" r="W1177"/>
      <c s="30" r="X1177"/>
      <c s="30" r="Y1177"/>
      <c s="30" r="Z1177"/>
      <c s="30" r="AA1177"/>
      <c s="30" r="AB1177"/>
      <c s="30" r="AC1177"/>
      <c s="30" r="AD1177"/>
      <c s="30" r="AE1177"/>
      <c s="10" r="AF1177"/>
      <c s="10" r="AG1177"/>
      <c s="10" r="AH1177"/>
      <c s="10" r="AI1177"/>
      <c s="10" r="AJ1177"/>
      <c s="10" r="AK1177"/>
      <c s="30" r="AL1177"/>
    </row>
    <row r="1178">
      <c s="30" r="A1178"/>
      <c s="30" r="B1178"/>
      <c s="30" r="C1178"/>
      <c s="30" r="D1178"/>
      <c s="16" r="E1178"/>
      <c s="16" r="F1178"/>
      <c s="16" r="G1178"/>
      <c s="16" r="H1178"/>
      <c s="16" r="I1178"/>
      <c s="16" r="J1178"/>
      <c s="16" r="K1178"/>
      <c s="80" r="L1178"/>
      <c s="79" r="M1178"/>
      <c s="79" r="N1178"/>
      <c s="79" r="O1178"/>
      <c s="79" r="P1178"/>
      <c s="17" r="Q1178"/>
      <c s="17" r="R1178"/>
      <c s="7" r="S1178"/>
      <c s="7" r="T1178"/>
      <c s="7" r="U1178"/>
      <c s="7" r="V1178"/>
      <c s="30" r="W1178"/>
      <c s="30" r="X1178"/>
      <c s="30" r="Y1178"/>
      <c s="30" r="Z1178"/>
      <c s="30" r="AA1178"/>
      <c s="30" r="AB1178"/>
      <c s="30" r="AC1178"/>
      <c s="30" r="AD1178"/>
      <c s="30" r="AE1178"/>
      <c s="10" r="AF1178"/>
      <c s="10" r="AG1178"/>
      <c s="10" r="AH1178"/>
      <c s="10" r="AI1178"/>
      <c s="10" r="AJ1178"/>
      <c s="10" r="AK1178"/>
      <c s="30" r="AL1178"/>
    </row>
    <row r="1179">
      <c s="30" r="A1179"/>
      <c s="30" r="B1179"/>
      <c s="30" r="C1179"/>
      <c s="30" r="D1179"/>
      <c s="16" r="E1179"/>
      <c s="16" r="F1179"/>
      <c s="16" r="G1179"/>
      <c s="16" r="H1179"/>
      <c s="16" r="I1179"/>
      <c s="16" r="J1179"/>
      <c s="16" r="K1179"/>
      <c s="80" r="L1179"/>
      <c s="79" r="M1179"/>
      <c s="79" r="N1179"/>
      <c s="79" r="O1179"/>
      <c s="79" r="P1179"/>
      <c s="17" r="Q1179"/>
      <c s="17" r="R1179"/>
      <c s="7" r="S1179"/>
      <c s="7" r="T1179"/>
      <c s="7" r="U1179"/>
      <c s="7" r="V1179"/>
      <c s="30" r="W1179"/>
      <c s="30" r="X1179"/>
      <c s="30" r="Y1179"/>
      <c s="30" r="Z1179"/>
      <c s="30" r="AA1179"/>
      <c s="30" r="AB1179"/>
      <c s="30" r="AC1179"/>
      <c s="30" r="AD1179"/>
      <c s="30" r="AE1179"/>
      <c s="10" r="AF1179"/>
      <c s="10" r="AG1179"/>
      <c s="10" r="AH1179"/>
      <c s="10" r="AI1179"/>
      <c s="10" r="AJ1179"/>
      <c s="10" r="AK1179"/>
      <c s="30" r="AL1179"/>
    </row>
    <row r="1180">
      <c s="30" r="A1180"/>
      <c s="30" r="B1180"/>
      <c s="30" r="C1180"/>
      <c s="30" r="D1180"/>
      <c s="16" r="E1180"/>
      <c s="16" r="F1180"/>
      <c s="16" r="G1180"/>
      <c s="16" r="H1180"/>
      <c s="16" r="I1180"/>
      <c s="16" r="J1180"/>
      <c s="16" r="K1180"/>
      <c s="80" r="L1180"/>
      <c s="79" r="M1180"/>
      <c s="79" r="N1180"/>
      <c s="79" r="O1180"/>
      <c s="79" r="P1180"/>
      <c s="17" r="Q1180"/>
      <c s="17" r="R1180"/>
      <c s="7" r="S1180"/>
      <c s="7" r="T1180"/>
      <c s="7" r="U1180"/>
      <c s="7" r="V1180"/>
      <c s="30" r="W1180"/>
      <c s="30" r="X1180"/>
      <c s="30" r="Y1180"/>
      <c s="30" r="Z1180"/>
      <c s="30" r="AA1180"/>
      <c s="30" r="AB1180"/>
      <c s="30" r="AC1180"/>
      <c s="30" r="AD1180"/>
      <c s="30" r="AE1180"/>
      <c s="10" r="AF1180"/>
      <c s="10" r="AG1180"/>
      <c s="10" r="AH1180"/>
      <c s="10" r="AI1180"/>
      <c s="10" r="AJ1180"/>
      <c s="10" r="AK1180"/>
      <c s="30" r="AL1180"/>
    </row>
    <row r="1181">
      <c s="30" r="A1181"/>
      <c s="30" r="B1181"/>
      <c s="30" r="C1181"/>
      <c s="30" r="D1181"/>
      <c s="16" r="E1181"/>
      <c s="16" r="F1181"/>
      <c s="16" r="G1181"/>
      <c s="16" r="H1181"/>
      <c s="16" r="I1181"/>
      <c s="16" r="J1181"/>
      <c s="16" r="K1181"/>
      <c s="80" r="L1181"/>
      <c s="79" r="M1181"/>
      <c s="79" r="N1181"/>
      <c s="79" r="O1181"/>
      <c s="79" r="P1181"/>
      <c s="17" r="Q1181"/>
      <c s="17" r="R1181"/>
      <c s="7" r="S1181"/>
      <c s="7" r="T1181"/>
      <c s="7" r="U1181"/>
      <c s="7" r="V1181"/>
      <c s="30" r="W1181"/>
      <c s="30" r="X1181"/>
      <c s="30" r="Y1181"/>
      <c s="30" r="Z1181"/>
      <c s="30" r="AA1181"/>
      <c s="30" r="AB1181"/>
      <c s="30" r="AC1181"/>
      <c s="30" r="AD1181"/>
      <c s="30" r="AE1181"/>
      <c s="10" r="AF1181"/>
      <c s="10" r="AG1181"/>
      <c s="10" r="AH1181"/>
      <c s="10" r="AI1181"/>
      <c s="10" r="AJ1181"/>
      <c s="10" r="AK1181"/>
      <c s="30" r="AL1181"/>
    </row>
    <row r="1182">
      <c s="30" r="A1182"/>
      <c s="30" r="B1182"/>
      <c s="30" r="C1182"/>
      <c s="30" r="D1182"/>
      <c s="16" r="E1182"/>
      <c s="16" r="F1182"/>
      <c s="16" r="G1182"/>
      <c s="16" r="H1182"/>
      <c s="16" r="I1182"/>
      <c s="16" r="J1182"/>
      <c s="16" r="K1182"/>
      <c s="80" r="L1182"/>
      <c s="79" r="M1182"/>
      <c s="79" r="N1182"/>
      <c s="79" r="O1182"/>
      <c s="79" r="P1182"/>
      <c s="17" r="Q1182"/>
      <c s="17" r="R1182"/>
      <c s="7" r="S1182"/>
      <c s="7" r="T1182"/>
      <c s="7" r="U1182"/>
      <c s="7" r="V1182"/>
      <c s="30" r="W1182"/>
      <c s="30" r="X1182"/>
      <c s="30" r="Y1182"/>
      <c s="30" r="Z1182"/>
      <c s="30" r="AA1182"/>
      <c s="30" r="AB1182"/>
      <c s="30" r="AC1182"/>
      <c s="30" r="AD1182"/>
      <c s="30" r="AE1182"/>
      <c s="10" r="AF1182"/>
      <c s="10" r="AG1182"/>
      <c s="10" r="AH1182"/>
      <c s="10" r="AI1182"/>
      <c s="10" r="AJ1182"/>
      <c s="10" r="AK1182"/>
      <c s="30" r="AL1182"/>
    </row>
    <row r="1183">
      <c s="30" r="A1183"/>
      <c s="30" r="B1183"/>
      <c s="30" r="C1183"/>
      <c s="30" r="D1183"/>
      <c s="16" r="E1183"/>
      <c s="16" r="F1183"/>
      <c s="16" r="G1183"/>
      <c s="16" r="H1183"/>
      <c s="16" r="I1183"/>
      <c s="16" r="J1183"/>
      <c s="16" r="K1183"/>
      <c s="80" r="L1183"/>
      <c s="79" r="M1183"/>
      <c s="79" r="N1183"/>
      <c s="79" r="O1183"/>
      <c s="79" r="P1183"/>
      <c s="17" r="Q1183"/>
      <c s="17" r="R1183"/>
      <c s="7" r="S1183"/>
      <c s="7" r="T1183"/>
      <c s="7" r="U1183"/>
      <c s="7" r="V1183"/>
      <c s="30" r="W1183"/>
      <c s="30" r="X1183"/>
      <c s="30" r="Y1183"/>
      <c s="30" r="Z1183"/>
      <c s="30" r="AA1183"/>
      <c s="30" r="AB1183"/>
      <c s="30" r="AC1183"/>
      <c s="30" r="AD1183"/>
      <c s="30" r="AE1183"/>
      <c s="10" r="AF1183"/>
      <c s="10" r="AG1183"/>
      <c s="10" r="AH1183"/>
      <c s="10" r="AI1183"/>
      <c s="10" r="AJ1183"/>
      <c s="10" r="AK1183"/>
      <c s="30" r="AL1183"/>
    </row>
    <row r="1184">
      <c s="30" r="A1184"/>
      <c s="30" r="B1184"/>
      <c s="30" r="C1184"/>
      <c s="30" r="D1184"/>
      <c s="16" r="E1184"/>
      <c s="16" r="F1184"/>
      <c s="16" r="G1184"/>
      <c s="16" r="H1184"/>
      <c s="16" r="I1184"/>
      <c s="16" r="J1184"/>
      <c s="16" r="K1184"/>
      <c s="80" r="L1184"/>
      <c s="79" r="M1184"/>
      <c s="79" r="N1184"/>
      <c s="79" r="O1184"/>
      <c s="79" r="P1184"/>
      <c s="17" r="Q1184"/>
      <c s="17" r="R1184"/>
      <c s="7" r="S1184"/>
      <c s="7" r="T1184"/>
      <c s="7" r="U1184"/>
      <c s="7" r="V1184"/>
      <c s="30" r="W1184"/>
      <c s="30" r="X1184"/>
      <c s="30" r="Y1184"/>
      <c s="30" r="Z1184"/>
      <c s="30" r="AA1184"/>
      <c s="30" r="AB1184"/>
      <c s="30" r="AC1184"/>
      <c s="30" r="AD1184"/>
      <c s="30" r="AE1184"/>
      <c s="10" r="AF1184"/>
      <c s="10" r="AG1184"/>
      <c s="10" r="AH1184"/>
      <c s="10" r="AI1184"/>
      <c s="10" r="AJ1184"/>
      <c s="10" r="AK1184"/>
      <c s="30" r="AL1184"/>
    </row>
    <row r="1185">
      <c s="30" r="A1185"/>
      <c s="30" r="B1185"/>
      <c s="30" r="C1185"/>
      <c s="30" r="D1185"/>
      <c s="16" r="E1185"/>
      <c s="16" r="F1185"/>
      <c s="16" r="G1185"/>
      <c s="16" r="H1185"/>
      <c s="16" r="I1185"/>
      <c s="16" r="J1185"/>
      <c s="16" r="K1185"/>
      <c s="80" r="L1185"/>
      <c s="79" r="M1185"/>
      <c s="79" r="N1185"/>
      <c s="79" r="O1185"/>
      <c s="79" r="P1185"/>
      <c s="17" r="Q1185"/>
      <c s="17" r="R1185"/>
      <c s="7" r="S1185"/>
      <c s="7" r="T1185"/>
      <c s="7" r="U1185"/>
      <c s="7" r="V1185"/>
      <c s="30" r="W1185"/>
      <c s="30" r="X1185"/>
      <c s="30" r="Y1185"/>
      <c s="30" r="Z1185"/>
      <c s="30" r="AA1185"/>
      <c s="30" r="AB1185"/>
      <c s="30" r="AC1185"/>
      <c s="30" r="AD1185"/>
      <c s="30" r="AE1185"/>
      <c s="10" r="AF1185"/>
      <c s="10" r="AG1185"/>
      <c s="10" r="AH1185"/>
      <c s="10" r="AI1185"/>
      <c s="10" r="AJ1185"/>
      <c s="10" r="AK1185"/>
      <c s="30" r="AL1185"/>
    </row>
    <row r="1186">
      <c s="30" r="A1186"/>
      <c s="30" r="B1186"/>
      <c s="30" r="C1186"/>
      <c s="30" r="D1186"/>
      <c s="16" r="E1186"/>
      <c s="16" r="F1186"/>
      <c s="16" r="G1186"/>
      <c s="16" r="H1186"/>
      <c s="16" r="I1186"/>
      <c s="16" r="J1186"/>
      <c s="16" r="K1186"/>
      <c s="80" r="L1186"/>
      <c s="79" r="M1186"/>
      <c s="79" r="N1186"/>
      <c s="79" r="O1186"/>
      <c s="79" r="P1186"/>
      <c s="17" r="Q1186"/>
      <c s="17" r="R1186"/>
      <c s="7" r="S1186"/>
      <c s="7" r="T1186"/>
      <c s="7" r="U1186"/>
      <c s="7" r="V1186"/>
      <c s="30" r="W1186"/>
      <c s="30" r="X1186"/>
      <c s="30" r="Y1186"/>
      <c s="30" r="Z1186"/>
      <c s="30" r="AA1186"/>
      <c s="30" r="AB1186"/>
      <c s="30" r="AC1186"/>
      <c s="30" r="AD1186"/>
      <c s="30" r="AE1186"/>
      <c s="10" r="AF1186"/>
      <c s="10" r="AG1186"/>
      <c s="10" r="AH1186"/>
      <c s="10" r="AI1186"/>
      <c s="10" r="AJ1186"/>
      <c s="10" r="AK1186"/>
      <c s="30" r="AL1186"/>
    </row>
    <row r="1187">
      <c s="30" r="A1187"/>
      <c s="30" r="B1187"/>
      <c s="30" r="C1187"/>
      <c s="30" r="D1187"/>
      <c s="16" r="E1187"/>
      <c s="16" r="F1187"/>
      <c s="16" r="G1187"/>
      <c s="16" r="H1187"/>
      <c s="16" r="I1187"/>
      <c s="16" r="J1187"/>
      <c s="16" r="K1187"/>
      <c s="80" r="L1187"/>
      <c s="79" r="M1187"/>
      <c s="79" r="N1187"/>
      <c s="79" r="O1187"/>
      <c s="79" r="P1187"/>
      <c s="17" r="Q1187"/>
      <c s="17" r="R1187"/>
      <c s="7" r="S1187"/>
      <c s="7" r="T1187"/>
      <c s="7" r="U1187"/>
      <c s="7" r="V1187"/>
      <c s="30" r="W1187"/>
      <c s="30" r="X1187"/>
      <c s="30" r="Y1187"/>
      <c s="30" r="Z1187"/>
      <c s="30" r="AA1187"/>
      <c s="30" r="AB1187"/>
      <c s="30" r="AC1187"/>
      <c s="30" r="AD1187"/>
      <c s="30" r="AE1187"/>
      <c s="10" r="AF1187"/>
      <c s="10" r="AG1187"/>
      <c s="10" r="AH1187"/>
      <c s="10" r="AI1187"/>
      <c s="10" r="AJ1187"/>
      <c s="10" r="AK1187"/>
      <c s="30" r="AL1187"/>
    </row>
    <row r="1188">
      <c s="30" r="A1188"/>
      <c s="30" r="B1188"/>
      <c s="30" r="C1188"/>
      <c s="30" r="D1188"/>
      <c s="16" r="E1188"/>
      <c s="16" r="F1188"/>
      <c s="16" r="G1188"/>
      <c s="16" r="H1188"/>
      <c s="16" r="I1188"/>
      <c s="16" r="J1188"/>
      <c s="16" r="K1188"/>
      <c s="80" r="L1188"/>
      <c s="79" r="M1188"/>
      <c s="79" r="N1188"/>
      <c s="79" r="O1188"/>
      <c s="79" r="P1188"/>
      <c s="17" r="Q1188"/>
      <c s="17" r="R1188"/>
      <c s="7" r="S1188"/>
      <c s="7" r="T1188"/>
      <c s="7" r="U1188"/>
      <c s="7" r="V1188"/>
      <c s="30" r="W1188"/>
      <c s="30" r="X1188"/>
      <c s="30" r="Y1188"/>
      <c s="30" r="Z1188"/>
      <c s="30" r="AA1188"/>
      <c s="30" r="AB1188"/>
      <c s="30" r="AC1188"/>
      <c s="30" r="AD1188"/>
      <c s="30" r="AE1188"/>
      <c s="10" r="AF1188"/>
      <c s="10" r="AG1188"/>
      <c s="10" r="AH1188"/>
      <c s="10" r="AI1188"/>
      <c s="10" r="AJ1188"/>
      <c s="10" r="AK1188"/>
      <c s="30" r="AL1188"/>
    </row>
    <row r="1189">
      <c s="30" r="A1189"/>
      <c s="30" r="B1189"/>
      <c s="30" r="C1189"/>
      <c s="30" r="D1189"/>
      <c s="16" r="E1189"/>
      <c s="16" r="F1189"/>
      <c s="16" r="G1189"/>
      <c s="16" r="H1189"/>
      <c s="16" r="I1189"/>
      <c s="16" r="J1189"/>
      <c s="16" r="K1189"/>
      <c s="80" r="L1189"/>
      <c s="79" r="M1189"/>
      <c s="79" r="N1189"/>
      <c s="79" r="O1189"/>
      <c s="79" r="P1189"/>
      <c s="17" r="Q1189"/>
      <c s="17" r="R1189"/>
      <c s="7" r="S1189"/>
      <c s="7" r="T1189"/>
      <c s="7" r="U1189"/>
      <c s="7" r="V1189"/>
      <c s="30" r="W1189"/>
      <c s="30" r="X1189"/>
      <c s="30" r="Y1189"/>
      <c s="30" r="Z1189"/>
      <c s="30" r="AA1189"/>
      <c s="30" r="AB1189"/>
      <c s="30" r="AC1189"/>
      <c s="30" r="AD1189"/>
      <c s="30" r="AE1189"/>
      <c s="10" r="AF1189"/>
      <c s="10" r="AG1189"/>
      <c s="10" r="AH1189"/>
      <c s="10" r="AI1189"/>
      <c s="10" r="AJ1189"/>
      <c s="10" r="AK1189"/>
      <c s="30" r="AL1189"/>
    </row>
    <row r="1190">
      <c s="30" r="A1190"/>
      <c s="30" r="B1190"/>
      <c s="30" r="C1190"/>
      <c s="30" r="D1190"/>
      <c s="16" r="E1190"/>
      <c s="16" r="F1190"/>
      <c s="16" r="G1190"/>
      <c s="16" r="H1190"/>
      <c s="16" r="I1190"/>
      <c s="16" r="J1190"/>
      <c s="16" r="K1190"/>
      <c s="80" r="L1190"/>
      <c s="79" r="M1190"/>
      <c s="79" r="N1190"/>
      <c s="79" r="O1190"/>
      <c s="79" r="P1190"/>
      <c s="17" r="Q1190"/>
      <c s="17" r="R1190"/>
      <c s="7" r="S1190"/>
      <c s="7" r="T1190"/>
      <c s="7" r="U1190"/>
      <c s="7" r="V1190"/>
      <c s="30" r="W1190"/>
      <c s="30" r="X1190"/>
      <c s="30" r="Y1190"/>
      <c s="30" r="Z1190"/>
      <c s="30" r="AA1190"/>
      <c s="30" r="AB1190"/>
      <c s="30" r="AC1190"/>
      <c s="30" r="AD1190"/>
      <c s="30" r="AE1190"/>
      <c s="10" r="AF1190"/>
      <c s="10" r="AG1190"/>
      <c s="10" r="AH1190"/>
      <c s="10" r="AI1190"/>
      <c s="10" r="AJ1190"/>
      <c s="10" r="AK1190"/>
      <c s="30" r="AL1190"/>
    </row>
    <row r="1191">
      <c s="30" r="A1191"/>
      <c s="30" r="B1191"/>
      <c s="30" r="C1191"/>
      <c s="30" r="D1191"/>
      <c s="16" r="E1191"/>
      <c s="16" r="F1191"/>
      <c s="16" r="G1191"/>
      <c s="16" r="H1191"/>
      <c s="16" r="I1191"/>
      <c s="16" r="J1191"/>
      <c s="16" r="K1191"/>
      <c s="80" r="L1191"/>
      <c s="79" r="M1191"/>
      <c s="79" r="N1191"/>
      <c s="79" r="O1191"/>
      <c s="79" r="P1191"/>
      <c s="17" r="Q1191"/>
      <c s="17" r="R1191"/>
      <c s="7" r="S1191"/>
      <c s="7" r="T1191"/>
      <c s="7" r="U1191"/>
      <c s="7" r="V1191"/>
      <c s="30" r="W1191"/>
      <c s="30" r="X1191"/>
      <c s="30" r="Y1191"/>
      <c s="30" r="Z1191"/>
      <c s="30" r="AA1191"/>
      <c s="30" r="AB1191"/>
      <c s="30" r="AC1191"/>
      <c s="30" r="AD1191"/>
      <c s="30" r="AE1191"/>
      <c s="10" r="AF1191"/>
      <c s="10" r="AG1191"/>
      <c s="10" r="AH1191"/>
      <c s="10" r="AI1191"/>
      <c s="10" r="AJ1191"/>
      <c s="10" r="AK1191"/>
      <c s="30" r="AL1191"/>
    </row>
    <row r="1192">
      <c s="30" r="A1192"/>
      <c s="30" r="B1192"/>
      <c s="30" r="C1192"/>
      <c s="30" r="D1192"/>
      <c s="16" r="E1192"/>
      <c s="16" r="F1192"/>
      <c s="16" r="G1192"/>
      <c s="16" r="H1192"/>
      <c s="16" r="I1192"/>
      <c s="16" r="J1192"/>
      <c s="16" r="K1192"/>
      <c s="80" r="L1192"/>
      <c s="79" r="M1192"/>
      <c s="79" r="N1192"/>
      <c s="79" r="O1192"/>
      <c s="79" r="P1192"/>
      <c s="17" r="Q1192"/>
      <c s="17" r="R1192"/>
      <c s="7" r="S1192"/>
      <c s="7" r="T1192"/>
      <c s="7" r="U1192"/>
      <c s="7" r="V1192"/>
      <c s="30" r="W1192"/>
      <c s="30" r="X1192"/>
      <c s="30" r="Y1192"/>
      <c s="30" r="Z1192"/>
      <c s="30" r="AA1192"/>
      <c s="30" r="AB1192"/>
      <c s="30" r="AC1192"/>
      <c s="30" r="AD1192"/>
      <c s="30" r="AE1192"/>
      <c s="10" r="AF1192"/>
      <c s="10" r="AG1192"/>
      <c s="10" r="AH1192"/>
      <c s="10" r="AI1192"/>
      <c s="10" r="AJ1192"/>
      <c s="10" r="AK1192"/>
      <c s="30" r="AL1192"/>
    </row>
    <row r="1193">
      <c s="30" r="A1193"/>
      <c s="30" r="B1193"/>
      <c s="30" r="C1193"/>
      <c s="30" r="D1193"/>
      <c s="16" r="E1193"/>
      <c s="16" r="F1193"/>
      <c s="16" r="G1193"/>
      <c s="16" r="H1193"/>
      <c s="16" r="I1193"/>
      <c s="16" r="J1193"/>
      <c s="16" r="K1193"/>
      <c s="80" r="L1193"/>
      <c s="79" r="M1193"/>
      <c s="79" r="N1193"/>
      <c s="79" r="O1193"/>
      <c s="79" r="P1193"/>
      <c s="17" r="Q1193"/>
      <c s="17" r="R1193"/>
      <c s="7" r="S1193"/>
      <c s="7" r="T1193"/>
      <c s="7" r="U1193"/>
      <c s="7" r="V1193"/>
      <c s="30" r="W1193"/>
      <c s="30" r="X1193"/>
      <c s="30" r="Y1193"/>
      <c s="30" r="Z1193"/>
      <c s="30" r="AA1193"/>
      <c s="30" r="AB1193"/>
      <c s="30" r="AC1193"/>
      <c s="30" r="AD1193"/>
      <c s="30" r="AE1193"/>
      <c s="10" r="AF1193"/>
      <c s="10" r="AG1193"/>
      <c s="10" r="AH1193"/>
      <c s="10" r="AI1193"/>
      <c s="10" r="AJ1193"/>
      <c s="10" r="AK1193"/>
      <c s="30" r="AL1193"/>
    </row>
    <row r="1194">
      <c s="30" r="A1194"/>
      <c s="30" r="B1194"/>
      <c s="30" r="C1194"/>
      <c s="30" r="D1194"/>
      <c s="16" r="E1194"/>
      <c s="16" r="F1194"/>
      <c s="16" r="G1194"/>
      <c s="16" r="H1194"/>
      <c s="16" r="I1194"/>
      <c s="16" r="J1194"/>
      <c s="16" r="K1194"/>
      <c s="80" r="L1194"/>
      <c s="79" r="M1194"/>
      <c s="79" r="N1194"/>
      <c s="79" r="O1194"/>
      <c s="79" r="P1194"/>
      <c s="17" r="Q1194"/>
      <c s="17" r="R1194"/>
      <c s="7" r="S1194"/>
      <c s="7" r="T1194"/>
      <c s="7" r="U1194"/>
      <c s="7" r="V1194"/>
      <c s="30" r="W1194"/>
      <c s="30" r="X1194"/>
      <c s="30" r="Y1194"/>
      <c s="30" r="Z1194"/>
      <c s="30" r="AA1194"/>
      <c s="30" r="AB1194"/>
      <c s="30" r="AC1194"/>
      <c s="30" r="AD1194"/>
      <c s="30" r="AE1194"/>
      <c s="10" r="AF1194"/>
      <c s="10" r="AG1194"/>
      <c s="10" r="AH1194"/>
      <c s="10" r="AI1194"/>
      <c s="10" r="AJ1194"/>
      <c s="10" r="AK1194"/>
      <c s="30" r="AL1194"/>
    </row>
    <row r="1195">
      <c s="30" r="A1195"/>
      <c s="30" r="B1195"/>
      <c s="30" r="C1195"/>
      <c s="30" r="D1195"/>
      <c s="16" r="E1195"/>
      <c s="16" r="F1195"/>
      <c s="16" r="G1195"/>
      <c s="16" r="H1195"/>
      <c s="16" r="I1195"/>
      <c s="16" r="J1195"/>
      <c s="16" r="K1195"/>
      <c s="80" r="L1195"/>
      <c s="79" r="M1195"/>
      <c s="79" r="N1195"/>
      <c s="79" r="O1195"/>
      <c s="79" r="P1195"/>
      <c s="17" r="Q1195"/>
      <c s="17" r="R1195"/>
      <c s="7" r="S1195"/>
      <c s="7" r="T1195"/>
      <c s="7" r="U1195"/>
      <c s="7" r="V1195"/>
      <c s="30" r="W1195"/>
      <c s="30" r="X1195"/>
      <c s="30" r="Y1195"/>
      <c s="30" r="Z1195"/>
      <c s="30" r="AA1195"/>
      <c s="30" r="AB1195"/>
      <c s="30" r="AC1195"/>
      <c s="30" r="AD1195"/>
      <c s="30" r="AE1195"/>
      <c s="10" r="AF1195"/>
      <c s="10" r="AG1195"/>
      <c s="10" r="AH1195"/>
      <c s="10" r="AI1195"/>
      <c s="10" r="AJ1195"/>
      <c s="10" r="AK1195"/>
      <c s="30" r="AL1195"/>
    </row>
    <row r="1196">
      <c s="30" r="A1196"/>
      <c s="30" r="B1196"/>
      <c s="30" r="C1196"/>
      <c s="30" r="D1196"/>
      <c s="16" r="E1196"/>
      <c s="16" r="F1196"/>
      <c s="16" r="G1196"/>
      <c s="16" r="H1196"/>
      <c s="16" r="I1196"/>
      <c s="16" r="J1196"/>
      <c s="16" r="K1196"/>
      <c s="80" r="L1196"/>
      <c s="79" r="M1196"/>
      <c s="79" r="N1196"/>
      <c s="79" r="O1196"/>
      <c s="79" r="P1196"/>
      <c s="17" r="Q1196"/>
      <c s="17" r="R1196"/>
      <c s="7" r="S1196"/>
      <c s="7" r="T1196"/>
      <c s="7" r="U1196"/>
      <c s="7" r="V1196"/>
      <c s="30" r="W1196"/>
      <c s="30" r="X1196"/>
      <c s="30" r="Y1196"/>
      <c s="30" r="Z1196"/>
      <c s="30" r="AA1196"/>
      <c s="30" r="AB1196"/>
      <c s="30" r="AC1196"/>
      <c s="30" r="AD1196"/>
      <c s="30" r="AE1196"/>
      <c s="10" r="AF1196"/>
      <c s="10" r="AG1196"/>
      <c s="10" r="AH1196"/>
      <c s="10" r="AI1196"/>
      <c s="10" r="AJ1196"/>
      <c s="10" r="AK1196"/>
      <c s="30" r="AL1196"/>
    </row>
    <row r="1197">
      <c s="30" r="A1197"/>
      <c s="30" r="B1197"/>
      <c s="30" r="C1197"/>
      <c s="30" r="D1197"/>
      <c s="16" r="E1197"/>
      <c s="16" r="F1197"/>
      <c s="16" r="G1197"/>
      <c s="16" r="H1197"/>
      <c s="16" r="I1197"/>
      <c s="16" r="J1197"/>
      <c s="16" r="K1197"/>
      <c s="80" r="L1197"/>
      <c s="79" r="M1197"/>
      <c s="79" r="N1197"/>
      <c s="79" r="O1197"/>
      <c s="79" r="P1197"/>
      <c s="17" r="Q1197"/>
      <c s="17" r="R1197"/>
      <c s="7" r="S1197"/>
      <c s="7" r="T1197"/>
      <c s="7" r="U1197"/>
      <c s="7" r="V1197"/>
      <c s="30" r="W1197"/>
      <c s="30" r="X1197"/>
      <c s="30" r="Y1197"/>
      <c s="30" r="Z1197"/>
      <c s="30" r="AA1197"/>
      <c s="30" r="AB1197"/>
      <c s="30" r="AC1197"/>
      <c s="30" r="AD1197"/>
      <c s="30" r="AE1197"/>
      <c s="10" r="AF1197"/>
      <c s="10" r="AG1197"/>
      <c s="10" r="AH1197"/>
      <c s="10" r="AI1197"/>
      <c s="10" r="AJ1197"/>
      <c s="10" r="AK1197"/>
      <c s="30" r="AL1197"/>
    </row>
    <row r="1198">
      <c s="30" r="A1198"/>
      <c s="30" r="B1198"/>
      <c s="30" r="C1198"/>
      <c s="30" r="D1198"/>
      <c s="16" r="E1198"/>
      <c s="16" r="F1198"/>
      <c s="16" r="G1198"/>
      <c s="16" r="H1198"/>
      <c s="16" r="I1198"/>
      <c s="16" r="J1198"/>
      <c s="16" r="K1198"/>
      <c s="80" r="L1198"/>
      <c s="79" r="M1198"/>
      <c s="79" r="N1198"/>
      <c s="79" r="O1198"/>
      <c s="79" r="P1198"/>
      <c s="17" r="Q1198"/>
      <c s="17" r="R1198"/>
      <c s="7" r="S1198"/>
      <c s="7" r="T1198"/>
      <c s="7" r="U1198"/>
      <c s="7" r="V1198"/>
      <c s="30" r="W1198"/>
      <c s="30" r="X1198"/>
      <c s="30" r="Y1198"/>
      <c s="30" r="Z1198"/>
      <c s="30" r="AA1198"/>
      <c s="30" r="AB1198"/>
      <c s="30" r="AC1198"/>
      <c s="30" r="AD1198"/>
      <c s="30" r="AE1198"/>
      <c s="10" r="AF1198"/>
      <c s="10" r="AG1198"/>
      <c s="10" r="AH1198"/>
      <c s="10" r="AI1198"/>
      <c s="10" r="AJ1198"/>
      <c s="10" r="AK1198"/>
      <c s="30" r="AL1198"/>
    </row>
    <row r="1199">
      <c s="30" r="A1199"/>
      <c s="30" r="B1199"/>
      <c s="30" r="C1199"/>
      <c s="30" r="D1199"/>
      <c s="16" r="E1199"/>
      <c s="16" r="F1199"/>
      <c s="16" r="G1199"/>
      <c s="16" r="H1199"/>
      <c s="16" r="I1199"/>
      <c s="16" r="J1199"/>
      <c s="16" r="K1199"/>
      <c s="80" r="L1199"/>
      <c s="79" r="M1199"/>
      <c s="79" r="N1199"/>
      <c s="79" r="O1199"/>
      <c s="79" r="P1199"/>
      <c s="17" r="Q1199"/>
      <c s="17" r="R1199"/>
      <c s="7" r="S1199"/>
      <c s="7" r="T1199"/>
      <c s="7" r="U1199"/>
      <c s="7" r="V1199"/>
      <c s="30" r="W1199"/>
      <c s="30" r="X1199"/>
      <c s="30" r="Y1199"/>
      <c s="30" r="Z1199"/>
      <c s="30" r="AA1199"/>
      <c s="30" r="AB1199"/>
      <c s="30" r="AC1199"/>
      <c s="30" r="AD1199"/>
      <c s="30" r="AE1199"/>
      <c s="10" r="AF1199"/>
      <c s="10" r="AG1199"/>
      <c s="10" r="AH1199"/>
      <c s="10" r="AI1199"/>
      <c s="10" r="AJ1199"/>
      <c s="10" r="AK1199"/>
      <c s="30" r="AL1199"/>
    </row>
    <row r="1200">
      <c s="30" r="A1200"/>
      <c s="30" r="B1200"/>
      <c s="30" r="C1200"/>
      <c s="30" r="D1200"/>
      <c s="16" r="E1200"/>
      <c s="16" r="F1200"/>
      <c s="16" r="G1200"/>
      <c s="16" r="H1200"/>
      <c s="16" r="I1200"/>
      <c s="16" r="J1200"/>
      <c s="16" r="K1200"/>
      <c s="80" r="L1200"/>
      <c s="79" r="M1200"/>
      <c s="79" r="N1200"/>
      <c s="79" r="O1200"/>
      <c s="79" r="P1200"/>
      <c s="17" r="Q1200"/>
      <c s="17" r="R1200"/>
      <c s="7" r="S1200"/>
      <c s="7" r="T1200"/>
      <c s="7" r="U1200"/>
      <c s="7" r="V1200"/>
      <c s="30" r="W1200"/>
      <c s="30" r="X1200"/>
      <c s="30" r="Y1200"/>
      <c s="30" r="Z1200"/>
      <c s="30" r="AA1200"/>
      <c s="30" r="AB1200"/>
      <c s="30" r="AC1200"/>
      <c s="30" r="AD1200"/>
      <c s="30" r="AE1200"/>
      <c s="10" r="AF1200"/>
      <c s="10" r="AG1200"/>
      <c s="10" r="AH1200"/>
      <c s="10" r="AI1200"/>
      <c s="10" r="AJ1200"/>
      <c s="10" r="AK1200"/>
      <c s="30" r="AL1200"/>
    </row>
    <row r="1201">
      <c s="30" r="A1201"/>
      <c s="30" r="B1201"/>
      <c s="30" r="C1201"/>
      <c s="30" r="D1201"/>
      <c s="16" r="E1201"/>
      <c s="16" r="F1201"/>
      <c s="16" r="G1201"/>
      <c s="16" r="H1201"/>
      <c s="16" r="I1201"/>
      <c s="16" r="J1201"/>
      <c s="16" r="K1201"/>
      <c s="80" r="L1201"/>
      <c s="79" r="M1201"/>
      <c s="79" r="N1201"/>
      <c s="79" r="O1201"/>
      <c s="79" r="P1201"/>
      <c s="17" r="Q1201"/>
      <c s="17" r="R1201"/>
      <c s="7" r="S1201"/>
      <c s="7" r="T1201"/>
      <c s="7" r="U1201"/>
      <c s="7" r="V1201"/>
      <c s="30" r="W1201"/>
      <c s="30" r="X1201"/>
      <c s="30" r="Y1201"/>
      <c s="30" r="Z1201"/>
      <c s="30" r="AA1201"/>
      <c s="30" r="AB1201"/>
      <c s="30" r="AC1201"/>
      <c s="30" r="AD1201"/>
      <c s="30" r="AE1201"/>
      <c s="10" r="AF1201"/>
      <c s="10" r="AG1201"/>
      <c s="10" r="AH1201"/>
      <c s="10" r="AI1201"/>
      <c s="10" r="AJ1201"/>
      <c s="10" r="AK1201"/>
      <c s="30" r="AL1201"/>
    </row>
    <row r="1202">
      <c s="30" r="A1202"/>
      <c s="30" r="B1202"/>
      <c s="30" r="C1202"/>
      <c s="30" r="D1202"/>
      <c s="16" r="E1202"/>
      <c s="16" r="F1202"/>
      <c s="16" r="G1202"/>
      <c s="16" r="H1202"/>
      <c s="16" r="I1202"/>
      <c s="16" r="J1202"/>
      <c s="16" r="K1202"/>
      <c s="80" r="L1202"/>
      <c s="79" r="M1202"/>
      <c s="79" r="N1202"/>
      <c s="79" r="O1202"/>
      <c s="79" r="P1202"/>
      <c s="17" r="Q1202"/>
      <c s="17" r="R1202"/>
      <c s="7" r="S1202"/>
      <c s="7" r="T1202"/>
      <c s="7" r="U1202"/>
      <c s="7" r="V1202"/>
      <c s="30" r="W1202"/>
      <c s="30" r="X1202"/>
      <c s="30" r="Y1202"/>
      <c s="30" r="Z1202"/>
      <c s="30" r="AA1202"/>
      <c s="30" r="AB1202"/>
      <c s="30" r="AC1202"/>
      <c s="30" r="AD1202"/>
      <c s="30" r="AE1202"/>
      <c s="10" r="AF1202"/>
      <c s="10" r="AG1202"/>
      <c s="10" r="AH1202"/>
      <c s="10" r="AI1202"/>
      <c s="10" r="AJ1202"/>
      <c s="10" r="AK1202"/>
      <c s="30" r="AL1202"/>
    </row>
    <row r="1203">
      <c s="30" r="A1203"/>
      <c s="30" r="B1203"/>
      <c s="30" r="C1203"/>
      <c s="30" r="D1203"/>
      <c s="16" r="E1203"/>
      <c s="16" r="F1203"/>
      <c s="16" r="G1203"/>
      <c s="16" r="H1203"/>
      <c s="16" r="I1203"/>
      <c s="16" r="J1203"/>
      <c s="16" r="K1203"/>
      <c s="80" r="L1203"/>
      <c s="79" r="M1203"/>
      <c s="79" r="N1203"/>
      <c s="79" r="O1203"/>
      <c s="79" r="P1203"/>
      <c s="17" r="Q1203"/>
      <c s="17" r="R1203"/>
      <c s="7" r="S1203"/>
      <c s="7" r="T1203"/>
      <c s="7" r="U1203"/>
      <c s="7" r="V1203"/>
      <c s="30" r="W1203"/>
      <c s="30" r="X1203"/>
      <c s="30" r="Y1203"/>
      <c s="30" r="Z1203"/>
      <c s="30" r="AA1203"/>
      <c s="30" r="AB1203"/>
      <c s="30" r="AC1203"/>
      <c s="30" r="AD1203"/>
      <c s="30" r="AE1203"/>
      <c s="10" r="AF1203"/>
      <c s="10" r="AG1203"/>
      <c s="10" r="AH1203"/>
      <c s="10" r="AI1203"/>
      <c s="10" r="AJ1203"/>
      <c s="10" r="AK1203"/>
      <c s="30" r="AL1203"/>
    </row>
    <row r="1204">
      <c s="30" r="A1204"/>
      <c s="30" r="B1204"/>
      <c s="30" r="C1204"/>
      <c s="30" r="D1204"/>
      <c s="16" r="E1204"/>
      <c s="16" r="F1204"/>
      <c s="16" r="G1204"/>
      <c s="16" r="H1204"/>
      <c s="16" r="I1204"/>
      <c s="16" r="J1204"/>
      <c s="16" r="K1204"/>
      <c s="80" r="L1204"/>
      <c s="79" r="M1204"/>
      <c s="79" r="N1204"/>
      <c s="79" r="O1204"/>
      <c s="79" r="P1204"/>
      <c s="17" r="Q1204"/>
      <c s="17" r="R1204"/>
      <c s="7" r="S1204"/>
      <c s="7" r="T1204"/>
      <c s="7" r="U1204"/>
      <c s="7" r="V1204"/>
      <c s="30" r="W1204"/>
      <c s="30" r="X1204"/>
      <c s="30" r="Y1204"/>
      <c s="30" r="Z1204"/>
      <c s="30" r="AA1204"/>
      <c s="30" r="AB1204"/>
      <c s="30" r="AC1204"/>
      <c s="30" r="AD1204"/>
      <c s="30" r="AE1204"/>
      <c s="10" r="AF1204"/>
      <c s="10" r="AG1204"/>
      <c s="10" r="AH1204"/>
      <c s="10" r="AI1204"/>
      <c s="10" r="AJ1204"/>
      <c s="10" r="AK1204"/>
      <c s="30" r="AL1204"/>
    </row>
    <row r="1205">
      <c s="30" r="A1205"/>
      <c s="30" r="B1205"/>
      <c s="30" r="C1205"/>
      <c s="30" r="D1205"/>
      <c s="16" r="E1205"/>
      <c s="16" r="F1205"/>
      <c s="16" r="G1205"/>
      <c s="16" r="H1205"/>
      <c s="16" r="I1205"/>
      <c s="16" r="J1205"/>
      <c s="16" r="K1205"/>
      <c s="80" r="L1205"/>
      <c s="79" r="M1205"/>
      <c s="79" r="N1205"/>
      <c s="79" r="O1205"/>
      <c s="79" r="P1205"/>
      <c s="17" r="Q1205"/>
      <c s="17" r="R1205"/>
      <c s="7" r="S1205"/>
      <c s="7" r="T1205"/>
      <c s="7" r="U1205"/>
      <c s="7" r="V1205"/>
      <c s="30" r="W1205"/>
      <c s="30" r="X1205"/>
      <c s="30" r="Y1205"/>
      <c s="30" r="Z1205"/>
      <c s="30" r="AA1205"/>
      <c s="30" r="AB1205"/>
      <c s="30" r="AC1205"/>
      <c s="30" r="AD1205"/>
      <c s="30" r="AE1205"/>
      <c s="10" r="AF1205"/>
      <c s="10" r="AG1205"/>
      <c s="10" r="AH1205"/>
      <c s="10" r="AI1205"/>
      <c s="10" r="AJ1205"/>
      <c s="10" r="AK1205"/>
      <c s="30" r="AL1205"/>
    </row>
    <row r="1206">
      <c s="30" r="A1206"/>
      <c s="30" r="B1206"/>
      <c s="30" r="C1206"/>
      <c s="30" r="D1206"/>
      <c s="16" r="E1206"/>
      <c s="16" r="F1206"/>
      <c s="16" r="G1206"/>
      <c s="16" r="H1206"/>
      <c s="16" r="I1206"/>
      <c s="16" r="J1206"/>
      <c s="16" r="K1206"/>
      <c s="80" r="L1206"/>
      <c s="79" r="M1206"/>
      <c s="79" r="N1206"/>
      <c s="79" r="O1206"/>
      <c s="79" r="P1206"/>
      <c s="17" r="Q1206"/>
      <c s="17" r="R1206"/>
      <c s="7" r="S1206"/>
      <c s="7" r="T1206"/>
      <c s="7" r="U1206"/>
      <c s="7" r="V1206"/>
      <c s="30" r="W1206"/>
      <c s="30" r="X1206"/>
      <c s="30" r="Y1206"/>
      <c s="30" r="Z1206"/>
      <c s="30" r="AA1206"/>
      <c s="30" r="AB1206"/>
      <c s="30" r="AC1206"/>
      <c s="30" r="AD1206"/>
      <c s="30" r="AE1206"/>
      <c s="10" r="AF1206"/>
      <c s="10" r="AG1206"/>
      <c s="10" r="AH1206"/>
      <c s="10" r="AI1206"/>
      <c s="10" r="AJ1206"/>
      <c s="10" r="AK1206"/>
      <c s="30" r="AL1206"/>
    </row>
    <row r="1207">
      <c s="30" r="A1207"/>
      <c s="30" r="B1207"/>
      <c s="30" r="C1207"/>
      <c s="30" r="D1207"/>
      <c s="16" r="E1207"/>
      <c s="16" r="F1207"/>
      <c s="16" r="G1207"/>
      <c s="16" r="H1207"/>
      <c s="16" r="I1207"/>
      <c s="16" r="J1207"/>
      <c s="16" r="K1207"/>
      <c s="80" r="L1207"/>
      <c s="79" r="M1207"/>
      <c s="79" r="N1207"/>
      <c s="79" r="O1207"/>
      <c s="79" r="P1207"/>
      <c s="17" r="Q1207"/>
      <c s="17" r="R1207"/>
      <c s="7" r="S1207"/>
      <c s="7" r="T1207"/>
      <c s="7" r="U1207"/>
      <c s="7" r="V1207"/>
      <c s="30" r="W1207"/>
      <c s="30" r="X1207"/>
      <c s="30" r="Y1207"/>
      <c s="30" r="Z1207"/>
      <c s="30" r="AA1207"/>
      <c s="30" r="AB1207"/>
      <c s="30" r="AC1207"/>
      <c s="30" r="AD1207"/>
      <c s="30" r="AE1207"/>
      <c s="10" r="AF1207"/>
      <c s="10" r="AG1207"/>
      <c s="10" r="AH1207"/>
      <c s="10" r="AI1207"/>
      <c s="10" r="AJ1207"/>
      <c s="10" r="AK1207"/>
      <c s="30" r="AL1207"/>
    </row>
    <row r="1208">
      <c s="30" r="A1208"/>
      <c s="30" r="B1208"/>
      <c s="30" r="C1208"/>
      <c s="30" r="D1208"/>
      <c s="16" r="E1208"/>
      <c s="16" r="F1208"/>
      <c s="16" r="G1208"/>
      <c s="16" r="H1208"/>
      <c s="16" r="I1208"/>
      <c s="16" r="J1208"/>
      <c s="16" r="K1208"/>
      <c s="80" r="L1208"/>
      <c s="79" r="M1208"/>
      <c s="79" r="N1208"/>
      <c s="79" r="O1208"/>
      <c s="79" r="P1208"/>
      <c s="17" r="Q1208"/>
      <c s="17" r="R1208"/>
      <c s="7" r="S1208"/>
      <c s="7" r="T1208"/>
      <c s="7" r="U1208"/>
      <c s="7" r="V1208"/>
      <c s="30" r="W1208"/>
      <c s="30" r="X1208"/>
      <c s="30" r="Y1208"/>
      <c s="30" r="Z1208"/>
      <c s="30" r="AA1208"/>
      <c s="30" r="AB1208"/>
      <c s="30" r="AC1208"/>
      <c s="30" r="AD1208"/>
      <c s="30" r="AE1208"/>
      <c s="10" r="AF1208"/>
      <c s="10" r="AG1208"/>
      <c s="10" r="AH1208"/>
      <c s="10" r="AI1208"/>
      <c s="10" r="AJ1208"/>
      <c s="10" r="AK1208"/>
      <c s="30" r="AL1208"/>
    </row>
    <row r="1209">
      <c s="30" r="A1209"/>
      <c s="30" r="B1209"/>
      <c s="30" r="C1209"/>
      <c s="30" r="D1209"/>
      <c s="16" r="E1209"/>
      <c s="16" r="F1209"/>
      <c s="16" r="G1209"/>
      <c s="16" r="H1209"/>
      <c s="16" r="I1209"/>
      <c s="16" r="J1209"/>
      <c s="16" r="K1209"/>
      <c s="80" r="L1209"/>
      <c s="79" r="M1209"/>
      <c s="79" r="N1209"/>
      <c s="79" r="O1209"/>
      <c s="79" r="P1209"/>
      <c s="17" r="Q1209"/>
      <c s="17" r="R1209"/>
      <c s="7" r="S1209"/>
      <c s="7" r="T1209"/>
      <c s="7" r="U1209"/>
      <c s="7" r="V1209"/>
      <c s="30" r="W1209"/>
      <c s="30" r="X1209"/>
      <c s="30" r="Y1209"/>
      <c s="30" r="Z1209"/>
      <c s="30" r="AA1209"/>
      <c s="30" r="AB1209"/>
      <c s="30" r="AC1209"/>
      <c s="30" r="AD1209"/>
      <c s="30" r="AE1209"/>
      <c s="10" r="AF1209"/>
      <c s="10" r="AG1209"/>
      <c s="10" r="AH1209"/>
      <c s="10" r="AI1209"/>
      <c s="10" r="AJ1209"/>
      <c s="10" r="AK1209"/>
      <c s="30" r="AL1209"/>
    </row>
    <row r="1210">
      <c s="30" r="A1210"/>
      <c s="30" r="B1210"/>
      <c s="30" r="C1210"/>
      <c s="30" r="D1210"/>
      <c s="16" r="E1210"/>
      <c s="16" r="F1210"/>
      <c s="16" r="G1210"/>
      <c s="16" r="H1210"/>
      <c s="16" r="I1210"/>
      <c s="16" r="J1210"/>
      <c s="16" r="K1210"/>
      <c s="80" r="L1210"/>
      <c s="79" r="M1210"/>
      <c s="79" r="N1210"/>
      <c s="79" r="O1210"/>
      <c s="79" r="P1210"/>
      <c s="17" r="Q1210"/>
      <c s="17" r="R1210"/>
      <c s="7" r="S1210"/>
      <c s="7" r="T1210"/>
      <c s="7" r="U1210"/>
      <c s="7" r="V1210"/>
      <c s="30" r="W1210"/>
      <c s="30" r="X1210"/>
      <c s="30" r="Y1210"/>
      <c s="30" r="Z1210"/>
      <c s="30" r="AA1210"/>
      <c s="30" r="AB1210"/>
      <c s="30" r="AC1210"/>
      <c s="30" r="AD1210"/>
      <c s="30" r="AE1210"/>
      <c s="10" r="AF1210"/>
      <c s="10" r="AG1210"/>
      <c s="10" r="AH1210"/>
      <c s="10" r="AI1210"/>
      <c s="10" r="AJ1210"/>
      <c s="10" r="AK1210"/>
      <c s="30" r="AL1210"/>
    </row>
    <row r="1211">
      <c s="30" r="A1211"/>
      <c s="30" r="B1211"/>
      <c s="30" r="C1211"/>
      <c s="30" r="D1211"/>
      <c s="16" r="E1211"/>
      <c s="16" r="F1211"/>
      <c s="16" r="G1211"/>
      <c s="16" r="H1211"/>
      <c s="16" r="I1211"/>
      <c s="16" r="J1211"/>
      <c s="16" r="K1211"/>
      <c s="80" r="L1211"/>
      <c s="79" r="M1211"/>
      <c s="79" r="N1211"/>
      <c s="79" r="O1211"/>
      <c s="79" r="P1211"/>
      <c s="17" r="Q1211"/>
      <c s="17" r="R1211"/>
      <c s="7" r="S1211"/>
      <c s="7" r="T1211"/>
      <c s="7" r="U1211"/>
      <c s="7" r="V1211"/>
      <c s="30" r="W1211"/>
      <c s="30" r="X1211"/>
      <c s="30" r="Y1211"/>
      <c s="30" r="Z1211"/>
      <c s="30" r="AA1211"/>
      <c s="30" r="AB1211"/>
      <c s="30" r="AC1211"/>
      <c s="30" r="AD1211"/>
      <c s="30" r="AE1211"/>
      <c s="10" r="AF1211"/>
      <c s="10" r="AG1211"/>
      <c s="10" r="AH1211"/>
      <c s="10" r="AI1211"/>
      <c s="10" r="AJ1211"/>
      <c s="10" r="AK1211"/>
      <c s="30" r="AL1211"/>
    </row>
    <row r="1212">
      <c s="30" r="A1212"/>
      <c s="30" r="B1212"/>
      <c s="30" r="C1212"/>
      <c s="30" r="D1212"/>
      <c s="16" r="E1212"/>
      <c s="16" r="F1212"/>
      <c s="16" r="G1212"/>
      <c s="16" r="H1212"/>
      <c s="16" r="I1212"/>
      <c s="16" r="J1212"/>
      <c s="16" r="K1212"/>
      <c s="80" r="L1212"/>
      <c s="79" r="M1212"/>
      <c s="79" r="N1212"/>
      <c s="79" r="O1212"/>
      <c s="79" r="P1212"/>
      <c s="17" r="Q1212"/>
      <c s="17" r="R1212"/>
      <c s="7" r="S1212"/>
      <c s="7" r="T1212"/>
      <c s="7" r="U1212"/>
      <c s="7" r="V1212"/>
      <c s="30" r="W1212"/>
      <c s="30" r="X1212"/>
      <c s="30" r="Y1212"/>
      <c s="30" r="Z1212"/>
      <c s="30" r="AA1212"/>
      <c s="30" r="AB1212"/>
      <c s="30" r="AC1212"/>
      <c s="30" r="AD1212"/>
      <c s="30" r="AE1212"/>
      <c s="10" r="AF1212"/>
      <c s="10" r="AG1212"/>
      <c s="10" r="AH1212"/>
      <c s="10" r="AI1212"/>
      <c s="10" r="AJ1212"/>
      <c s="10" r="AK1212"/>
      <c s="30" r="AL1212"/>
    </row>
    <row r="1213">
      <c s="30" r="A1213"/>
      <c s="30" r="B1213"/>
      <c s="30" r="C1213"/>
      <c s="30" r="D1213"/>
      <c s="16" r="E1213"/>
      <c s="16" r="F1213"/>
      <c s="16" r="G1213"/>
      <c s="16" r="H1213"/>
      <c s="16" r="I1213"/>
      <c s="16" r="J1213"/>
      <c s="16" r="K1213"/>
      <c s="80" r="L1213"/>
      <c s="79" r="M1213"/>
      <c s="79" r="N1213"/>
      <c s="79" r="O1213"/>
      <c s="79" r="P1213"/>
      <c s="17" r="Q1213"/>
      <c s="17" r="R1213"/>
      <c s="7" r="S1213"/>
      <c s="7" r="T1213"/>
      <c s="7" r="U1213"/>
      <c s="7" r="V1213"/>
      <c s="30" r="W1213"/>
      <c s="30" r="X1213"/>
      <c s="30" r="Y1213"/>
      <c s="30" r="Z1213"/>
      <c s="30" r="AA1213"/>
      <c s="30" r="AB1213"/>
      <c s="30" r="AC1213"/>
      <c s="30" r="AD1213"/>
      <c s="30" r="AE1213"/>
      <c s="10" r="AF1213"/>
      <c s="10" r="AG1213"/>
      <c s="10" r="AH1213"/>
      <c s="10" r="AI1213"/>
      <c s="10" r="AJ1213"/>
      <c s="10" r="AK1213"/>
      <c s="30" r="AL1213"/>
    </row>
    <row r="1214">
      <c s="30" r="A1214"/>
      <c s="30" r="B1214"/>
      <c s="30" r="C1214"/>
      <c s="30" r="D1214"/>
      <c s="16" r="E1214"/>
      <c s="16" r="F1214"/>
      <c s="16" r="G1214"/>
      <c s="16" r="H1214"/>
      <c s="16" r="I1214"/>
      <c s="16" r="J1214"/>
      <c s="16" r="K1214"/>
      <c s="80" r="L1214"/>
      <c s="79" r="M1214"/>
      <c s="79" r="N1214"/>
      <c s="79" r="O1214"/>
      <c s="79" r="P1214"/>
      <c s="17" r="Q1214"/>
      <c s="17" r="R1214"/>
      <c s="7" r="S1214"/>
      <c s="7" r="T1214"/>
      <c s="7" r="U1214"/>
      <c s="7" r="V1214"/>
      <c s="30" r="W1214"/>
      <c s="30" r="X1214"/>
      <c s="30" r="Y1214"/>
      <c s="30" r="Z1214"/>
      <c s="30" r="AA1214"/>
      <c s="30" r="AB1214"/>
      <c s="30" r="AC1214"/>
      <c s="30" r="AD1214"/>
      <c s="30" r="AE1214"/>
      <c s="10" r="AF1214"/>
      <c s="10" r="AG1214"/>
      <c s="10" r="AH1214"/>
      <c s="10" r="AI1214"/>
      <c s="10" r="AJ1214"/>
      <c s="10" r="AK1214"/>
      <c s="30" r="AL1214"/>
    </row>
    <row r="1215">
      <c s="30" r="A1215"/>
      <c s="30" r="B1215"/>
      <c s="30" r="C1215"/>
      <c s="30" r="D1215"/>
      <c s="16" r="E1215"/>
      <c s="16" r="F1215"/>
      <c s="16" r="G1215"/>
      <c s="16" r="H1215"/>
      <c s="16" r="I1215"/>
      <c s="16" r="J1215"/>
      <c s="16" r="K1215"/>
      <c s="80" r="L1215"/>
      <c s="79" r="M1215"/>
      <c s="79" r="N1215"/>
      <c s="79" r="O1215"/>
      <c s="79" r="P1215"/>
      <c s="17" r="Q1215"/>
      <c s="17" r="R1215"/>
      <c s="7" r="S1215"/>
      <c s="7" r="T1215"/>
      <c s="7" r="U1215"/>
      <c s="7" r="V1215"/>
      <c s="30" r="W1215"/>
      <c s="30" r="X1215"/>
      <c s="30" r="Y1215"/>
      <c s="30" r="Z1215"/>
      <c s="30" r="AA1215"/>
      <c s="30" r="AB1215"/>
      <c s="30" r="AC1215"/>
      <c s="30" r="AD1215"/>
      <c s="30" r="AE1215"/>
      <c s="10" r="AF1215"/>
      <c s="10" r="AG1215"/>
      <c s="10" r="AH1215"/>
      <c s="10" r="AI1215"/>
      <c s="10" r="AJ1215"/>
      <c s="10" r="AK1215"/>
      <c s="30" r="AL1215"/>
    </row>
    <row r="1216">
      <c s="30" r="A1216"/>
      <c s="30" r="B1216"/>
      <c s="30" r="C1216"/>
      <c s="30" r="D1216"/>
      <c s="16" r="E1216"/>
      <c s="16" r="F1216"/>
      <c s="16" r="G1216"/>
      <c s="16" r="H1216"/>
      <c s="16" r="I1216"/>
      <c s="16" r="J1216"/>
      <c s="16" r="K1216"/>
      <c s="80" r="L1216"/>
      <c s="79" r="M1216"/>
      <c s="79" r="N1216"/>
      <c s="79" r="O1216"/>
      <c s="79" r="P1216"/>
      <c s="17" r="Q1216"/>
      <c s="17" r="R1216"/>
      <c s="7" r="S1216"/>
      <c s="7" r="T1216"/>
      <c s="7" r="U1216"/>
      <c s="7" r="V1216"/>
      <c s="30" r="W1216"/>
      <c s="30" r="X1216"/>
      <c s="30" r="Y1216"/>
      <c s="30" r="Z1216"/>
      <c s="30" r="AA1216"/>
      <c s="30" r="AB1216"/>
      <c s="30" r="AC1216"/>
      <c s="30" r="AD1216"/>
      <c s="30" r="AE1216"/>
      <c s="10" r="AF1216"/>
      <c s="10" r="AG1216"/>
      <c s="10" r="AH1216"/>
      <c s="10" r="AI1216"/>
      <c s="10" r="AJ1216"/>
      <c s="10" r="AK1216"/>
      <c s="30" r="AL1216"/>
    </row>
    <row r="1217">
      <c s="30" r="A1217"/>
      <c s="30" r="B1217"/>
      <c s="30" r="C1217"/>
      <c s="30" r="D1217"/>
      <c s="16" r="E1217"/>
      <c s="16" r="F1217"/>
      <c s="16" r="G1217"/>
      <c s="16" r="H1217"/>
      <c s="16" r="I1217"/>
      <c s="16" r="J1217"/>
      <c s="16" r="K1217"/>
      <c s="80" r="L1217"/>
      <c s="79" r="M1217"/>
      <c s="79" r="N1217"/>
      <c s="79" r="O1217"/>
      <c s="79" r="P1217"/>
      <c s="17" r="Q1217"/>
      <c s="17" r="R1217"/>
      <c s="7" r="S1217"/>
      <c s="7" r="T1217"/>
      <c s="7" r="U1217"/>
      <c s="7" r="V1217"/>
      <c s="30" r="W1217"/>
      <c s="30" r="X1217"/>
      <c s="30" r="Y1217"/>
      <c s="30" r="Z1217"/>
      <c s="30" r="AA1217"/>
      <c s="30" r="AB1217"/>
      <c s="30" r="AC1217"/>
      <c s="30" r="AD1217"/>
      <c s="30" r="AE1217"/>
      <c s="10" r="AF1217"/>
      <c s="10" r="AG1217"/>
      <c s="10" r="AH1217"/>
      <c s="10" r="AI1217"/>
      <c s="10" r="AJ1217"/>
      <c s="10" r="AK1217"/>
      <c s="30" r="AL1217"/>
    </row>
    <row r="1218">
      <c s="30" r="A1218"/>
      <c s="30" r="B1218"/>
      <c s="30" r="C1218"/>
      <c s="30" r="D1218"/>
      <c s="16" r="E1218"/>
      <c s="16" r="F1218"/>
      <c s="16" r="G1218"/>
      <c s="16" r="H1218"/>
      <c s="16" r="I1218"/>
      <c s="16" r="J1218"/>
      <c s="16" r="K1218"/>
      <c s="80" r="L1218"/>
      <c s="79" r="M1218"/>
      <c s="79" r="N1218"/>
      <c s="79" r="O1218"/>
      <c s="79" r="P1218"/>
      <c s="17" r="Q1218"/>
      <c s="17" r="R1218"/>
      <c s="7" r="S1218"/>
      <c s="7" r="T1218"/>
      <c s="7" r="U1218"/>
      <c s="7" r="V1218"/>
      <c s="30" r="W1218"/>
      <c s="30" r="X1218"/>
      <c s="30" r="Y1218"/>
      <c s="30" r="Z1218"/>
      <c s="30" r="AA1218"/>
      <c s="30" r="AB1218"/>
      <c s="30" r="AC1218"/>
      <c s="30" r="AD1218"/>
      <c s="30" r="AE1218"/>
      <c s="10" r="AF1218"/>
      <c s="10" r="AG1218"/>
      <c s="10" r="AH1218"/>
      <c s="10" r="AI1218"/>
      <c s="10" r="AJ1218"/>
      <c s="10" r="AK1218"/>
      <c s="30" r="AL1218"/>
    </row>
    <row r="1219">
      <c s="30" r="A1219"/>
      <c s="30" r="B1219"/>
      <c s="30" r="C1219"/>
      <c s="30" r="D1219"/>
      <c s="16" r="E1219"/>
      <c s="16" r="F1219"/>
      <c s="16" r="G1219"/>
      <c s="16" r="H1219"/>
      <c s="16" r="I1219"/>
      <c s="16" r="J1219"/>
      <c s="16" r="K1219"/>
      <c s="80" r="L1219"/>
      <c s="79" r="M1219"/>
      <c s="79" r="N1219"/>
      <c s="79" r="O1219"/>
      <c s="79" r="P1219"/>
      <c s="17" r="Q1219"/>
      <c s="17" r="R1219"/>
      <c s="7" r="S1219"/>
      <c s="7" r="T1219"/>
      <c s="7" r="U1219"/>
      <c s="7" r="V1219"/>
      <c s="30" r="W1219"/>
      <c s="30" r="X1219"/>
      <c s="30" r="Y1219"/>
      <c s="30" r="Z1219"/>
      <c s="30" r="AA1219"/>
      <c s="30" r="AB1219"/>
      <c s="30" r="AC1219"/>
      <c s="30" r="AD1219"/>
      <c s="30" r="AE1219"/>
      <c s="10" r="AF1219"/>
      <c s="10" r="AG1219"/>
      <c s="10" r="AH1219"/>
      <c s="10" r="AI1219"/>
      <c s="10" r="AJ1219"/>
      <c s="10" r="AK1219"/>
      <c s="30" r="AL1219"/>
    </row>
    <row r="1220">
      <c s="30" r="A1220"/>
      <c s="30" r="B1220"/>
      <c s="30" r="C1220"/>
      <c s="30" r="D1220"/>
      <c s="16" r="E1220"/>
      <c s="16" r="F1220"/>
      <c s="16" r="G1220"/>
      <c s="16" r="H1220"/>
      <c s="16" r="I1220"/>
      <c s="16" r="J1220"/>
      <c s="16" r="K1220"/>
      <c s="80" r="L1220"/>
      <c s="79" r="M1220"/>
      <c s="79" r="N1220"/>
      <c s="79" r="O1220"/>
      <c s="79" r="P1220"/>
      <c s="17" r="Q1220"/>
      <c s="17" r="R1220"/>
      <c s="7" r="S1220"/>
      <c s="7" r="T1220"/>
      <c s="7" r="U1220"/>
      <c s="7" r="V1220"/>
      <c s="30" r="W1220"/>
      <c s="30" r="X1220"/>
      <c s="30" r="Y1220"/>
      <c s="30" r="Z1220"/>
      <c s="30" r="AA1220"/>
      <c s="30" r="AB1220"/>
      <c s="30" r="AC1220"/>
      <c s="30" r="AD1220"/>
      <c s="30" r="AE1220"/>
      <c s="10" r="AF1220"/>
      <c s="10" r="AG1220"/>
      <c s="10" r="AH1220"/>
      <c s="10" r="AI1220"/>
      <c s="10" r="AJ1220"/>
      <c s="10" r="AK1220"/>
      <c s="30" r="AL1220"/>
    </row>
    <row r="1221">
      <c s="30" r="A1221"/>
      <c s="30" r="B1221"/>
      <c s="30" r="C1221"/>
      <c s="30" r="D1221"/>
      <c s="16" r="E1221"/>
      <c s="16" r="F1221"/>
      <c s="16" r="G1221"/>
      <c s="16" r="H1221"/>
      <c s="16" r="I1221"/>
      <c s="16" r="J1221"/>
      <c s="16" r="K1221"/>
      <c s="80" r="L1221"/>
      <c s="79" r="M1221"/>
      <c s="79" r="N1221"/>
      <c s="79" r="O1221"/>
      <c s="79" r="P1221"/>
      <c s="17" r="Q1221"/>
      <c s="17" r="R1221"/>
      <c s="7" r="S1221"/>
      <c s="7" r="T1221"/>
      <c s="7" r="U1221"/>
      <c s="7" r="V1221"/>
      <c s="30" r="W1221"/>
      <c s="30" r="X1221"/>
      <c s="30" r="Y1221"/>
      <c s="30" r="Z1221"/>
      <c s="30" r="AA1221"/>
      <c s="30" r="AB1221"/>
      <c s="30" r="AC1221"/>
      <c s="30" r="AD1221"/>
      <c s="30" r="AE1221"/>
      <c s="10" r="AF1221"/>
      <c s="10" r="AG1221"/>
      <c s="10" r="AH1221"/>
      <c s="10" r="AI1221"/>
      <c s="10" r="AJ1221"/>
      <c s="10" r="AK1221"/>
      <c s="30" r="AL1221"/>
    </row>
    <row r="1222">
      <c s="30" r="A1222"/>
      <c s="30" r="B1222"/>
      <c s="30" r="C1222"/>
      <c s="30" r="D1222"/>
      <c s="16" r="E1222"/>
      <c s="16" r="F1222"/>
      <c s="16" r="G1222"/>
      <c s="16" r="H1222"/>
      <c s="16" r="I1222"/>
      <c s="16" r="J1222"/>
      <c s="16" r="K1222"/>
      <c s="80" r="L1222"/>
      <c s="79" r="M1222"/>
      <c s="79" r="N1222"/>
      <c s="79" r="O1222"/>
      <c s="79" r="P1222"/>
      <c s="17" r="Q1222"/>
      <c s="17" r="R1222"/>
      <c s="7" r="S1222"/>
      <c s="7" r="T1222"/>
      <c s="7" r="U1222"/>
      <c s="7" r="V1222"/>
      <c s="30" r="W1222"/>
      <c s="30" r="X1222"/>
      <c s="30" r="Y1222"/>
      <c s="30" r="Z1222"/>
      <c s="30" r="AA1222"/>
      <c s="30" r="AB1222"/>
      <c s="30" r="AC1222"/>
      <c s="30" r="AD1222"/>
      <c s="30" r="AE1222"/>
      <c s="10" r="AF1222"/>
      <c s="10" r="AG1222"/>
      <c s="10" r="AH1222"/>
      <c s="10" r="AI1222"/>
      <c s="10" r="AJ1222"/>
      <c s="10" r="AK1222"/>
      <c s="30" r="AL1222"/>
    </row>
    <row r="1223">
      <c s="30" r="A1223"/>
      <c s="30" r="B1223"/>
      <c s="30" r="C1223"/>
      <c s="30" r="D1223"/>
      <c s="16" r="E1223"/>
      <c s="16" r="F1223"/>
      <c s="16" r="G1223"/>
      <c s="16" r="H1223"/>
      <c s="16" r="I1223"/>
      <c s="16" r="J1223"/>
      <c s="16" r="K1223"/>
      <c s="80" r="L1223"/>
      <c s="79" r="M1223"/>
      <c s="79" r="N1223"/>
      <c s="79" r="O1223"/>
      <c s="79" r="P1223"/>
      <c s="17" r="Q1223"/>
      <c s="17" r="R1223"/>
      <c s="7" r="S1223"/>
      <c s="7" r="T1223"/>
      <c s="7" r="U1223"/>
      <c s="7" r="V1223"/>
      <c s="30" r="W1223"/>
      <c s="30" r="X1223"/>
      <c s="30" r="Y1223"/>
      <c s="30" r="Z1223"/>
      <c s="30" r="AA1223"/>
      <c s="30" r="AB1223"/>
      <c s="30" r="AC1223"/>
      <c s="30" r="AD1223"/>
      <c s="30" r="AE1223"/>
      <c s="10" r="AF1223"/>
      <c s="10" r="AG1223"/>
      <c s="10" r="AH1223"/>
      <c s="10" r="AI1223"/>
      <c s="10" r="AJ1223"/>
      <c s="10" r="AK1223"/>
      <c s="30" r="AL1223"/>
    </row>
    <row r="1224">
      <c s="30" r="A1224"/>
      <c s="30" r="B1224"/>
      <c s="30" r="C1224"/>
      <c s="30" r="D1224"/>
      <c s="16" r="E1224"/>
      <c s="16" r="F1224"/>
      <c s="16" r="G1224"/>
      <c s="16" r="H1224"/>
      <c s="16" r="I1224"/>
      <c s="16" r="J1224"/>
      <c s="16" r="K1224"/>
      <c s="80" r="L1224"/>
      <c s="79" r="M1224"/>
      <c s="79" r="N1224"/>
      <c s="79" r="O1224"/>
      <c s="79" r="P1224"/>
      <c s="17" r="Q1224"/>
      <c s="17" r="R1224"/>
      <c s="7" r="S1224"/>
      <c s="7" r="T1224"/>
      <c s="7" r="U1224"/>
      <c s="7" r="V1224"/>
      <c s="30" r="W1224"/>
      <c s="30" r="X1224"/>
      <c s="30" r="Y1224"/>
      <c s="30" r="Z1224"/>
      <c s="30" r="AA1224"/>
      <c s="30" r="AB1224"/>
      <c s="30" r="AC1224"/>
      <c s="30" r="AD1224"/>
      <c s="30" r="AE1224"/>
      <c s="10" r="AF1224"/>
      <c s="10" r="AG1224"/>
      <c s="10" r="AH1224"/>
      <c s="10" r="AI1224"/>
      <c s="10" r="AJ1224"/>
      <c s="10" r="AK1224"/>
      <c s="30" r="AL1224"/>
    </row>
    <row r="1225">
      <c s="30" r="A1225"/>
      <c s="30" r="B1225"/>
      <c s="30" r="C1225"/>
      <c s="30" r="D1225"/>
      <c s="16" r="E1225"/>
      <c s="16" r="F1225"/>
      <c s="16" r="G1225"/>
      <c s="16" r="H1225"/>
      <c s="16" r="I1225"/>
      <c s="16" r="J1225"/>
      <c s="16" r="K1225"/>
      <c s="80" r="L1225"/>
      <c s="79" r="M1225"/>
      <c s="79" r="N1225"/>
      <c s="79" r="O1225"/>
      <c s="79" r="P1225"/>
      <c s="17" r="Q1225"/>
      <c s="17" r="R1225"/>
      <c s="7" r="S1225"/>
      <c s="7" r="T1225"/>
      <c s="7" r="U1225"/>
      <c s="7" r="V1225"/>
      <c s="30" r="W1225"/>
      <c s="30" r="X1225"/>
      <c s="30" r="Y1225"/>
      <c s="30" r="Z1225"/>
      <c s="30" r="AA1225"/>
      <c s="30" r="AB1225"/>
      <c s="30" r="AC1225"/>
      <c s="30" r="AD1225"/>
      <c s="30" r="AE1225"/>
      <c s="10" r="AF1225"/>
      <c s="10" r="AG1225"/>
      <c s="10" r="AH1225"/>
      <c s="10" r="AI1225"/>
      <c s="10" r="AJ1225"/>
      <c s="10" r="AK1225"/>
      <c s="30" r="AL1225"/>
    </row>
    <row r="1226">
      <c s="30" r="A1226"/>
      <c s="30" r="B1226"/>
      <c s="30" r="C1226"/>
      <c s="30" r="D1226"/>
      <c s="16" r="E1226"/>
      <c s="16" r="F1226"/>
      <c s="16" r="G1226"/>
      <c s="16" r="H1226"/>
      <c s="16" r="I1226"/>
      <c s="16" r="J1226"/>
      <c s="16" r="K1226"/>
      <c s="80" r="L1226"/>
      <c s="79" r="M1226"/>
      <c s="79" r="N1226"/>
      <c s="79" r="O1226"/>
      <c s="79" r="P1226"/>
      <c s="17" r="Q1226"/>
      <c s="17" r="R1226"/>
      <c s="7" r="S1226"/>
      <c s="7" r="T1226"/>
      <c s="7" r="U1226"/>
      <c s="7" r="V1226"/>
      <c s="30" r="W1226"/>
      <c s="30" r="X1226"/>
      <c s="30" r="Y1226"/>
      <c s="30" r="Z1226"/>
      <c s="30" r="AA1226"/>
      <c s="30" r="AB1226"/>
      <c s="30" r="AC1226"/>
      <c s="30" r="AD1226"/>
      <c s="30" r="AE1226"/>
      <c s="10" r="AF1226"/>
      <c s="10" r="AG1226"/>
      <c s="10" r="AH1226"/>
      <c s="10" r="AI1226"/>
      <c s="10" r="AJ1226"/>
      <c s="10" r="AK1226"/>
      <c s="30" r="AL1226"/>
    </row>
    <row r="1227">
      <c s="30" r="A1227"/>
      <c s="30" r="B1227"/>
      <c s="30" r="C1227"/>
      <c s="30" r="D1227"/>
      <c s="16" r="E1227"/>
      <c s="16" r="F1227"/>
      <c s="16" r="G1227"/>
      <c s="16" r="H1227"/>
      <c s="16" r="I1227"/>
      <c s="16" r="J1227"/>
      <c s="16" r="K1227"/>
      <c s="80" r="L1227"/>
      <c s="79" r="M1227"/>
      <c s="79" r="N1227"/>
      <c s="79" r="O1227"/>
      <c s="79" r="P1227"/>
      <c s="17" r="Q1227"/>
      <c s="17" r="R1227"/>
      <c s="7" r="S1227"/>
      <c s="7" r="T1227"/>
      <c s="7" r="U1227"/>
      <c s="7" r="V1227"/>
      <c s="30" r="W1227"/>
      <c s="30" r="X1227"/>
      <c s="30" r="Y1227"/>
      <c s="30" r="Z1227"/>
      <c s="30" r="AA1227"/>
      <c s="30" r="AB1227"/>
      <c s="30" r="AC1227"/>
      <c s="30" r="AD1227"/>
      <c s="30" r="AE1227"/>
      <c s="10" r="AF1227"/>
      <c s="10" r="AG1227"/>
      <c s="10" r="AH1227"/>
      <c s="10" r="AI1227"/>
      <c s="10" r="AJ1227"/>
      <c s="10" r="AK1227"/>
      <c s="30" r="AL1227"/>
    </row>
    <row r="1228">
      <c s="30" r="A1228"/>
      <c s="30" r="B1228"/>
      <c s="30" r="C1228"/>
      <c s="30" r="D1228"/>
      <c s="16" r="E1228"/>
      <c s="16" r="F1228"/>
      <c s="16" r="G1228"/>
      <c s="16" r="H1228"/>
      <c s="16" r="I1228"/>
      <c s="16" r="J1228"/>
      <c s="16" r="K1228"/>
      <c s="80" r="L1228"/>
      <c s="79" r="M1228"/>
      <c s="79" r="N1228"/>
      <c s="79" r="O1228"/>
      <c s="79" r="P1228"/>
      <c s="17" r="Q1228"/>
      <c s="17" r="R1228"/>
      <c s="7" r="S1228"/>
      <c s="7" r="T1228"/>
      <c s="7" r="U1228"/>
      <c s="7" r="V1228"/>
      <c s="30" r="W1228"/>
      <c s="30" r="X1228"/>
      <c s="30" r="Y1228"/>
      <c s="30" r="Z1228"/>
      <c s="30" r="AA1228"/>
      <c s="30" r="AB1228"/>
      <c s="30" r="AC1228"/>
      <c s="30" r="AD1228"/>
      <c s="30" r="AE1228"/>
      <c s="10" r="AF1228"/>
      <c s="10" r="AG1228"/>
      <c s="10" r="AH1228"/>
      <c s="10" r="AI1228"/>
      <c s="10" r="AJ1228"/>
      <c s="10" r="AK1228"/>
      <c s="30" r="AL1228"/>
    </row>
    <row r="1229">
      <c s="30" r="A1229"/>
      <c s="30" r="B1229"/>
      <c s="30" r="C1229"/>
      <c s="30" r="D1229"/>
      <c s="16" r="E1229"/>
      <c s="16" r="F1229"/>
      <c s="16" r="G1229"/>
      <c s="16" r="H1229"/>
      <c s="16" r="I1229"/>
      <c s="16" r="J1229"/>
      <c s="16" r="K1229"/>
      <c s="80" r="L1229"/>
      <c s="79" r="M1229"/>
      <c s="79" r="N1229"/>
      <c s="79" r="O1229"/>
      <c s="79" r="P1229"/>
      <c s="17" r="Q1229"/>
      <c s="17" r="R1229"/>
      <c s="7" r="S1229"/>
      <c s="7" r="T1229"/>
      <c s="7" r="U1229"/>
      <c s="7" r="V1229"/>
      <c s="30" r="W1229"/>
      <c s="30" r="X1229"/>
      <c s="30" r="Y1229"/>
      <c s="30" r="Z1229"/>
      <c s="30" r="AA1229"/>
      <c s="30" r="AB1229"/>
      <c s="30" r="AC1229"/>
      <c s="30" r="AD1229"/>
      <c s="30" r="AE1229"/>
      <c s="10" r="AF1229"/>
      <c s="10" r="AG1229"/>
      <c s="10" r="AH1229"/>
      <c s="10" r="AI1229"/>
      <c s="10" r="AJ1229"/>
      <c s="10" r="AK1229"/>
      <c s="30" r="AL1229"/>
    </row>
    <row r="1230">
      <c s="30" r="A1230"/>
      <c s="30" r="B1230"/>
      <c s="30" r="C1230"/>
      <c s="30" r="D1230"/>
      <c s="16" r="E1230"/>
      <c s="16" r="F1230"/>
      <c s="16" r="G1230"/>
      <c s="16" r="H1230"/>
      <c s="16" r="I1230"/>
      <c s="16" r="J1230"/>
      <c s="16" r="K1230"/>
      <c s="80" r="L1230"/>
      <c s="79" r="M1230"/>
      <c s="79" r="N1230"/>
      <c s="79" r="O1230"/>
      <c s="79" r="P1230"/>
      <c s="17" r="Q1230"/>
      <c s="17" r="R1230"/>
      <c s="7" r="S1230"/>
      <c s="7" r="T1230"/>
      <c s="7" r="U1230"/>
      <c s="7" r="V1230"/>
      <c s="30" r="W1230"/>
      <c s="30" r="X1230"/>
      <c s="30" r="Y1230"/>
      <c s="30" r="Z1230"/>
      <c s="30" r="AA1230"/>
      <c s="30" r="AB1230"/>
      <c s="30" r="AC1230"/>
      <c s="30" r="AD1230"/>
      <c s="30" r="AE1230"/>
      <c s="10" r="AF1230"/>
      <c s="10" r="AG1230"/>
      <c s="10" r="AH1230"/>
      <c s="10" r="AI1230"/>
      <c s="10" r="AJ1230"/>
      <c s="10" r="AK1230"/>
      <c s="30" r="AL1230"/>
    </row>
    <row r="1231">
      <c s="30" r="A1231"/>
      <c s="30" r="B1231"/>
      <c s="30" r="C1231"/>
      <c s="30" r="D1231"/>
      <c s="16" r="E1231"/>
      <c s="16" r="F1231"/>
      <c s="16" r="G1231"/>
      <c s="16" r="H1231"/>
      <c s="16" r="I1231"/>
      <c s="16" r="J1231"/>
      <c s="16" r="K1231"/>
      <c s="80" r="L1231"/>
      <c s="79" r="M1231"/>
      <c s="79" r="N1231"/>
      <c s="79" r="O1231"/>
      <c s="79" r="P1231"/>
      <c s="17" r="Q1231"/>
      <c s="17" r="R1231"/>
      <c s="7" r="S1231"/>
      <c s="7" r="T1231"/>
      <c s="7" r="U1231"/>
      <c s="7" r="V1231"/>
      <c s="30" r="W1231"/>
      <c s="30" r="X1231"/>
      <c s="30" r="Y1231"/>
      <c s="30" r="Z1231"/>
      <c s="30" r="AA1231"/>
      <c s="30" r="AB1231"/>
      <c s="30" r="AC1231"/>
      <c s="30" r="AD1231"/>
      <c s="30" r="AE1231"/>
      <c s="10" r="AF1231"/>
      <c s="10" r="AG1231"/>
      <c s="10" r="AH1231"/>
      <c s="10" r="AI1231"/>
      <c s="10" r="AJ1231"/>
      <c s="10" r="AK1231"/>
      <c s="30" r="AL1231"/>
    </row>
    <row r="1232">
      <c s="30" r="A1232"/>
      <c s="30" r="B1232"/>
      <c s="30" r="C1232"/>
      <c s="30" r="D1232"/>
      <c s="16" r="E1232"/>
      <c s="16" r="F1232"/>
      <c s="16" r="G1232"/>
      <c s="16" r="H1232"/>
      <c s="16" r="I1232"/>
      <c s="16" r="J1232"/>
      <c s="16" r="K1232"/>
      <c s="80" r="L1232"/>
      <c s="79" r="M1232"/>
      <c s="79" r="N1232"/>
      <c s="79" r="O1232"/>
      <c s="79" r="P1232"/>
      <c s="17" r="Q1232"/>
      <c s="17" r="R1232"/>
      <c s="7" r="S1232"/>
      <c s="7" r="T1232"/>
      <c s="7" r="U1232"/>
      <c s="7" r="V1232"/>
      <c s="30" r="W1232"/>
      <c s="30" r="X1232"/>
      <c s="30" r="Y1232"/>
      <c s="30" r="Z1232"/>
      <c s="30" r="AA1232"/>
      <c s="30" r="AB1232"/>
      <c s="30" r="AC1232"/>
      <c s="30" r="AD1232"/>
      <c s="30" r="AE1232"/>
      <c s="10" r="AF1232"/>
      <c s="10" r="AG1232"/>
      <c s="10" r="AH1232"/>
      <c s="10" r="AI1232"/>
      <c s="10" r="AJ1232"/>
      <c s="10" r="AK1232"/>
      <c s="30" r="AL1232"/>
    </row>
    <row r="1233">
      <c s="30" r="A1233"/>
      <c s="30" r="B1233"/>
      <c s="30" r="C1233"/>
      <c s="30" r="D1233"/>
      <c s="16" r="E1233"/>
      <c s="16" r="F1233"/>
      <c s="16" r="G1233"/>
      <c s="16" r="H1233"/>
      <c s="16" r="I1233"/>
      <c s="16" r="J1233"/>
      <c s="16" r="K1233"/>
      <c s="80" r="L1233"/>
      <c s="79" r="M1233"/>
      <c s="79" r="N1233"/>
      <c s="79" r="O1233"/>
      <c s="79" r="P1233"/>
      <c s="17" r="Q1233"/>
      <c s="17" r="R1233"/>
      <c s="7" r="S1233"/>
      <c s="7" r="T1233"/>
      <c s="7" r="U1233"/>
      <c s="7" r="V1233"/>
      <c s="30" r="W1233"/>
      <c s="30" r="X1233"/>
      <c s="30" r="Y1233"/>
      <c s="30" r="Z1233"/>
      <c s="30" r="AA1233"/>
      <c s="30" r="AB1233"/>
      <c s="30" r="AC1233"/>
      <c s="30" r="AD1233"/>
      <c s="30" r="AE1233"/>
      <c s="10" r="AF1233"/>
      <c s="10" r="AG1233"/>
      <c s="10" r="AH1233"/>
      <c s="10" r="AI1233"/>
      <c s="10" r="AJ1233"/>
      <c s="10" r="AK1233"/>
      <c s="30" r="AL1233"/>
    </row>
    <row r="1234">
      <c s="30" r="A1234"/>
      <c s="30" r="B1234"/>
      <c s="30" r="C1234"/>
      <c s="30" r="D1234"/>
      <c s="16" r="E1234"/>
      <c s="16" r="F1234"/>
      <c s="16" r="G1234"/>
      <c s="16" r="H1234"/>
      <c s="16" r="I1234"/>
      <c s="16" r="J1234"/>
      <c s="16" r="K1234"/>
      <c s="80" r="L1234"/>
      <c s="79" r="M1234"/>
      <c s="79" r="N1234"/>
      <c s="79" r="O1234"/>
      <c s="79" r="P1234"/>
      <c s="17" r="Q1234"/>
      <c s="17" r="R1234"/>
      <c s="7" r="S1234"/>
      <c s="7" r="T1234"/>
      <c s="7" r="U1234"/>
      <c s="7" r="V1234"/>
      <c s="30" r="W1234"/>
      <c s="30" r="X1234"/>
      <c s="30" r="Y1234"/>
      <c s="30" r="Z1234"/>
      <c s="30" r="AA1234"/>
      <c s="30" r="AB1234"/>
      <c s="30" r="AC1234"/>
      <c s="30" r="AD1234"/>
      <c s="30" r="AE1234"/>
      <c s="10" r="AF1234"/>
      <c s="10" r="AG1234"/>
      <c s="10" r="AH1234"/>
      <c s="10" r="AI1234"/>
      <c s="10" r="AJ1234"/>
      <c s="10" r="AK1234"/>
      <c s="30" r="AL1234"/>
    </row>
    <row r="1235">
      <c s="30" r="A1235"/>
      <c s="30" r="B1235"/>
      <c s="30" r="C1235"/>
      <c s="30" r="D1235"/>
      <c s="16" r="E1235"/>
      <c s="16" r="F1235"/>
      <c s="16" r="G1235"/>
      <c s="16" r="H1235"/>
      <c s="16" r="I1235"/>
      <c s="16" r="J1235"/>
      <c s="16" r="K1235"/>
      <c s="80" r="L1235"/>
      <c s="79" r="M1235"/>
      <c s="79" r="N1235"/>
      <c s="79" r="O1235"/>
      <c s="79" r="P1235"/>
      <c s="17" r="Q1235"/>
      <c s="17" r="R1235"/>
      <c s="7" r="S1235"/>
      <c s="7" r="T1235"/>
      <c s="7" r="U1235"/>
      <c s="7" r="V1235"/>
      <c s="30" r="W1235"/>
      <c s="30" r="X1235"/>
      <c s="30" r="Y1235"/>
      <c s="30" r="Z1235"/>
      <c s="30" r="AA1235"/>
      <c s="30" r="AB1235"/>
      <c s="30" r="AC1235"/>
      <c s="30" r="AD1235"/>
      <c s="30" r="AE1235"/>
      <c s="10" r="AF1235"/>
      <c s="10" r="AG1235"/>
      <c s="10" r="AH1235"/>
      <c s="10" r="AI1235"/>
      <c s="10" r="AJ1235"/>
      <c s="10" r="AK1235"/>
      <c s="30" r="AL1235"/>
    </row>
    <row r="1236">
      <c s="30" r="A1236"/>
      <c s="30" r="B1236"/>
      <c s="30" r="C1236"/>
      <c s="30" r="D1236"/>
      <c s="16" r="E1236"/>
      <c s="16" r="F1236"/>
      <c s="16" r="G1236"/>
      <c s="16" r="H1236"/>
      <c s="16" r="I1236"/>
      <c s="16" r="J1236"/>
      <c s="16" r="K1236"/>
      <c s="80" r="L1236"/>
      <c s="79" r="M1236"/>
      <c s="79" r="N1236"/>
      <c s="79" r="O1236"/>
      <c s="79" r="P1236"/>
      <c s="17" r="Q1236"/>
      <c s="17" r="R1236"/>
      <c s="7" r="S1236"/>
      <c s="7" r="T1236"/>
      <c s="7" r="U1236"/>
      <c s="7" r="V1236"/>
      <c s="30" r="W1236"/>
      <c s="30" r="X1236"/>
      <c s="30" r="Y1236"/>
      <c s="30" r="Z1236"/>
      <c s="30" r="AA1236"/>
      <c s="30" r="AB1236"/>
      <c s="30" r="AC1236"/>
      <c s="30" r="AD1236"/>
      <c s="30" r="AE1236"/>
      <c s="10" r="AF1236"/>
      <c s="10" r="AG1236"/>
      <c s="10" r="AH1236"/>
      <c s="10" r="AI1236"/>
      <c s="10" r="AJ1236"/>
      <c s="10" r="AK1236"/>
      <c s="30" r="AL1236"/>
    </row>
    <row r="1237">
      <c s="30" r="A1237"/>
      <c s="30" r="B1237"/>
      <c s="30" r="C1237"/>
      <c s="30" r="D1237"/>
      <c s="16" r="E1237"/>
      <c s="16" r="F1237"/>
      <c s="16" r="G1237"/>
      <c s="16" r="H1237"/>
      <c s="16" r="I1237"/>
      <c s="16" r="J1237"/>
      <c s="16" r="K1237"/>
      <c s="80" r="L1237"/>
      <c s="79" r="M1237"/>
      <c s="79" r="N1237"/>
      <c s="79" r="O1237"/>
      <c s="79" r="P1237"/>
      <c s="17" r="Q1237"/>
      <c s="17" r="R1237"/>
      <c s="7" r="S1237"/>
      <c s="7" r="T1237"/>
      <c s="7" r="U1237"/>
      <c s="7" r="V1237"/>
      <c s="30" r="W1237"/>
      <c s="30" r="X1237"/>
      <c s="30" r="Y1237"/>
      <c s="30" r="Z1237"/>
      <c s="30" r="AA1237"/>
      <c s="30" r="AB1237"/>
      <c s="30" r="AC1237"/>
      <c s="30" r="AD1237"/>
      <c s="30" r="AE1237"/>
      <c s="10" r="AF1237"/>
      <c s="10" r="AG1237"/>
      <c s="10" r="AH1237"/>
      <c s="10" r="AI1237"/>
      <c s="10" r="AJ1237"/>
      <c s="10" r="AK1237"/>
      <c s="30" r="AL1237"/>
    </row>
  </sheetData>
  <autoFilter ref="A1:AD544">
    <sortState ref="A1:AD544"/>
  </autoFilter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6.14"/>
    <col min="2" customWidth="1" max="2" width="10.0"/>
    <col min="3" customWidth="1" max="3" width="7.86"/>
    <col min="4" customWidth="1" max="4" width="10.29"/>
    <col min="5" customWidth="1" max="5" width="22.43"/>
    <col min="6" customWidth="1" max="6" width="7.43"/>
    <col min="7" customWidth="1" max="7" width="8.71"/>
    <col min="9" customWidth="1" max="9" width="12.43"/>
    <col min="10" customWidth="1" max="10" width="10.43"/>
    <col min="11" customWidth="1" max="11" width="7.71"/>
    <col min="12" customWidth="1" max="12" width="7.29"/>
    <col min="13" customWidth="1" max="13" width="11.86"/>
    <col min="14" customWidth="1" max="14" width="8.71"/>
    <col min="15" customWidth="1" max="15" width="9.71"/>
    <col min="16" customWidth="1" max="16" width="10.57"/>
    <col min="17" customWidth="1" max="17" width="11.29"/>
    <col min="18" customWidth="1" max="18" width="8.86"/>
    <col min="19" customWidth="1" max="19" width="7.29"/>
    <col min="20" customWidth="1" max="20" width="10.71"/>
    <col min="21" customWidth="1" max="21" width="11.86"/>
    <col min="22" customWidth="1" max="22" width="7.57"/>
    <col min="23" customWidth="1" max="23" width="5.14"/>
  </cols>
  <sheetData>
    <row r="1">
      <c t="s" s="56" r="A1">
        <v>0</v>
      </c>
      <c t="s" s="56" r="B1">
        <v>2</v>
      </c>
      <c t="s" s="56" r="C1">
        <v>3</v>
      </c>
      <c t="s" s="56" r="D1">
        <v>313</v>
      </c>
      <c t="s" s="56" r="E1">
        <v>314</v>
      </c>
      <c t="s" s="56" r="F1">
        <v>315</v>
      </c>
      <c t="s" s="56" r="G1">
        <v>316</v>
      </c>
      <c t="s" s="56" r="H1">
        <v>317</v>
      </c>
      <c t="s" s="56" r="I1">
        <v>318</v>
      </c>
      <c t="s" s="56" r="J1">
        <v>13</v>
      </c>
      <c t="s" s="56" r="K1">
        <v>14</v>
      </c>
      <c t="s" s="56" r="L1">
        <v>319</v>
      </c>
      <c t="s" s="56" r="M1">
        <v>17</v>
      </c>
      <c t="s" s="56" r="N1">
        <v>320</v>
      </c>
      <c t="s" s="56" r="O1">
        <v>19</v>
      </c>
      <c t="s" s="56" r="P1">
        <v>321</v>
      </c>
      <c t="s" s="56" r="Q1">
        <v>322</v>
      </c>
      <c t="s" s="56" r="R1">
        <v>24</v>
      </c>
      <c t="s" s="56" r="S1">
        <v>25</v>
      </c>
      <c t="s" s="56" r="T1">
        <v>26</v>
      </c>
      <c t="s" s="56" r="U1">
        <v>27</v>
      </c>
      <c t="s" s="56" r="V1">
        <v>28</v>
      </c>
      <c t="s" s="56" r="W1">
        <v>29</v>
      </c>
    </row>
    <row r="2">
      <c s="10" r="A2">
        <v>425</v>
      </c>
      <c s="40" r="B2">
        <v>41607</v>
      </c>
      <c s="71" r="C2">
        <v>0.8125</v>
      </c>
      <c s="68" r="D2">
        <v>655</v>
      </c>
      <c t="s" s="68" r="E2">
        <v>139</v>
      </c>
      <c t="s" s="10" r="F2">
        <v>323</v>
      </c>
      <c s="16" r="G2">
        <v>0.91</v>
      </c>
      <c s="16" r="H2"/>
      <c s="42" r="I2">
        <v>0</v>
      </c>
      <c s="79" r="J2">
        <f>622.36-236</f>
        <v>386.36</v>
      </c>
      <c s="32" r="K2">
        <f>SUMIF(Sellables!$A$2:$A$11482, $A2, Sellables!$G$2:$G$11482)</f>
        <v>240.1152</v>
      </c>
      <c s="14" r="L2">
        <f>#REF!</f>
        <v>626.4752</v>
      </c>
      <c s="23" r="M2">
        <f>G2*D2</f>
        <v>596.05</v>
      </c>
      <c s="70" r="N2">
        <f>L2-M2</f>
        <v>30.4252</v>
      </c>
      <c s="29" r="O2">
        <f> (L2/M2) - 1</f>
        <v>0.051044711014177</v>
      </c>
      <c s="70" r="P2">
        <f>G2*D2</f>
        <v>596.05</v>
      </c>
      <c s="70" r="Q2">
        <f>L2/D2</f>
        <v>0.956450687022901</v>
      </c>
      <c t="s" s="10" r="R2">
        <v>104</v>
      </c>
      <c t="s" s="10" r="S2">
        <v>42</v>
      </c>
      <c s="10" r="T2">
        <v>0</v>
      </c>
      <c s="10" r="U2">
        <v>0</v>
      </c>
      <c s="10" r="V2">
        <v>1</v>
      </c>
      <c s="10" r="W2">
        <v>0</v>
      </c>
    </row>
    <row r="3">
      <c s="10" r="A3">
        <v>426</v>
      </c>
      <c s="40" r="B3">
        <v>41607</v>
      </c>
      <c s="71" r="C3">
        <v>0.854166666666667</v>
      </c>
      <c s="68" r="D3">
        <v>116</v>
      </c>
      <c t="s" s="68" r="E3">
        <v>98</v>
      </c>
      <c t="s" s="10" r="F3">
        <v>323</v>
      </c>
      <c s="16" r="G3">
        <v>0.61</v>
      </c>
      <c s="16" r="H3"/>
      <c s="42" r="I3">
        <v>0</v>
      </c>
      <c s="79" r="J3">
        <f>82.88-9.63</f>
        <v>73.25</v>
      </c>
      <c s="32" r="K3">
        <f>SUMIF(Sellables!$A$2:$A$11482, $A3, Sellables!$G$2:$G$11482)</f>
        <v>10.3041</v>
      </c>
      <c s="14" r="L3">
        <f>#REF!</f>
        <v>83.5541</v>
      </c>
      <c s="23" r="M3">
        <f>G3*D3</f>
        <v>70.76</v>
      </c>
      <c s="70" r="N3">
        <f>L3-M3</f>
        <v>12.7941</v>
      </c>
      <c s="29" r="O3">
        <f> (L3/M3) - 1</f>
        <v>0.180809779536461</v>
      </c>
      <c s="70" r="P3">
        <f>G3*D3</f>
        <v>70.76</v>
      </c>
      <c s="70" r="Q3">
        <f>L3/D3</f>
        <v>0.720293965517242</v>
      </c>
      <c t="s" s="10" r="R3">
        <v>104</v>
      </c>
      <c t="s" s="10" r="S3">
        <v>42</v>
      </c>
      <c s="10" r="T3">
        <v>0</v>
      </c>
      <c s="10" r="U3">
        <v>0</v>
      </c>
      <c s="10" r="V3">
        <v>0</v>
      </c>
      <c s="10" r="W3">
        <v>0</v>
      </c>
    </row>
    <row r="4">
      <c s="10" r="A4">
        <v>427</v>
      </c>
      <c s="40" r="B4">
        <v>41607</v>
      </c>
      <c s="71" r="C4">
        <v>0.868055555555556</v>
      </c>
      <c s="68" r="D4">
        <v>103</v>
      </c>
      <c t="s" s="68" r="E4">
        <v>133</v>
      </c>
      <c t="s" s="10" r="F4">
        <v>323</v>
      </c>
      <c s="16" r="G4">
        <v>0.31</v>
      </c>
      <c s="16" r="H4"/>
      <c s="42" r="I4">
        <v>0</v>
      </c>
      <c s="79" r="J4">
        <f>25.26-5.50</f>
        <v>19.76</v>
      </c>
      <c s="32" r="K4">
        <f>SUMIF(Sellables!$A$2:$A$11482, $A4, Sellables!$G$2:$G$11482)</f>
        <v>5.885</v>
      </c>
      <c s="14" r="L4">
        <f>#REF!</f>
        <v>25.645</v>
      </c>
      <c s="23" r="M4">
        <f>G4*D4</f>
        <v>31.93</v>
      </c>
      <c s="70" r="N4">
        <f>L4-M4</f>
        <v>-6.285</v>
      </c>
      <c s="29" r="O4">
        <f> (L4/M4) - 1</f>
        <v>-0.196836830566865</v>
      </c>
      <c s="70" r="P4">
        <f>G4*D4</f>
        <v>31.93</v>
      </c>
      <c s="70" r="Q4">
        <f>L4/D4</f>
        <v>0.248980582524272</v>
      </c>
      <c t="s" s="10" r="R4">
        <v>104</v>
      </c>
      <c t="s" s="10" r="S4">
        <v>42</v>
      </c>
      <c s="10" r="T4">
        <v>0</v>
      </c>
      <c s="10" r="U4">
        <v>0</v>
      </c>
      <c s="10" r="V4">
        <v>0</v>
      </c>
      <c s="10" r="W4">
        <v>0</v>
      </c>
    </row>
    <row r="5">
      <c s="10" r="A5">
        <v>428</v>
      </c>
      <c s="40" r="B5">
        <v>41607</v>
      </c>
      <c s="71" r="C5">
        <v>0.916666666666667</v>
      </c>
      <c s="68" r="D5">
        <v>128</v>
      </c>
      <c t="s" s="68" r="E5">
        <v>324</v>
      </c>
      <c t="s" s="10" r="F5">
        <v>323</v>
      </c>
      <c s="16" r="G5">
        <v>1.9</v>
      </c>
      <c s="16" r="H5"/>
      <c s="42" r="I5">
        <v>0</v>
      </c>
      <c s="79" r="J5">
        <f>(((((149.45-67.27)-29.18)-14)+16.93)-1.60)-10.33</f>
        <v>44</v>
      </c>
      <c s="32" r="K5">
        <f>SUMIF(Sellables!$A$2:$A$11482, $A5, Sellables!$G$2:$G$11482)</f>
        <v>145.4546</v>
      </c>
      <c s="14" r="L5">
        <f>J5+K5</f>
        <v>189.4546</v>
      </c>
      <c s="23" r="M5">
        <f>G5*D5</f>
        <v>243.2</v>
      </c>
      <c s="70" r="N5">
        <f>L5-M5</f>
        <v>-53.7454</v>
      </c>
      <c s="29" r="O5">
        <f> (L5/M5) - 1</f>
        <v>-0.22099259868421</v>
      </c>
      <c s="70" r="P5">
        <f>G5*D5</f>
        <v>243.2</v>
      </c>
      <c s="70" r="Q5">
        <f>L5/D5</f>
        <v>1.4801140625</v>
      </c>
      <c t="s" s="10" r="R5">
        <v>104</v>
      </c>
      <c t="s" s="10" r="S5">
        <v>42</v>
      </c>
      <c s="10" r="T5">
        <v>0</v>
      </c>
      <c s="10" r="U5">
        <v>1</v>
      </c>
      <c s="10" r="V5">
        <v>0</v>
      </c>
      <c s="10" r="W5">
        <v>0</v>
      </c>
    </row>
    <row r="6">
      <c s="10" r="A6">
        <v>432</v>
      </c>
      <c s="40" r="B6">
        <v>41608</v>
      </c>
      <c s="71" r="C6">
        <v>0.59375</v>
      </c>
      <c s="68" r="D6">
        <v>57</v>
      </c>
      <c t="s" s="68" r="E6">
        <v>176</v>
      </c>
      <c t="s" s="10" r="F6">
        <v>323</v>
      </c>
      <c s="16" r="G6">
        <v>1.77</v>
      </c>
      <c s="16" r="H6"/>
      <c s="42" r="I6">
        <v>0</v>
      </c>
      <c s="79" r="J6">
        <f>76.58</f>
        <v>76.58</v>
      </c>
      <c s="32" r="K6">
        <f>SUMIF(Sellables!$A$2:$A$11482, $A6, Sellables!$G$2:$G$11482)</f>
        <v>0</v>
      </c>
      <c s="14" r="L6">
        <f>J6+K6</f>
        <v>76.58</v>
      </c>
      <c s="23" r="M6">
        <f>G6*D6</f>
        <v>100.89</v>
      </c>
      <c s="70" r="N6">
        <f>L6-M6</f>
        <v>-24.31</v>
      </c>
      <c s="29" r="O6">
        <f> (L6/M6) - 1</f>
        <v>-0.240955496084845</v>
      </c>
      <c s="70" r="P6">
        <f>G6*D6</f>
        <v>100.89</v>
      </c>
      <c s="70" r="Q6">
        <f>L6/D6</f>
        <v>1.34350877192982</v>
      </c>
      <c t="s" s="10" r="R6">
        <v>104</v>
      </c>
      <c t="s" s="10" r="S6">
        <v>42</v>
      </c>
      <c s="10" r="T6">
        <v>0</v>
      </c>
      <c s="10" r="U6">
        <v>0</v>
      </c>
      <c s="10" r="V6">
        <v>0</v>
      </c>
      <c s="10" r="W6">
        <v>0</v>
      </c>
    </row>
    <row r="7">
      <c s="10" r="A7">
        <v>433</v>
      </c>
      <c s="40" r="B7">
        <v>41608</v>
      </c>
      <c s="71" r="C7">
        <v>0.59375</v>
      </c>
      <c s="68" r="D7">
        <v>624</v>
      </c>
      <c t="s" s="68" r="E7">
        <v>139</v>
      </c>
      <c t="s" s="10" r="F7">
        <v>323</v>
      </c>
      <c s="16" r="G7">
        <v>0.91</v>
      </c>
      <c s="16" r="H7"/>
      <c s="42" r="I7">
        <v>0</v>
      </c>
      <c s="79" r="J7">
        <f>421.44-204.40</f>
        <v>217.04</v>
      </c>
      <c s="32" r="K7">
        <f>SUMIF(Sellables!$A$2:$A$11482, $A7, Sellables!$G$2:$G$11482)</f>
        <v>204.4</v>
      </c>
      <c s="14" r="L7">
        <f>J7+K7</f>
        <v>421.44</v>
      </c>
      <c s="23" r="M7">
        <f>G7*D7</f>
        <v>567.84</v>
      </c>
      <c s="70" r="N7">
        <f>L7-M7</f>
        <v>-146.4</v>
      </c>
      <c s="29" r="O7">
        <f> (L7/M7) - 1</f>
        <v>-0.25781910397295</v>
      </c>
      <c s="70" r="P7">
        <f>G7*D7</f>
        <v>567.84</v>
      </c>
      <c s="70" r="Q7">
        <f>L7/D7</f>
        <v>0.675384615384615</v>
      </c>
      <c t="s" s="10" r="R7">
        <v>104</v>
      </c>
      <c t="s" s="10" r="S7">
        <v>42</v>
      </c>
      <c s="10" r="T7">
        <v>0</v>
      </c>
      <c s="10" r="U7">
        <v>0</v>
      </c>
      <c s="10" r="V7">
        <v>0</v>
      </c>
      <c s="10" r="W7">
        <v>0</v>
      </c>
    </row>
    <row r="8">
      <c s="10" r="A8">
        <v>434</v>
      </c>
      <c s="40" r="B8">
        <v>41608</v>
      </c>
      <c s="71" r="C8">
        <v>0.625</v>
      </c>
      <c s="68" r="D8">
        <v>274</v>
      </c>
      <c t="s" s="68" r="E8">
        <v>325</v>
      </c>
      <c t="s" s="10" r="F8">
        <v>323</v>
      </c>
      <c s="16" r="G8">
        <v>1.8</v>
      </c>
      <c s="16" r="H8"/>
      <c s="42" r="I8">
        <v>0</v>
      </c>
      <c s="79" r="J8">
        <f>(559.95-118.29)-221.25</f>
        <v>220.41</v>
      </c>
      <c s="32" r="K8">
        <f>SUMIF(Sellables!$A$2:$A$11482, $A8, Sellables!$G$2:$G$11482)</f>
        <v>359.616198</v>
      </c>
      <c s="14" r="L8">
        <f>J8+K8</f>
        <v>580.026198</v>
      </c>
      <c s="23" r="M8">
        <f>G8*D8</f>
        <v>493.2</v>
      </c>
      <c s="70" r="N8">
        <f>L8-M8</f>
        <v>86.826198</v>
      </c>
      <c s="29" r="O8">
        <f> (L8/M8) - 1</f>
        <v>0.176046630170316</v>
      </c>
      <c s="70" r="P8">
        <f>G8*D8</f>
        <v>493.2</v>
      </c>
      <c s="70" r="Q8">
        <f>L8/D8</f>
        <v>2.11688393430657</v>
      </c>
      <c t="s" s="10" r="R8">
        <v>104</v>
      </c>
      <c t="s" s="10" r="S8">
        <v>42</v>
      </c>
      <c s="10" r="T8">
        <v>0</v>
      </c>
      <c s="10" r="U8">
        <v>0</v>
      </c>
      <c s="10" r="V8">
        <v>1</v>
      </c>
      <c s="10" r="W8">
        <v>0</v>
      </c>
    </row>
    <row r="9">
      <c s="10" r="A9">
        <v>435</v>
      </c>
      <c s="40" r="B9">
        <v>41608</v>
      </c>
      <c s="71" r="C9">
        <v>0.666666666666667</v>
      </c>
      <c s="68" r="D9">
        <v>221</v>
      </c>
      <c t="s" s="68" r="E9">
        <v>98</v>
      </c>
      <c t="s" s="10" r="F9">
        <v>323</v>
      </c>
      <c s="16" r="G9">
        <v>0.61</v>
      </c>
      <c s="16" r="H9"/>
      <c s="42" r="I9">
        <v>0</v>
      </c>
      <c s="79" r="J9">
        <f>92.04-12.52</f>
        <v>79.52</v>
      </c>
      <c s="32" r="K9">
        <f>SUMIF(Sellables!$A$2:$A$11482, $A9, Sellables!$G$2:$G$11482)</f>
        <v>13.474024</v>
      </c>
      <c s="14" r="L9">
        <f>J9+K9</f>
        <v>92.994024</v>
      </c>
      <c s="23" r="M9">
        <f>G9*D9</f>
        <v>134.81</v>
      </c>
      <c s="70" r="N9">
        <f>L9-M9</f>
        <v>-41.815976</v>
      </c>
      <c s="29" r="O9">
        <f> (L9/M9) - 1</f>
        <v>-0.310184526370447</v>
      </c>
      <c s="70" r="P9">
        <f>G9*D9</f>
        <v>134.81</v>
      </c>
      <c s="70" r="Q9">
        <f>L9/D9</f>
        <v>0.420787438914027</v>
      </c>
      <c t="s" s="10" r="R9">
        <v>104</v>
      </c>
      <c t="s" s="10" r="S9">
        <v>42</v>
      </c>
      <c s="10" r="T9">
        <v>0</v>
      </c>
      <c s="10" r="U9">
        <v>0</v>
      </c>
      <c s="10" r="V9">
        <v>0</v>
      </c>
      <c s="10" r="W9">
        <v>0</v>
      </c>
    </row>
    <row r="10">
      <c s="10" r="A10">
        <v>436</v>
      </c>
      <c s="40" r="B10">
        <v>41608</v>
      </c>
      <c s="71" r="C10">
        <v>0.680555555555556</v>
      </c>
      <c s="68" r="D10">
        <v>91</v>
      </c>
      <c t="s" s="68" r="E10">
        <v>133</v>
      </c>
      <c t="s" s="10" r="F10">
        <v>323</v>
      </c>
      <c s="16" r="G10">
        <v>0.31</v>
      </c>
      <c s="16" r="H10"/>
      <c s="42" r="I10">
        <v>0</v>
      </c>
      <c s="79" r="J10">
        <f>43.85-25.12</f>
        <v>18.73</v>
      </c>
      <c s="32" r="K10">
        <f>SUMIF(Sellables!$A$2:$A$11482, $A10, Sellables!$G$2:$G$11482)</f>
        <v>27.034144</v>
      </c>
      <c s="14" r="L10">
        <f>J10+K10</f>
        <v>45.764144</v>
      </c>
      <c s="23" r="M10">
        <f>G10*D10</f>
        <v>28.21</v>
      </c>
      <c s="70" r="N10">
        <f>L10-M10</f>
        <v>17.554144</v>
      </c>
      <c s="29" r="O10">
        <f> (L10/M10) - 1</f>
        <v>0.62226671393123</v>
      </c>
      <c s="70" r="P10">
        <f>G10*D10</f>
        <v>28.21</v>
      </c>
      <c s="70" r="Q10">
        <f>L10/D10</f>
        <v>0.502902681318681</v>
      </c>
      <c t="s" s="10" r="R10">
        <v>104</v>
      </c>
      <c t="s" s="10" r="S10">
        <v>42</v>
      </c>
      <c s="10" r="T10">
        <v>0</v>
      </c>
      <c s="10" r="U10">
        <v>0</v>
      </c>
      <c s="10" r="V10">
        <v>0</v>
      </c>
      <c s="10" r="W10">
        <v>0</v>
      </c>
    </row>
    <row r="11">
      <c s="10" r="A11">
        <v>437</v>
      </c>
      <c s="40" r="B11">
        <v>41608</v>
      </c>
      <c s="71" r="C11">
        <v>0.6875</v>
      </c>
      <c s="68" r="D11">
        <v>56</v>
      </c>
      <c t="s" s="68" r="E11">
        <v>326</v>
      </c>
      <c t="s" s="10" r="F11">
        <v>323</v>
      </c>
      <c s="16" r="G11">
        <v>0.76</v>
      </c>
      <c s="16" r="H11"/>
      <c s="42" r="I11">
        <v>0</v>
      </c>
      <c s="79" r="J11">
        <f>60.46-34.03</f>
        <v>26.43</v>
      </c>
      <c s="32" r="K11">
        <f>SUMIF(Sellables!$A$2:$A$11482, $A11, Sellables!$G$2:$G$11482)</f>
        <v>36.623086</v>
      </c>
      <c s="14" r="L11">
        <f>J11+K11</f>
        <v>63.053086</v>
      </c>
      <c s="23" r="M11">
        <f>G11*D11</f>
        <v>42.56</v>
      </c>
      <c s="70" r="N11">
        <f>L11-M11</f>
        <v>20.493086</v>
      </c>
      <c s="29" r="O11">
        <f> (L11/M11) - 1</f>
        <v>0.481510479323308</v>
      </c>
      <c s="70" r="P11">
        <f>G11*D11</f>
        <v>42.56</v>
      </c>
      <c s="70" r="Q11">
        <f>L11/D11</f>
        <v>1.12594796428571</v>
      </c>
      <c t="s" s="10" r="R11">
        <v>104</v>
      </c>
      <c t="s" s="10" r="S11">
        <v>42</v>
      </c>
      <c s="10" r="T11">
        <v>0</v>
      </c>
      <c s="10" r="U11">
        <v>1</v>
      </c>
      <c s="10" r="V11">
        <v>0</v>
      </c>
      <c s="10" r="W11">
        <v>0</v>
      </c>
    </row>
    <row r="12">
      <c s="10" r="A12">
        <v>438</v>
      </c>
      <c s="40" r="B12">
        <v>41608</v>
      </c>
      <c s="71" r="C12">
        <v>0.694444444444444</v>
      </c>
      <c s="68" r="D12">
        <v>16</v>
      </c>
      <c t="s" s="68" r="E12">
        <v>258</v>
      </c>
      <c t="s" s="10" r="F12">
        <v>323</v>
      </c>
      <c s="16" r="G12">
        <v>1.21</v>
      </c>
      <c s="16" r="H12"/>
      <c s="42" r="I12">
        <v>0</v>
      </c>
      <c s="79" r="J12">
        <f>10.28-4.24</f>
        <v>6.04</v>
      </c>
      <c s="32" r="K12">
        <f>SUMIF(Sellables!$A$2:$A$11482, $A12, Sellables!$G$2:$G$11482)</f>
        <v>4.563088</v>
      </c>
      <c s="14" r="L12">
        <f>J12+K12</f>
        <v>10.603088</v>
      </c>
      <c s="23" r="M12">
        <f>G12*D12</f>
        <v>19.36</v>
      </c>
      <c s="70" r="N12">
        <f>L12-M12</f>
        <v>-8.756912</v>
      </c>
      <c s="29" r="O12">
        <f> (L12/M12) - 1</f>
        <v>-0.452319834710744</v>
      </c>
      <c s="70" r="P12">
        <f>G12*D12</f>
        <v>19.36</v>
      </c>
      <c s="70" r="Q12">
        <f>L12/D12</f>
        <v>0.662693</v>
      </c>
      <c t="s" s="10" r="R12">
        <v>104</v>
      </c>
      <c t="s" s="10" r="S12">
        <v>42</v>
      </c>
      <c s="10" r="T12">
        <v>0</v>
      </c>
      <c s="10" r="U12">
        <v>1</v>
      </c>
      <c s="10" r="V12">
        <v>0</v>
      </c>
      <c s="10" r="W12">
        <v>0</v>
      </c>
    </row>
    <row r="13">
      <c s="10" r="A13">
        <v>447</v>
      </c>
      <c s="40" r="B13">
        <v>41609</v>
      </c>
      <c s="71" r="C13">
        <v>0.864583333333333</v>
      </c>
      <c s="68" r="D13">
        <v>136</v>
      </c>
      <c t="s" s="68" r="E13">
        <v>327</v>
      </c>
      <c t="s" s="10" r="F13">
        <v>323</v>
      </c>
      <c s="16" r="G13">
        <v>0.252</v>
      </c>
      <c s="16" r="H13"/>
      <c s="42" r="I13">
        <v>0</v>
      </c>
      <c s="79" r="J13">
        <f>(23.43-5.63)-12.04</f>
        <v>5.76</v>
      </c>
      <c s="32" r="K13">
        <f>SUMIF(Sellables!$A$2:$A$11482, $A13, Sellables!$G$2:$G$11482)</f>
        <v>22.313006</v>
      </c>
      <c s="14" r="L13">
        <f>J13+K13</f>
        <v>28.073006</v>
      </c>
      <c s="23" r="M13">
        <f>G13*D13</f>
        <v>34.272</v>
      </c>
      <c s="70" r="N13">
        <f>L13-M13</f>
        <v>-6.198994</v>
      </c>
      <c s="29" r="O13">
        <f> (L13/M13) - 1</f>
        <v>-0.180876342203548</v>
      </c>
      <c s="70" r="P13">
        <f>G13*D13</f>
        <v>34.272</v>
      </c>
      <c s="70" r="Q13">
        <f>L13/D13</f>
        <v>0.206419161764706</v>
      </c>
      <c t="s" s="10" r="R13">
        <v>104</v>
      </c>
      <c t="s" s="10" r="S13">
        <v>42</v>
      </c>
      <c s="10" r="T13">
        <v>0</v>
      </c>
      <c s="10" r="U13">
        <v>0</v>
      </c>
      <c s="10" r="V13">
        <v>0</v>
      </c>
      <c s="10" r="W13">
        <v>0</v>
      </c>
    </row>
    <row r="14">
      <c s="10" r="A14">
        <v>448</v>
      </c>
      <c s="40" r="B14">
        <v>41609</v>
      </c>
      <c s="71" r="C14">
        <v>0.875</v>
      </c>
      <c s="68" r="D14">
        <v>60</v>
      </c>
      <c t="s" s="68" r="E14">
        <v>328</v>
      </c>
      <c t="s" s="10" r="F14">
        <v>323</v>
      </c>
      <c s="16" r="G14">
        <f>0.39*1.08</f>
        <v>0.4212</v>
      </c>
      <c s="16" r="H14"/>
      <c s="42" r="I14">
        <v>0</v>
      </c>
      <c s="79" r="J14">
        <v>0</v>
      </c>
      <c s="32" r="K14">
        <f>SUMIF(Sellables!$A$2:$A$11482, $A14, Sellables!$G$2:$G$11482)</f>
        <v>16.457686</v>
      </c>
      <c s="14" r="L14">
        <f>J14+K14</f>
        <v>16.457686</v>
      </c>
      <c s="23" r="M14">
        <f>G14*D14</f>
        <v>25.272</v>
      </c>
      <c s="70" r="N14">
        <f>L14-M14</f>
        <v>-8.814314</v>
      </c>
      <c s="29" r="O14">
        <f> (L14/M14) - 1</f>
        <v>-0.348777856916746</v>
      </c>
      <c s="70" r="P14">
        <f>G14*D14</f>
        <v>25.272</v>
      </c>
      <c s="70" r="Q14">
        <f>L14/D14</f>
        <v>0.274294766666667</v>
      </c>
      <c t="s" s="10" r="R14">
        <v>104</v>
      </c>
      <c t="s" s="10" r="S14">
        <v>42</v>
      </c>
      <c s="10" r="T14">
        <v>0</v>
      </c>
      <c s="10" r="U14">
        <v>0</v>
      </c>
      <c s="10" r="V14">
        <v>0</v>
      </c>
      <c s="10" r="W14">
        <v>0</v>
      </c>
    </row>
    <row r="15">
      <c s="10" r="A15">
        <v>450</v>
      </c>
      <c s="40" r="B15">
        <v>41610</v>
      </c>
      <c s="71" r="C15">
        <v>0.395833333333333</v>
      </c>
      <c s="68" r="D15">
        <v>789</v>
      </c>
      <c t="s" s="68" r="E15">
        <v>190</v>
      </c>
      <c t="s" s="10" r="F15">
        <v>329</v>
      </c>
      <c s="16" r="G15">
        <v>0.07</v>
      </c>
      <c s="16" r="H15"/>
      <c s="42" r="I15">
        <v>0</v>
      </c>
      <c s="79" r="J15">
        <f>44.39-8.76</f>
        <v>35.63</v>
      </c>
      <c s="32" r="K15">
        <f>SUMIF(Sellables!$A$2:$A$11482, $A15, Sellables!$G$2:$G$11482)</f>
        <v>9.427512</v>
      </c>
      <c s="14" r="L15">
        <f>J15+K15</f>
        <v>45.057512</v>
      </c>
      <c s="23" r="M15">
        <f>G15*D15</f>
        <v>55.23</v>
      </c>
      <c s="70" r="N15">
        <f>L15-M15</f>
        <v>-10.172488</v>
      </c>
      <c s="29" r="O15">
        <f> (L15/M15) - 1</f>
        <v>-0.184184102842658</v>
      </c>
      <c s="70" r="P15">
        <f>G15*D15</f>
        <v>55.23</v>
      </c>
      <c s="70" r="Q15">
        <f>L15/D15</f>
        <v>0.057107112801014</v>
      </c>
      <c t="s" s="10" r="R15">
        <v>104</v>
      </c>
      <c t="s" s="10" r="S15">
        <v>42</v>
      </c>
      <c s="10" r="T15">
        <v>0</v>
      </c>
      <c s="10" r="U15">
        <v>0</v>
      </c>
      <c s="10" r="V15">
        <v>0</v>
      </c>
      <c s="10" r="W15">
        <v>0</v>
      </c>
    </row>
    <row r="16">
      <c s="10" r="A16">
        <v>451</v>
      </c>
      <c s="40" r="B16">
        <v>41610</v>
      </c>
      <c s="71" r="C16">
        <v>0.416666666666667</v>
      </c>
      <c s="68" r="D16">
        <v>165</v>
      </c>
      <c t="s" s="68" r="E16">
        <v>98</v>
      </c>
      <c t="s" s="10" r="F16">
        <v>323</v>
      </c>
      <c s="16" r="G16">
        <v>0.61</v>
      </c>
      <c s="16" r="H16"/>
      <c s="42" r="I16">
        <v>0</v>
      </c>
      <c s="79" r="J16">
        <f>96.08-30.60</f>
        <v>65.48</v>
      </c>
      <c s="32" r="K16">
        <f>SUMIF(Sellables!$A$2:$A$11482, $A16, Sellables!$G$2:$G$11482)</f>
        <v>32.93172</v>
      </c>
      <c s="14" r="L16">
        <f>J16+K16</f>
        <v>98.41172</v>
      </c>
      <c s="23" r="M16">
        <f>G16*D16</f>
        <v>100.65</v>
      </c>
      <c s="70" r="N16">
        <f>L16-M16</f>
        <v>-2.23827999999999</v>
      </c>
      <c s="29" r="O16">
        <f> (L16/M16) - 1</f>
        <v>-0.02223825136612</v>
      </c>
      <c s="70" r="P16">
        <f>G16*D16</f>
        <v>100.65</v>
      </c>
      <c s="70" r="Q16">
        <f>L16/D16</f>
        <v>0.596434666666667</v>
      </c>
      <c t="s" s="10" r="R16">
        <v>104</v>
      </c>
      <c t="s" s="10" r="S16">
        <v>42</v>
      </c>
      <c s="10" r="T16">
        <v>0</v>
      </c>
      <c s="10" r="U16">
        <v>0</v>
      </c>
      <c s="10" r="V16">
        <v>0</v>
      </c>
      <c s="10" r="W16">
        <v>0</v>
      </c>
    </row>
    <row r="17">
      <c s="10" r="A17">
        <v>452</v>
      </c>
      <c s="40" r="B17">
        <v>41610</v>
      </c>
      <c s="71" r="C17">
        <v>0.430555555555556</v>
      </c>
      <c s="68" r="D17">
        <v>77</v>
      </c>
      <c t="s" s="68" r="E17">
        <v>133</v>
      </c>
      <c t="s" s="10" r="F17">
        <v>323</v>
      </c>
      <c s="16" r="G17">
        <v>0.31</v>
      </c>
      <c s="16" r="H17"/>
      <c s="42" r="I17">
        <v>0</v>
      </c>
      <c s="79" r="J17">
        <f>17.28-4.35</f>
        <v>12.93</v>
      </c>
      <c s="32" r="K17">
        <f>SUMIF(Sellables!$A$2:$A$11482, $A17, Sellables!$G$2:$G$11482)</f>
        <v>4.68147</v>
      </c>
      <c s="14" r="L17">
        <f>J17+K17</f>
        <v>17.61147</v>
      </c>
      <c s="23" r="M17">
        <f>G17*D17</f>
        <v>23.87</v>
      </c>
      <c s="70" r="N17">
        <f>L17-M17</f>
        <v>-6.25853</v>
      </c>
      <c s="29" r="O17">
        <f> (L17/M17) - 1</f>
        <v>-0.262192291579388</v>
      </c>
      <c s="70" r="P17">
        <f>G17*D17</f>
        <v>23.87</v>
      </c>
      <c s="70" r="Q17">
        <f>L17/D17</f>
        <v>0.22872038961039</v>
      </c>
      <c t="s" s="10" r="R17">
        <v>104</v>
      </c>
      <c t="s" s="10" r="S17">
        <v>42</v>
      </c>
      <c s="10" r="T17">
        <v>0</v>
      </c>
      <c s="10" r="U17">
        <v>0</v>
      </c>
      <c s="10" r="V17">
        <v>0</v>
      </c>
      <c s="10" r="W17">
        <v>0</v>
      </c>
    </row>
    <row r="18">
      <c s="10" r="A18">
        <v>453</v>
      </c>
      <c s="40" r="B18">
        <v>41610</v>
      </c>
      <c s="71" r="C18">
        <v>0.440972222222222</v>
      </c>
      <c s="68" r="D18">
        <v>511</v>
      </c>
      <c t="s" s="68" r="E18">
        <v>56</v>
      </c>
      <c t="s" s="10" r="F18">
        <v>330</v>
      </c>
      <c s="16" r="G18">
        <v>0.71</v>
      </c>
      <c s="16" r="H18"/>
      <c s="42" r="I18">
        <v>0</v>
      </c>
      <c s="79" r="J18">
        <f>304.71-126.60</f>
        <v>178.11</v>
      </c>
      <c s="32" r="K18">
        <f>SUMIF(Sellables!$A$2:$A$11482, $A18, Sellables!$G$2:$G$11482)</f>
        <v>132.93</v>
      </c>
      <c s="14" r="L18">
        <f>J18+K18</f>
        <v>311.04</v>
      </c>
      <c s="23" r="M18">
        <f>G18*D18</f>
        <v>362.81</v>
      </c>
      <c s="70" r="N18">
        <f>L18-M18</f>
        <v>-51.77</v>
      </c>
      <c s="29" r="O18">
        <f> (L18/M18) - 1</f>
        <v>-0.1426917670406</v>
      </c>
      <c s="70" r="P18">
        <f>G18*D18</f>
        <v>362.81</v>
      </c>
      <c s="70" r="Q18">
        <f>L18/D18</f>
        <v>0.608688845401174</v>
      </c>
      <c t="s" s="10" r="R18">
        <v>104</v>
      </c>
      <c t="s" s="10" r="S18">
        <v>42</v>
      </c>
      <c s="10" r="T18">
        <v>0</v>
      </c>
      <c s="10" r="U18">
        <v>1</v>
      </c>
      <c s="10" r="V18">
        <v>0</v>
      </c>
      <c s="10" r="W18">
        <v>0</v>
      </c>
    </row>
    <row r="19">
      <c s="10" r="A19">
        <v>454</v>
      </c>
      <c s="40" r="B19">
        <v>41610</v>
      </c>
      <c s="71" r="C19">
        <v>0.472222222222222</v>
      </c>
      <c s="68" r="D19">
        <v>147</v>
      </c>
      <c t="s" s="68" r="E19">
        <v>331</v>
      </c>
      <c t="s" s="10" r="F19">
        <v>323</v>
      </c>
      <c s="16" r="G19">
        <v>0.08</v>
      </c>
      <c s="16" r="H19"/>
      <c s="42" r="I19">
        <v>0</v>
      </c>
      <c s="79" r="J19">
        <f>((10.85-5.49)-0.72)-3.36</f>
        <v>1.28</v>
      </c>
      <c s="32" r="K19">
        <f>SUMIF(Sellables!$A$2:$A$11482, $A19, Sellables!$G$2:$G$11482)</f>
        <v>11.546096</v>
      </c>
      <c s="14" r="L19">
        <f>J19+K19</f>
        <v>12.826096</v>
      </c>
      <c s="23" r="M19">
        <f>G19*D19</f>
        <v>11.76</v>
      </c>
      <c s="70" r="N19">
        <f>L19-M19</f>
        <v>1.066096</v>
      </c>
      <c s="29" r="O19">
        <f> (L19/M19) - 1</f>
        <v>0.090654421768707</v>
      </c>
      <c s="70" r="P19">
        <f>G19*D19</f>
        <v>11.76</v>
      </c>
      <c s="70" r="Q19">
        <f>L19/D19</f>
        <v>0.087252353741497</v>
      </c>
      <c t="s" s="10" r="R19">
        <v>104</v>
      </c>
      <c t="s" s="10" r="S19">
        <v>42</v>
      </c>
      <c s="10" r="T19">
        <v>0</v>
      </c>
      <c s="10" r="U19">
        <v>0</v>
      </c>
      <c s="10" r="V19">
        <v>0</v>
      </c>
      <c s="10" r="W19">
        <v>0</v>
      </c>
    </row>
    <row r="20">
      <c s="10" r="A20">
        <v>455</v>
      </c>
      <c s="40" r="B20">
        <v>41610</v>
      </c>
      <c s="71" r="C20">
        <v>0.552083333333333</v>
      </c>
      <c s="68" r="D20">
        <v>278</v>
      </c>
      <c t="s" s="68" r="E20">
        <v>332</v>
      </c>
      <c t="s" s="10" r="F20">
        <v>323</v>
      </c>
      <c s="16" r="G20">
        <v>0.07</v>
      </c>
      <c s="16" r="H20"/>
      <c s="42" r="I20">
        <v>0</v>
      </c>
      <c s="79" r="J20">
        <f>((18.46-2.17)-2.20)-8.90</f>
        <v>5.19</v>
      </c>
      <c s="32" r="K20">
        <f>SUMIF(Sellables!$A$2:$A$11482, $A20, Sellables!$G$2:$G$11482)</f>
        <v>15.402994</v>
      </c>
      <c s="14" r="L20">
        <f>J20+K20</f>
        <v>20.592994</v>
      </c>
      <c s="23" r="M20">
        <f>G20*D20</f>
        <v>19.46</v>
      </c>
      <c s="70" r="N20">
        <f>L20-M20</f>
        <v>1.132994</v>
      </c>
      <c s="29" r="O20">
        <f> (L20/M20) - 1</f>
        <v>0.058221685508736</v>
      </c>
      <c s="70" r="P20">
        <f>G20*D20</f>
        <v>19.46</v>
      </c>
      <c s="70" r="Q20">
        <f>L20/D20</f>
        <v>0.074075517985612</v>
      </c>
      <c t="s" s="10" r="R20">
        <v>104</v>
      </c>
      <c t="s" s="10" r="S20">
        <v>42</v>
      </c>
      <c s="10" r="T20">
        <v>0</v>
      </c>
      <c s="10" r="U20">
        <v>0</v>
      </c>
      <c s="10" r="V20">
        <v>0</v>
      </c>
      <c s="10" r="W20">
        <v>0</v>
      </c>
    </row>
    <row r="21">
      <c s="10" r="A21">
        <v>462</v>
      </c>
      <c s="40" r="B21">
        <v>41612</v>
      </c>
      <c s="71" r="C21">
        <v>0.872222222222222</v>
      </c>
      <c s="68" r="D21">
        <v>1110</v>
      </c>
      <c t="s" s="68" r="E21">
        <v>56</v>
      </c>
      <c t="s" s="10" r="F21">
        <v>323</v>
      </c>
      <c s="16" r="G21">
        <v>0.71</v>
      </c>
      <c s="16" r="H21"/>
      <c s="42" r="I21">
        <v>0</v>
      </c>
      <c s="79" r="J21">
        <f>(930.52-0.01)-301.80</f>
        <v>628.71</v>
      </c>
      <c s="32" r="K21">
        <f>SUMIF(Sellables!$A$2:$A$11482, $A21, Sellables!$G$2:$G$11482)</f>
        <v>331.89</v>
      </c>
      <c s="14" r="L21">
        <f>J21+K21</f>
        <v>960.6</v>
      </c>
      <c s="23" r="M21">
        <f>G21*D21</f>
        <v>788.1</v>
      </c>
      <c s="70" r="N21">
        <f>L21-M21</f>
        <v>172.5</v>
      </c>
      <c s="29" r="O21">
        <f> (L21/M21) - 1</f>
        <v>0.21888085268367</v>
      </c>
      <c s="70" r="P21">
        <f>G21*D21</f>
        <v>788.1</v>
      </c>
      <c s="70" r="Q21">
        <f>L21/D21</f>
        <v>0.865405405405406</v>
      </c>
      <c t="s" s="10" r="R21">
        <v>104</v>
      </c>
      <c t="s" s="10" r="S21">
        <v>42</v>
      </c>
      <c s="10" r="T21">
        <v>0</v>
      </c>
      <c s="10" r="U21">
        <v>0</v>
      </c>
      <c s="10" r="V21">
        <v>1</v>
      </c>
      <c s="10" r="W21">
        <v>1</v>
      </c>
    </row>
    <row r="22">
      <c s="10" r="A22">
        <v>464</v>
      </c>
      <c s="40" r="B22">
        <v>41613</v>
      </c>
      <c s="71" r="C22">
        <v>0.395833333333333</v>
      </c>
      <c s="68" r="D22">
        <v>1731</v>
      </c>
      <c t="s" s="68" r="E22">
        <v>190</v>
      </c>
      <c t="s" s="10" r="F22">
        <v>329</v>
      </c>
      <c s="16" r="G22">
        <v>0.07</v>
      </c>
      <c s="16" r="H22"/>
      <c s="42" r="I22">
        <v>0</v>
      </c>
      <c s="79" r="J22">
        <f>108.52-24.82</f>
        <v>83.7</v>
      </c>
      <c s="32" r="K22">
        <f>SUMIF(Sellables!$A$2:$A$11482, $A22, Sellables!$G$2:$G$11482)</f>
        <v>26.711284</v>
      </c>
      <c s="14" r="L22">
        <f>J22+K22</f>
        <v>110.411284</v>
      </c>
      <c s="23" r="M22">
        <f>G22*D22</f>
        <v>121.17</v>
      </c>
      <c s="70" r="N22">
        <f>L22-M22</f>
        <v>-10.758716</v>
      </c>
      <c s="29" r="O22">
        <f> (L22/M22) - 1</f>
        <v>-0.088790261615912</v>
      </c>
      <c s="70" r="P22">
        <f>G22*D22</f>
        <v>121.17</v>
      </c>
      <c s="70" r="Q22">
        <f>L22/D22</f>
        <v>0.063784681686886</v>
      </c>
      <c t="s" s="10" r="R22">
        <v>104</v>
      </c>
      <c t="s" s="10" r="S22">
        <v>42</v>
      </c>
      <c s="10" r="T22">
        <v>0</v>
      </c>
      <c s="10" r="U22">
        <v>0</v>
      </c>
      <c s="10" r="V22">
        <v>0</v>
      </c>
      <c s="10" r="W22">
        <v>0</v>
      </c>
    </row>
    <row r="23">
      <c s="10" r="A23">
        <v>465</v>
      </c>
      <c s="40" r="B23">
        <v>41613</v>
      </c>
      <c s="71" r="C23">
        <v>0.5</v>
      </c>
      <c s="68" r="D23">
        <f>168+427</f>
        <v>595</v>
      </c>
      <c t="s" s="68" r="E23">
        <v>139</v>
      </c>
      <c t="s" s="10" r="F23">
        <v>323</v>
      </c>
      <c s="16" r="G23">
        <v>0.91</v>
      </c>
      <c s="16" r="H23"/>
      <c s="42" r="I23">
        <v>0</v>
      </c>
      <c s="79" r="J23">
        <f>((141.36-71.20)+425.01)-164.80</f>
        <v>330.37</v>
      </c>
      <c s="32" r="K23">
        <f>SUMIF(Sellables!$A$2:$A$11482, $A23, Sellables!$G$2:$G$11482)</f>
        <v>236</v>
      </c>
      <c s="14" r="L23">
        <f>J23+K23</f>
        <v>566.37</v>
      </c>
      <c s="23" r="M23">
        <f>G23*D23</f>
        <v>541.45</v>
      </c>
      <c s="70" r="N23">
        <f>L23-M23</f>
        <v>24.92</v>
      </c>
      <c s="29" r="O23">
        <f> (L23/M23) - 1</f>
        <v>0.046024563671622</v>
      </c>
      <c s="70" r="P23">
        <f>G23*D23</f>
        <v>541.45</v>
      </c>
      <c s="70" r="Q23">
        <f>L23/D23</f>
        <v>0.951882352941176</v>
      </c>
      <c t="s" s="10" r="R23">
        <v>333</v>
      </c>
      <c t="s" s="10" r="S23">
        <v>42</v>
      </c>
      <c s="10" r="T23">
        <v>0</v>
      </c>
      <c s="10" r="U23">
        <v>1</v>
      </c>
      <c s="10" r="V23">
        <v>0</v>
      </c>
      <c s="10" r="W23">
        <v>0</v>
      </c>
    </row>
    <row r="24">
      <c s="10" r="A24">
        <v>466</v>
      </c>
      <c s="40" r="B24">
        <v>41613</v>
      </c>
      <c s="71" r="C24">
        <v>0.520833333333333</v>
      </c>
      <c s="68" r="D24">
        <f>488+246</f>
        <v>734</v>
      </c>
      <c t="s" s="68" r="E24">
        <v>325</v>
      </c>
      <c t="s" s="10" r="F24">
        <v>323</v>
      </c>
      <c s="16" r="G24">
        <v>1.81</v>
      </c>
      <c s="16" r="H24"/>
      <c s="42" r="I24">
        <v>0</v>
      </c>
      <c s="79" r="J24">
        <f>((((3180.84-423.33)-340.50)+493.91)-201.75)-64.06</f>
        <v>2645.11</v>
      </c>
      <c s="32" r="K24">
        <f>SUMIF(Sellables!$A$2:$A$11482, $A24, Sellables!$G$2:$G$11482)</f>
        <v>1088.469118</v>
      </c>
      <c s="14" r="L24">
        <f>(J24+K24)+T24</f>
        <v>3743.579118</v>
      </c>
      <c s="23" r="M24">
        <f>G24*D24</f>
        <v>1328.54</v>
      </c>
      <c s="70" r="N24">
        <f>L24-M24</f>
        <v>2415.039118</v>
      </c>
      <c s="29" r="O24">
        <f> (L24/M24) - 1</f>
        <v>1.81781438120042</v>
      </c>
      <c s="70" r="P24">
        <f>G24*D24</f>
        <v>1328.54</v>
      </c>
      <c s="70" r="Q24">
        <f>L24/D24</f>
        <v>5.10024402997275</v>
      </c>
      <c t="s" s="10" r="R24">
        <v>333</v>
      </c>
      <c t="s" s="10" r="S24">
        <v>42</v>
      </c>
      <c s="10" r="T24">
        <v>10</v>
      </c>
      <c s="10" r="U24">
        <v>0</v>
      </c>
      <c s="10" r="V24">
        <v>0</v>
      </c>
      <c s="10" r="W24">
        <v>2</v>
      </c>
    </row>
    <row r="25">
      <c s="10" r="A25">
        <v>467</v>
      </c>
      <c s="40" r="B25">
        <v>41613</v>
      </c>
      <c s="71" r="C25">
        <v>0.576388888888889</v>
      </c>
      <c s="68" r="D25">
        <v>270</v>
      </c>
      <c t="s" s="68" r="E25">
        <v>98</v>
      </c>
      <c t="s" s="10" r="F25">
        <v>323</v>
      </c>
      <c s="16" r="G25">
        <v>0.61</v>
      </c>
      <c s="16" r="H25"/>
      <c s="42" r="I25">
        <v>0</v>
      </c>
      <c s="79" r="J25">
        <f>196.19-24.51</f>
        <v>171.68</v>
      </c>
      <c s="32" r="K25">
        <f>SUMIF(Sellables!$A$2:$A$11482, $A25, Sellables!$G$2:$G$11482)</f>
        <v>26.377662</v>
      </c>
      <c s="14" r="L25">
        <f>(J25+K25)+T25</f>
        <v>198.057662</v>
      </c>
      <c s="23" r="M25">
        <f>G25*D25</f>
        <v>164.7</v>
      </c>
      <c s="70" r="N25">
        <f>L25-M25</f>
        <v>33.357662</v>
      </c>
      <c s="29" r="O25">
        <f> (L25/M25) - 1</f>
        <v>0.202535895567699</v>
      </c>
      <c s="70" r="P25">
        <f>G25*D25</f>
        <v>164.7</v>
      </c>
      <c s="70" r="Q25">
        <f>L25/D25</f>
        <v>0.733546896296296</v>
      </c>
      <c t="s" s="10" r="R25">
        <v>333</v>
      </c>
      <c t="s" s="10" r="S25">
        <v>42</v>
      </c>
      <c s="10" r="T25">
        <v>0</v>
      </c>
      <c s="10" r="U25">
        <v>0</v>
      </c>
      <c s="10" r="V25">
        <v>0</v>
      </c>
      <c s="10" r="W25">
        <v>0</v>
      </c>
    </row>
    <row r="26">
      <c s="10" r="A26">
        <v>468</v>
      </c>
      <c s="40" r="B26">
        <v>41613</v>
      </c>
      <c s="71" r="C26">
        <v>0.583333333333333</v>
      </c>
      <c s="68" r="D26">
        <v>132</v>
      </c>
      <c t="s" s="68" r="E26">
        <v>326</v>
      </c>
      <c t="s" s="10" r="F26">
        <v>323</v>
      </c>
      <c s="16" r="G26">
        <v>0.76</v>
      </c>
      <c s="16" r="H26"/>
      <c s="42" r="I26">
        <v>0</v>
      </c>
      <c s="79" r="J26">
        <f>69.61-14.05</f>
        <v>55.56</v>
      </c>
      <c s="32" r="K26">
        <f>SUMIF(Sellables!$A$2:$A$11482, $A26, Sellables!$G$2:$G$11482)</f>
        <v>15.12061</v>
      </c>
      <c s="14" r="L26">
        <f>(J26+K26)+T26</f>
        <v>70.68061</v>
      </c>
      <c s="23" r="M26">
        <f>G26*D26</f>
        <v>100.32</v>
      </c>
      <c s="70" r="N26">
        <f>L26-M26</f>
        <v>-29.63939</v>
      </c>
      <c s="29" r="O26">
        <f> (L26/M26) - 1</f>
        <v>-0.295448464912281</v>
      </c>
      <c s="70" r="P26">
        <f>G26*D26</f>
        <v>100.32</v>
      </c>
      <c s="70" r="Q26">
        <f>L26/D26</f>
        <v>0.535459166666667</v>
      </c>
      <c t="s" s="10" r="R26">
        <v>333</v>
      </c>
      <c t="s" s="10" r="S26">
        <v>42</v>
      </c>
      <c s="10" r="T26">
        <v>0</v>
      </c>
      <c s="10" r="U26">
        <v>0</v>
      </c>
      <c s="10" r="V26">
        <v>0</v>
      </c>
      <c s="10" r="W26">
        <v>0</v>
      </c>
    </row>
    <row r="27">
      <c s="10" r="A27">
        <v>469</v>
      </c>
      <c s="40" r="B27">
        <v>41613</v>
      </c>
      <c s="71" r="C27">
        <v>0.604166666666667</v>
      </c>
      <c s="68" r="D27">
        <v>71</v>
      </c>
      <c t="s" s="68" r="E27">
        <v>334</v>
      </c>
      <c t="s" s="10" r="F27">
        <v>323</v>
      </c>
      <c s="16" r="G27">
        <f>2.46*1.09</f>
        <v>2.6814</v>
      </c>
      <c s="16" r="H27"/>
      <c s="42" r="I27">
        <v>0</v>
      </c>
      <c s="79" r="J27">
        <f>(134.07-21.66)-16.33</f>
        <v>96.08</v>
      </c>
      <c s="32" r="K27">
        <f>SUMIF(Sellables!$A$2:$A$11482, $A27, Sellables!$G$2:$G$11482)</f>
        <v>40.884838</v>
      </c>
      <c s="14" r="L27">
        <f>(J27+K27)+T27</f>
        <v>136.964838</v>
      </c>
      <c s="23" r="M27">
        <f>G27*D27</f>
        <v>190.3794</v>
      </c>
      <c s="70" r="N27">
        <f>L27-M27</f>
        <v>-53.414562</v>
      </c>
      <c s="29" r="O27">
        <f> (L27/M27) - 1</f>
        <v>-0.280569021648351</v>
      </c>
      <c s="70" r="P27">
        <f>G27*D27</f>
        <v>190.3794</v>
      </c>
      <c s="70" r="Q27">
        <f>L27/D27</f>
        <v>1.92908222535211</v>
      </c>
      <c t="s" s="10" r="R27">
        <v>333</v>
      </c>
      <c t="s" s="10" r="S27">
        <v>42</v>
      </c>
      <c s="10" r="T27">
        <v>0</v>
      </c>
      <c s="10" r="U27">
        <v>0</v>
      </c>
      <c s="10" r="V27">
        <v>0</v>
      </c>
      <c s="10" r="W27">
        <v>0</v>
      </c>
    </row>
    <row r="28">
      <c s="10" r="A28">
        <v>470</v>
      </c>
      <c s="40" r="B28">
        <v>41613</v>
      </c>
      <c s="71" r="C28">
        <v>0.607638888888889</v>
      </c>
      <c s="68" r="D28">
        <v>69</v>
      </c>
      <c t="s" s="68" r="E28">
        <v>133</v>
      </c>
      <c t="s" s="10" r="F28">
        <v>323</v>
      </c>
      <c s="16" r="G28">
        <v>0.31</v>
      </c>
      <c s="16" r="H28"/>
      <c s="42" r="I28">
        <v>0</v>
      </c>
      <c s="79" r="J28">
        <f>14.57-5.38</f>
        <v>9.19</v>
      </c>
      <c s="32" r="K28">
        <f>SUMIF(Sellables!$A$2:$A$11482, $A28, Sellables!$G$2:$G$11482)</f>
        <v>5.789956</v>
      </c>
      <c s="14" r="L28">
        <f>(J28+K28)+T28</f>
        <v>14.979956</v>
      </c>
      <c s="23" r="M28">
        <f>G28*D28</f>
        <v>21.39</v>
      </c>
      <c s="70" r="N28">
        <f>L28-M28</f>
        <v>-6.410044</v>
      </c>
      <c s="29" r="O28">
        <f> (L28/M28) - 1</f>
        <v>-0.299674801309023</v>
      </c>
      <c s="70" r="P28">
        <f>G28*D28</f>
        <v>21.39</v>
      </c>
      <c s="70" r="Q28">
        <f>L28/D28</f>
        <v>0.217100811594203</v>
      </c>
      <c t="s" s="10" r="R28">
        <v>333</v>
      </c>
      <c t="s" s="10" r="S28">
        <v>42</v>
      </c>
      <c s="10" r="T28">
        <v>0</v>
      </c>
      <c s="10" r="U28">
        <v>0</v>
      </c>
      <c s="10" r="V28">
        <v>0</v>
      </c>
      <c s="10" r="W28">
        <v>0</v>
      </c>
    </row>
    <row r="29">
      <c s="10" r="A29">
        <v>471</v>
      </c>
      <c s="40" r="B29">
        <v>41613</v>
      </c>
      <c s="71" r="C29">
        <v>0.621527777777778</v>
      </c>
      <c s="68" r="D29">
        <v>55</v>
      </c>
      <c t="s" s="68" r="E29">
        <v>258</v>
      </c>
      <c t="s" s="10" r="F29">
        <v>323</v>
      </c>
      <c s="16" r="G29">
        <v>1.21</v>
      </c>
      <c s="16" r="H29"/>
      <c s="42" r="I29">
        <v>0</v>
      </c>
      <c s="79" r="J29">
        <f>40.59-7.06</f>
        <v>33.53</v>
      </c>
      <c s="32" r="K29">
        <f>SUMIF(Sellables!$A$2:$A$11482, $A29, Sellables!$G$2:$G$11482)</f>
        <v>7.597972</v>
      </c>
      <c s="14" r="L29">
        <f>(J29+K29)+T29</f>
        <v>41.127972</v>
      </c>
      <c s="23" r="M29">
        <f>G29*D29</f>
        <v>66.55</v>
      </c>
      <c s="70" r="N29">
        <f>L29-M29</f>
        <v>-25.422028</v>
      </c>
      <c s="29" r="O29">
        <f> (L29/M29) - 1</f>
        <v>-0.381998918106687</v>
      </c>
      <c s="70" r="P29">
        <f>G29*D29</f>
        <v>66.55</v>
      </c>
      <c s="70" r="Q29">
        <f>L29/D29</f>
        <v>0.747781309090909</v>
      </c>
      <c t="s" s="10" r="R29">
        <v>333</v>
      </c>
      <c t="s" s="10" r="S29">
        <v>42</v>
      </c>
      <c s="10" r="T29">
        <v>0</v>
      </c>
      <c s="10" r="U29">
        <v>0</v>
      </c>
      <c s="10" r="V29">
        <v>0</v>
      </c>
      <c s="10" r="W29">
        <v>0</v>
      </c>
    </row>
    <row r="30">
      <c s="10" r="A30">
        <v>472</v>
      </c>
      <c s="40" r="B30">
        <v>41613</v>
      </c>
      <c s="71" r="C30">
        <v>0.628472222222222</v>
      </c>
      <c s="68" r="D30">
        <v>235</v>
      </c>
      <c t="s" s="68" r="E30">
        <v>328</v>
      </c>
      <c t="s" s="10" r="F30">
        <v>323</v>
      </c>
      <c s="16" r="G30">
        <f>0.39*1.08</f>
        <v>0.4212</v>
      </c>
      <c s="16" r="H30"/>
      <c s="42" r="I30">
        <v>0</v>
      </c>
      <c s="79" r="J30">
        <f>(127.16-82.94)-43.72</f>
        <v>0.5</v>
      </c>
      <c s="32" r="K30">
        <f>SUMIF(Sellables!$A$2:$A$11482, $A30, Sellables!$G$2:$G$11482)</f>
        <v>138.663628</v>
      </c>
      <c s="14" r="L30">
        <f>(J30+K30)+T30</f>
        <v>139.163628</v>
      </c>
      <c s="23" r="M30">
        <f>G30*D30</f>
        <v>98.982</v>
      </c>
      <c s="70" r="N30">
        <f>L30-M30</f>
        <v>40.181628</v>
      </c>
      <c s="29" r="O30">
        <f> (L30/M30) - 1</f>
        <v>0.405948839182882</v>
      </c>
      <c s="70" r="P30">
        <f>G30*D30</f>
        <v>98.982</v>
      </c>
      <c s="70" r="Q30">
        <f>L30/D30</f>
        <v>0.59218565106383</v>
      </c>
      <c t="s" s="10" r="R30">
        <v>333</v>
      </c>
      <c t="s" s="10" r="S30">
        <v>42</v>
      </c>
      <c s="10" r="T30">
        <v>0</v>
      </c>
      <c s="10" r="U30">
        <v>0</v>
      </c>
      <c s="10" r="V30">
        <v>0</v>
      </c>
      <c s="10" r="W30">
        <v>0</v>
      </c>
    </row>
    <row r="31">
      <c s="10" r="A31">
        <v>473</v>
      </c>
      <c s="40" r="B31">
        <v>41613</v>
      </c>
      <c s="71" r="C31">
        <v>0.645833333333333</v>
      </c>
      <c s="68" r="D31">
        <v>74</v>
      </c>
      <c t="s" s="68" r="E31">
        <v>332</v>
      </c>
      <c t="s" s="10" r="F31">
        <v>323</v>
      </c>
      <c s="16" r="G31">
        <v>0.07</v>
      </c>
      <c s="16" r="H31"/>
      <c s="42" r="I31">
        <v>0</v>
      </c>
      <c s="79" r="J31">
        <f>((5.38-0.61)-0.53)-3.01</f>
        <v>1.23</v>
      </c>
      <c s="32" r="K31">
        <f>SUMIF(Sellables!$A$2:$A$11482, $A31, Sellables!$G$2:$G$11482)</f>
        <v>4.677868</v>
      </c>
      <c s="14" r="L31">
        <f>(J31+K31)+T31</f>
        <v>5.907868</v>
      </c>
      <c s="23" r="M31">
        <f>G31*D31</f>
        <v>5.18</v>
      </c>
      <c s="70" r="N31">
        <f>L31-M31</f>
        <v>0.727867999999999</v>
      </c>
      <c s="29" r="O31">
        <f> (L31/M31) - 1</f>
        <v>0.140515057915058</v>
      </c>
      <c s="70" r="P31">
        <f>G31*D31</f>
        <v>5.18</v>
      </c>
      <c s="70" r="Q31">
        <f>L31/D31</f>
        <v>0.079836054054054</v>
      </c>
      <c t="s" s="10" r="R31">
        <v>333</v>
      </c>
      <c t="s" s="10" r="S31">
        <v>42</v>
      </c>
      <c s="10" r="T31">
        <v>0</v>
      </c>
      <c s="10" r="U31">
        <v>0</v>
      </c>
      <c s="10" r="V31">
        <v>0</v>
      </c>
      <c s="10" r="W31">
        <v>0</v>
      </c>
    </row>
    <row r="32">
      <c s="10" r="A32">
        <v>474</v>
      </c>
      <c s="40" r="B32">
        <v>41613</v>
      </c>
      <c s="71" r="C32">
        <v>0.659027777777778</v>
      </c>
      <c s="68" r="D32">
        <v>117</v>
      </c>
      <c t="s" s="68" r="E32">
        <v>92</v>
      </c>
      <c t="s" s="10" r="F32">
        <v>323</v>
      </c>
      <c s="16" r="G32">
        <f>1.3+(0.6*1.41)</f>
        <v>2.146</v>
      </c>
      <c s="16" r="H32"/>
      <c s="42" r="I32">
        <v>0</v>
      </c>
      <c s="79" r="J32">
        <f>((158.64-24.03)-77.31)-17.20</f>
        <v>40.1</v>
      </c>
      <c s="32" r="K32">
        <f>SUMIF(Sellables!$A$2:$A$11482, $A32, Sellables!$G$2:$G$11482)</f>
        <v>145.182108</v>
      </c>
      <c s="14" r="L32">
        <f>(J32+K32)+T32</f>
        <v>185.282108</v>
      </c>
      <c s="23" r="M32">
        <f>G32*D32</f>
        <v>251.082</v>
      </c>
      <c s="70" r="N32">
        <f>L32-M32</f>
        <v>-65.799892</v>
      </c>
      <c s="29" r="O32">
        <f> (L32/M32) - 1</f>
        <v>-0.262065349168797</v>
      </c>
      <c s="70" r="P32">
        <f>G32*D32</f>
        <v>251.082</v>
      </c>
      <c s="70" r="Q32">
        <f>L32/D32</f>
        <v>1.58360776068376</v>
      </c>
      <c t="s" s="10" r="R32">
        <v>333</v>
      </c>
      <c t="s" s="10" r="S32">
        <v>42</v>
      </c>
      <c s="10" r="T32">
        <v>0</v>
      </c>
      <c s="10" r="U32">
        <v>0</v>
      </c>
      <c s="10" r="V32">
        <v>0</v>
      </c>
      <c s="10" r="W32">
        <v>0</v>
      </c>
    </row>
    <row r="33">
      <c s="10" r="A33">
        <v>476</v>
      </c>
      <c s="40" r="B33">
        <v>41613</v>
      </c>
      <c s="71" r="C33">
        <v>0.868055555555556</v>
      </c>
      <c s="68" r="D33">
        <v>325</v>
      </c>
      <c t="s" s="68" r="E33">
        <v>103</v>
      </c>
      <c t="s" s="10" r="F33">
        <v>323</v>
      </c>
      <c s="16" r="G33">
        <v>0.21</v>
      </c>
      <c s="16" r="H33"/>
      <c s="42" r="I33">
        <v>0</v>
      </c>
      <c s="79" r="J33">
        <f>(64.66-15.36)-30.20</f>
        <v>19.1</v>
      </c>
      <c s="32" r="K33">
        <f>SUMIF(Sellables!$A$2:$A$11482, $A33, Sellables!$G$2:$G$11482)</f>
        <v>50.958432</v>
      </c>
      <c s="14" r="L33">
        <f>(J33+K33)+T33</f>
        <v>70.058432</v>
      </c>
      <c s="23" r="M33">
        <f>G33*D33</f>
        <v>68.25</v>
      </c>
      <c s="70" r="N33">
        <f>L33-M33</f>
        <v>1.808432</v>
      </c>
      <c s="29" r="O33">
        <f> (L33/M33) - 1</f>
        <v>0.026497172161172</v>
      </c>
      <c s="70" r="P33">
        <f>G33*D33</f>
        <v>68.25</v>
      </c>
      <c s="70" r="Q33">
        <f>L33/D33</f>
        <v>0.215564406153846</v>
      </c>
      <c t="s" s="10" r="R33">
        <v>333</v>
      </c>
      <c t="s" s="10" r="S33">
        <v>42</v>
      </c>
      <c s="10" r="T33">
        <v>0</v>
      </c>
      <c s="10" r="U33">
        <v>0</v>
      </c>
      <c s="10" r="V33">
        <v>0</v>
      </c>
      <c s="10" r="W33">
        <v>0</v>
      </c>
    </row>
    <row r="34">
      <c s="10" r="A34">
        <v>478</v>
      </c>
      <c s="40" r="B34">
        <v>41614</v>
      </c>
      <c s="71" r="C34">
        <v>0.416666666666667</v>
      </c>
      <c s="68" r="D34">
        <v>295</v>
      </c>
      <c t="s" s="68" r="E34">
        <v>190</v>
      </c>
      <c t="s" s="10" r="F34">
        <v>323</v>
      </c>
      <c s="16" r="G34">
        <v>0.07</v>
      </c>
      <c s="16" r="H34"/>
      <c s="42" r="I34">
        <v>0</v>
      </c>
      <c s="79" r="J34">
        <f>21.67-5.44</f>
        <v>16.23</v>
      </c>
      <c s="32" r="K34">
        <f>SUMIF(Sellables!$A$2:$A$11482, $A34, Sellables!$G$2:$G$11482)</f>
        <v>5.854528</v>
      </c>
      <c s="14" r="L34">
        <f>J34+K34</f>
        <v>22.084528</v>
      </c>
      <c s="23" r="M34">
        <f>G34*D34</f>
        <v>20.65</v>
      </c>
      <c s="70" r="N34">
        <f>L34-M34</f>
        <v>1.434528</v>
      </c>
      <c s="29" r="O34">
        <f> (L34/M34) - 1</f>
        <v>0.069468668280872</v>
      </c>
      <c s="70" r="P34">
        <f>G34*D34</f>
        <v>20.65</v>
      </c>
      <c s="70" r="Q34">
        <f>L34/D34</f>
        <v>0.074862806779661</v>
      </c>
      <c t="s" s="10" r="R34">
        <v>333</v>
      </c>
      <c t="s" s="10" r="S34">
        <v>42</v>
      </c>
      <c s="10" r="T34">
        <v>0</v>
      </c>
      <c s="10" r="U34">
        <v>0</v>
      </c>
      <c s="10" r="V34">
        <v>0</v>
      </c>
      <c s="10" r="W34">
        <v>0</v>
      </c>
    </row>
    <row r="35">
      <c s="10" r="A35">
        <v>479</v>
      </c>
      <c s="40" r="B35">
        <v>41614</v>
      </c>
      <c s="71" r="C35">
        <v>0.454861111111111</v>
      </c>
      <c s="68" r="D35">
        <v>1304</v>
      </c>
      <c t="s" s="68" r="E35">
        <v>139</v>
      </c>
      <c t="s" s="10" r="F35">
        <v>323</v>
      </c>
      <c s="16" r="G35">
        <v>0.91</v>
      </c>
      <c s="16" r="H35"/>
      <c s="42" r="I35">
        <v>0</v>
      </c>
      <c s="79" r="J35">
        <f>(1036-446)-369.06</f>
        <v>220.94</v>
      </c>
      <c s="32" r="K35">
        <f>SUMIF(Sellables!$A$2:$A$11482, $A35, Sellables!$G$2:$G$11482)</f>
        <v>838.46718</v>
      </c>
      <c s="14" r="L35">
        <f>J35+K35</f>
        <v>1059.40718</v>
      </c>
      <c s="23" r="M35">
        <f>G35*D35</f>
        <v>1186.64</v>
      </c>
      <c s="70" r="N35">
        <f>L35-M35</f>
        <v>-127.23282</v>
      </c>
      <c s="29" r="O35">
        <f> (L35/M35) - 1</f>
        <v>-0.107221078001753</v>
      </c>
      <c s="70" r="P35">
        <f>G35*D35</f>
        <v>1186.64</v>
      </c>
      <c s="70" r="Q35">
        <f>L35/D35</f>
        <v>0.812428819018405</v>
      </c>
      <c t="s" s="10" r="R35">
        <v>333</v>
      </c>
      <c t="s" s="10" r="S35">
        <v>42</v>
      </c>
      <c s="10" r="T35">
        <v>0</v>
      </c>
      <c s="10" r="U35">
        <v>0</v>
      </c>
      <c s="10" r="V35">
        <v>1</v>
      </c>
      <c s="10" r="W35">
        <v>0</v>
      </c>
    </row>
    <row r="36">
      <c s="10" r="A36">
        <v>480</v>
      </c>
      <c s="40" r="B36">
        <v>41614</v>
      </c>
      <c s="71" r="C36">
        <v>0.520833333333333</v>
      </c>
      <c s="68" r="D36">
        <f>708+158</f>
        <v>866</v>
      </c>
      <c t="s" s="68" r="E36">
        <v>325</v>
      </c>
      <c t="s" s="10" r="F36">
        <v>323</v>
      </c>
      <c s="16" r="G36">
        <v>1.81</v>
      </c>
      <c s="16" r="H36"/>
      <c s="42" r="I36">
        <v>0</v>
      </c>
      <c s="79" r="J36">
        <f>((((1170.99-243.22)-489)+294.79)-101.96)-103.50</f>
        <v>528.1</v>
      </c>
      <c s="32" r="K36">
        <f>SUMIF(Sellables!$A$2:$A$11482, $A36, Sellables!$G$2:$G$11482)</f>
        <v>993.715336</v>
      </c>
      <c s="14" r="L36">
        <f>J36+K36</f>
        <v>1521.815336</v>
      </c>
      <c s="23" r="M36">
        <f>G36*D36</f>
        <v>1567.46</v>
      </c>
      <c s="70" r="N36">
        <f>L36-M36</f>
        <v>-45.6446640000002</v>
      </c>
      <c s="29" r="O36">
        <f> (L36/M36) - 1</f>
        <v>-0.029120145968637</v>
      </c>
      <c s="70" r="P36">
        <f>G36*D36</f>
        <v>1567.46</v>
      </c>
      <c s="70" r="Q36">
        <f>L36/D36</f>
        <v>1.75729253579677</v>
      </c>
      <c t="s" s="10" r="R36">
        <v>333</v>
      </c>
      <c t="s" s="10" r="S36">
        <v>42</v>
      </c>
      <c s="10" r="T36">
        <v>0</v>
      </c>
      <c s="10" r="U36">
        <v>1</v>
      </c>
      <c s="10" r="V36">
        <v>3</v>
      </c>
      <c s="10" r="W36">
        <v>0</v>
      </c>
    </row>
    <row r="37">
      <c s="10" r="A37">
        <v>482</v>
      </c>
      <c s="40" r="B37">
        <v>41614</v>
      </c>
      <c s="71" r="C37">
        <v>0.8375</v>
      </c>
      <c s="68" r="D37">
        <f>187+242</f>
        <v>429</v>
      </c>
      <c t="s" s="68" r="E37">
        <v>335</v>
      </c>
      <c t="s" s="10" r="F37">
        <v>323</v>
      </c>
      <c s="16" r="G37">
        <v>1.35</v>
      </c>
      <c s="16" r="H37"/>
      <c s="42" r="I37">
        <v>0</v>
      </c>
      <c s="79" r="J37">
        <f>((((339.08+128.48)+471.42)-SUMIF(Sellables!$A$2:$A$11482, $A37, Sellables!$E$2:$E$11482))-246.71)+0.13</f>
        <v>369.3</v>
      </c>
      <c s="32" r="K37">
        <f>SUMIF(Sellables!$A$2:$A$11482, $A37, Sellables!$G$2:$G$11482)</f>
        <v>674.629268</v>
      </c>
      <c s="14" r="L37">
        <f>J37+K37</f>
        <v>1043.929268</v>
      </c>
      <c s="23" r="M37">
        <f>G37*D37</f>
        <v>579.15</v>
      </c>
      <c s="70" r="N37">
        <f>L37-M37</f>
        <v>464.779268</v>
      </c>
      <c s="29" r="O37">
        <f> (L37/M37) - 1</f>
        <v>0.802519671933005</v>
      </c>
      <c s="70" r="P37">
        <f>G37*D37</f>
        <v>579.15</v>
      </c>
      <c s="70" r="Q37">
        <f>L37/D37</f>
        <v>2.43340155710956</v>
      </c>
      <c t="s" s="10" r="R37">
        <v>333</v>
      </c>
      <c t="s" s="10" r="S37">
        <v>42</v>
      </c>
      <c s="10" r="T37">
        <v>0</v>
      </c>
      <c s="10" r="U37">
        <v>0</v>
      </c>
      <c s="10" r="V37">
        <v>0</v>
      </c>
      <c s="10" r="W37">
        <v>1</v>
      </c>
    </row>
    <row r="38">
      <c s="10" r="A38">
        <v>483</v>
      </c>
      <c s="40" r="B38">
        <v>41614</v>
      </c>
      <c s="71" r="C38">
        <v>0.850694444444444</v>
      </c>
      <c s="68" r="D38">
        <v>415</v>
      </c>
      <c t="s" s="68" r="E38">
        <v>103</v>
      </c>
      <c t="s" s="10" r="F38">
        <v>323</v>
      </c>
      <c s="16" r="G38">
        <v>0.21</v>
      </c>
      <c s="16" r="H38"/>
      <c s="42" r="I38">
        <v>0</v>
      </c>
      <c s="79" r="J38">
        <f>110.16-SUMIF(Sellables!$A$2:$A$11482, $A38, Sellables!$E$2:$E$11482)</f>
        <v>29.93</v>
      </c>
      <c s="32" r="K38">
        <f>SUMIF(Sellables!$A$2:$A$11482, $A38, Sellables!$G$2:$G$11482)</f>
        <v>88.997606</v>
      </c>
      <c s="14" r="L38">
        <f>J38+K38</f>
        <v>118.927606</v>
      </c>
      <c s="23" r="M38">
        <f>G38*D38</f>
        <v>87.15</v>
      </c>
      <c s="70" r="N38">
        <f>L38-M38</f>
        <v>31.777606</v>
      </c>
      <c s="29" r="O38">
        <f> (L38/M38) - 1</f>
        <v>0.364631164658635</v>
      </c>
      <c s="70" r="P38">
        <f>G38*D38</f>
        <v>87.15</v>
      </c>
      <c s="70" r="Q38">
        <f>L38/D38</f>
        <v>0.286572544578313</v>
      </c>
      <c t="s" s="10" r="R38">
        <v>333</v>
      </c>
      <c t="s" s="10" r="S38">
        <v>42</v>
      </c>
      <c s="10" r="T38">
        <v>0</v>
      </c>
      <c s="10" r="U38">
        <v>0</v>
      </c>
      <c s="10" r="V38">
        <v>0</v>
      </c>
      <c s="10" r="W38">
        <v>0</v>
      </c>
    </row>
    <row r="39">
      <c s="10" r="A39">
        <v>484</v>
      </c>
      <c s="40" r="B39">
        <v>41614</v>
      </c>
      <c s="71" r="C39">
        <v>0.875</v>
      </c>
      <c s="68" r="D39">
        <v>48</v>
      </c>
      <c t="s" s="68" r="E39">
        <v>336</v>
      </c>
      <c t="s" s="10" r="F39">
        <v>323</v>
      </c>
      <c s="16" r="G39">
        <f>(0.39*12) +( 12 * 0.02)</f>
        <v>4.92</v>
      </c>
      <c s="16" r="H39"/>
      <c s="42" r="I39">
        <v>0</v>
      </c>
      <c s="79" r="J39">
        <f>181.05-SUMIF(Sellables!$A$2:$A$11482, $A39, Sellables!$E$2:$E$11482)</f>
        <v>147.85</v>
      </c>
      <c s="32" r="K39">
        <f>SUMIF(Sellables!$A$2:$A$11482, $A39, Sellables!$G$2:$G$11482)</f>
        <v>35.72984</v>
      </c>
      <c s="14" r="L39">
        <f>J39+K39</f>
        <v>183.57984</v>
      </c>
      <c s="23" r="M39">
        <f>G39*D39</f>
        <v>236.16</v>
      </c>
      <c s="70" r="N39">
        <f>L39-M39</f>
        <v>-52.58016</v>
      </c>
      <c s="29" r="O39">
        <f> (L39/M39) - 1</f>
        <v>-0.222646341463415</v>
      </c>
      <c s="70" r="P39">
        <f>G39*D39</f>
        <v>236.16</v>
      </c>
      <c s="70" r="Q39">
        <f>L39/D39</f>
        <v>3.82458</v>
      </c>
      <c t="s" s="10" r="R39">
        <v>333</v>
      </c>
      <c t="s" s="10" r="S39">
        <v>42</v>
      </c>
      <c s="10" r="T39">
        <v>0</v>
      </c>
      <c s="10" r="U39">
        <v>0</v>
      </c>
      <c s="10" r="V39">
        <v>0</v>
      </c>
      <c s="10" r="W39">
        <v>0</v>
      </c>
    </row>
    <row r="40">
      <c s="10" r="A40">
        <v>490</v>
      </c>
      <c s="40" r="B40">
        <v>41615</v>
      </c>
      <c s="71" r="C40">
        <v>0.677083333333333</v>
      </c>
      <c s="68" r="D40">
        <v>89</v>
      </c>
      <c t="s" s="68" r="E40">
        <v>337</v>
      </c>
      <c t="s" s="10" r="F40">
        <v>323</v>
      </c>
      <c s="16" r="G40">
        <v>1.07</v>
      </c>
      <c s="16" r="H40"/>
      <c s="42" r="I40">
        <v>0</v>
      </c>
      <c s="79" r="J40">
        <f>105.53-61.91</f>
        <v>43.62</v>
      </c>
      <c s="32" r="K40">
        <f>SUMIF(Sellables!$A$2:$A$11482, $A40, Sellables!$G$2:$G$11482)</f>
        <v>66.627542</v>
      </c>
      <c s="14" r="L40">
        <f>J40+K40</f>
        <v>110.247542</v>
      </c>
      <c s="23" r="M40">
        <f>G40*D40</f>
        <v>95.23</v>
      </c>
      <c s="70" r="N40">
        <f>L40-M40</f>
        <v>15.017542</v>
      </c>
      <c s="29" r="O40">
        <f> (L40/M40) - 1</f>
        <v>0.1576975952956</v>
      </c>
      <c s="70" r="P40">
        <f>G40*D40</f>
        <v>95.23</v>
      </c>
      <c s="70" r="Q40">
        <f>L40/D40</f>
        <v>1.23873642696629</v>
      </c>
      <c t="s" s="10" r="R40">
        <v>333</v>
      </c>
      <c t="s" s="10" r="S40">
        <v>42</v>
      </c>
      <c s="10" r="T40">
        <v>0</v>
      </c>
      <c s="10" r="U40">
        <v>0</v>
      </c>
      <c s="10" r="V40">
        <v>0</v>
      </c>
      <c s="10" r="W40">
        <v>0</v>
      </c>
    </row>
    <row r="41">
      <c s="10" r="A41">
        <v>491</v>
      </c>
      <c s="40" r="B41">
        <v>41615</v>
      </c>
      <c s="71" r="C41">
        <v>0.722222222222222</v>
      </c>
      <c s="68" r="D41">
        <v>575</v>
      </c>
      <c t="s" s="68" r="E41">
        <v>190</v>
      </c>
      <c t="s" s="10" r="F41">
        <v>330</v>
      </c>
      <c s="16" r="G41">
        <v>0.07</v>
      </c>
      <c s="16" r="H41"/>
      <c s="42" r="I41">
        <v>0</v>
      </c>
      <c s="79" r="J41">
        <f>43.08-SUMIF(Sellables!$A$2:$A$11482, $A41, Sellables!$E$2:$E$11482)</f>
        <v>36.13</v>
      </c>
      <c s="32" r="K41">
        <f>SUMIF(Sellables!$A$2:$A$11482, $A41, Sellables!$G$2:$G$11482)</f>
        <v>7.47959</v>
      </c>
      <c s="14" r="L41">
        <f>J41+K41</f>
        <v>43.60959</v>
      </c>
      <c s="23" r="M41">
        <f>G41*D41</f>
        <v>40.25</v>
      </c>
      <c s="70" r="N41">
        <f>L41-M41</f>
        <v>3.35958999999999</v>
      </c>
      <c s="29" r="O41">
        <f> (L41/M41) - 1</f>
        <v>0.083468074534161</v>
      </c>
      <c s="70" r="P41">
        <f>G41*D41</f>
        <v>40.25</v>
      </c>
      <c s="70" r="Q41">
        <f>L41/D41</f>
        <v>0.075842765217391</v>
      </c>
      <c t="s" s="10" r="R41">
        <v>333</v>
      </c>
      <c t="s" s="10" r="S41">
        <v>42</v>
      </c>
      <c s="10" r="T41">
        <v>0</v>
      </c>
      <c s="10" r="U41">
        <v>0</v>
      </c>
      <c s="10" r="V41">
        <v>0</v>
      </c>
      <c s="10" r="W41">
        <v>0</v>
      </c>
    </row>
    <row r="42">
      <c s="10" r="A42">
        <v>499</v>
      </c>
      <c s="40" r="B42">
        <v>41616</v>
      </c>
      <c s="71" r="C42">
        <v>0.614583333333333</v>
      </c>
      <c s="68" r="D42">
        <v>501</v>
      </c>
      <c t="s" s="68" r="E42">
        <v>327</v>
      </c>
      <c t="s" s="10" r="F42">
        <v>323</v>
      </c>
      <c s="16" r="G42">
        <f>0.24*(115/100)</f>
        <v>0.276</v>
      </c>
      <c s="16" r="H42"/>
      <c s="42" r="I42">
        <v>128.02</v>
      </c>
      <c s="79" r="J42">
        <f>I42-SUMIF(Sellables!$A$2:$A$11482, $A42, Sellables!$E$2:$E$11482)</f>
        <v>86</v>
      </c>
      <c s="32" r="K42">
        <f>SUMIF(Sellables!$A$2:$A$11482, $A42, Sellables!$G$2:$G$11482)</f>
        <v>45.221924</v>
      </c>
      <c s="14" r="L42">
        <f>J42+K42</f>
        <v>131.221924</v>
      </c>
      <c s="23" r="M42">
        <f>G42*D42</f>
        <v>138.276</v>
      </c>
      <c s="70" r="N42">
        <f>L42-M42</f>
        <v>-7.05407599999998</v>
      </c>
      <c s="29" r="O42">
        <f> (L42/M42) - 1</f>
        <v>-0.051014463825971</v>
      </c>
      <c s="70" r="P42">
        <f>G42*D42</f>
        <v>138.276</v>
      </c>
      <c s="70" r="Q42">
        <f>L42/D42</f>
        <v>0.261920007984032</v>
      </c>
      <c t="s" s="10" r="R42">
        <v>333</v>
      </c>
      <c t="s" s="10" r="S42">
        <v>42</v>
      </c>
      <c s="10" r="T42">
        <v>0</v>
      </c>
      <c s="10" r="U42">
        <v>0</v>
      </c>
      <c s="10" r="V42">
        <v>0</v>
      </c>
      <c s="10" r="W42">
        <v>0</v>
      </c>
    </row>
    <row r="43">
      <c s="10" r="A43">
        <v>500</v>
      </c>
      <c s="40" r="B43">
        <v>41616</v>
      </c>
      <c s="71" r="C43">
        <v>0.65625</v>
      </c>
      <c s="68" r="D43">
        <v>22</v>
      </c>
      <c t="s" s="68" r="E43">
        <v>338</v>
      </c>
      <c t="s" s="10" r="F43">
        <v>323</v>
      </c>
      <c s="16" r="G43">
        <f>4.92</f>
        <v>4.92</v>
      </c>
      <c s="16" r="H43"/>
      <c s="42" r="I43">
        <v>191.18</v>
      </c>
      <c s="79" r="J43">
        <f>I43-SUMIF(Sellables!$A$2:$A$11482, $A43, Sellables!$E$2:$E$11482)</f>
        <v>14.93</v>
      </c>
      <c s="32" r="K43">
        <f>SUMIF(Sellables!$A$2:$A$11482, $A43, Sellables!$G$2:$G$11482)</f>
        <v>198.427054</v>
      </c>
      <c s="14" r="L43">
        <f>J43+K43</f>
        <v>213.357054</v>
      </c>
      <c s="23" r="M43">
        <f>(G43*D43)+120</f>
        <v>228.24</v>
      </c>
      <c s="70" r="N43">
        <f>L43-M43</f>
        <v>-14.882946</v>
      </c>
      <c s="29" r="O43">
        <f> (L43/M43) - 1</f>
        <v>-0.065207439537329</v>
      </c>
      <c s="70" r="P43">
        <f>M43</f>
        <v>228.24</v>
      </c>
      <c s="70" r="Q43">
        <f>L43/D43</f>
        <v>9.69804790909091</v>
      </c>
      <c t="s" s="10" r="R43">
        <v>333</v>
      </c>
      <c t="s" s="10" r="S43">
        <v>42</v>
      </c>
      <c s="10" r="T43">
        <v>0</v>
      </c>
      <c s="10" r="U43">
        <v>0</v>
      </c>
      <c s="10" r="V43">
        <v>0</v>
      </c>
      <c s="10" r="W43">
        <v>0</v>
      </c>
    </row>
    <row r="44">
      <c s="10" r="A44">
        <v>503</v>
      </c>
      <c s="40" r="B44">
        <v>41617</v>
      </c>
      <c s="71" r="C44">
        <v>0.430555555555556</v>
      </c>
      <c s="68" r="D44">
        <v>423</v>
      </c>
      <c t="s" s="68" r="E44">
        <v>98</v>
      </c>
      <c t="s" s="10" r="F44">
        <v>323</v>
      </c>
      <c s="16" r="G44">
        <f>0.61</f>
        <v>0.61</v>
      </c>
      <c s="16" r="H44"/>
      <c s="42" r="I44">
        <v>231.82</v>
      </c>
      <c s="79" r="J44">
        <f>I44-SUMIF(Sellables!$A$2:$A$11482, $A44, Sellables!$E$2:$E$11482)</f>
        <v>184.28</v>
      </c>
      <c s="32" r="K44">
        <f>SUMIF(Sellables!$A$2:$A$11482, $A44, Sellables!$G$2:$G$11482)</f>
        <v>51.1055</v>
      </c>
      <c s="14" r="L44">
        <f>J44+K44</f>
        <v>235.3855</v>
      </c>
      <c s="23" r="M44">
        <f>G44*D44</f>
        <v>258.03</v>
      </c>
      <c s="70" r="N44">
        <f>L44-M44</f>
        <v>-22.6445</v>
      </c>
      <c s="29" r="O44">
        <f> (L44/M44) - 1</f>
        <v>-0.087759175289695</v>
      </c>
      <c s="70" r="P44">
        <f>M44</f>
        <v>258.03</v>
      </c>
      <c s="70" r="Q44">
        <f>L44/D44</f>
        <v>0.556466903073286</v>
      </c>
      <c t="s" s="10" r="R44">
        <v>182</v>
      </c>
      <c t="s" s="10" r="S44">
        <v>42</v>
      </c>
      <c s="10" r="T44">
        <v>0</v>
      </c>
      <c s="10" r="U44">
        <v>0</v>
      </c>
      <c s="10" r="V44">
        <v>0</v>
      </c>
      <c s="10" r="W44">
        <v>0</v>
      </c>
    </row>
    <row r="45">
      <c s="10" r="A45">
        <v>504</v>
      </c>
      <c s="40" r="B45">
        <v>41617</v>
      </c>
      <c s="71" r="C45">
        <v>0.46875</v>
      </c>
      <c s="68" r="D45">
        <v>90</v>
      </c>
      <c t="s" s="68" r="E45">
        <v>127</v>
      </c>
      <c t="s" s="10" r="F45">
        <v>323</v>
      </c>
      <c s="16" r="G45">
        <v>0.31</v>
      </c>
      <c s="16" r="H45"/>
      <c s="42" r="I45">
        <v>30.27</v>
      </c>
      <c s="79" r="J45">
        <f>I45-SUMIF(Sellables!$A$2:$A$11482, $A45, Sellables!$E$2:$E$11482)</f>
        <v>3.01</v>
      </c>
      <c s="32" r="K45">
        <f>SUMIF(Sellables!$A$2:$A$11482, $A45, Sellables!$G$2:$G$11482)</f>
        <v>37.4653</v>
      </c>
      <c s="14" r="L45">
        <f>J45+K45</f>
        <v>40.4753</v>
      </c>
      <c s="23" r="M45">
        <f>G45*D45</f>
        <v>27.9</v>
      </c>
      <c s="70" r="N45">
        <f>L45-M45</f>
        <v>12.5753</v>
      </c>
      <c s="29" r="O45">
        <f> (L45/M45) - 1</f>
        <v>0.450727598566308</v>
      </c>
      <c s="70" r="P45">
        <f>M45</f>
        <v>27.9</v>
      </c>
      <c s="70" r="Q45">
        <f>L45/D45</f>
        <v>0.449725555555556</v>
      </c>
      <c t="s" s="10" r="R45">
        <v>182</v>
      </c>
      <c t="s" s="10" r="S45">
        <v>42</v>
      </c>
      <c s="10" r="T45">
        <v>0</v>
      </c>
      <c s="10" r="U45">
        <v>0</v>
      </c>
      <c s="10" r="V45">
        <v>0</v>
      </c>
      <c s="10" r="W45">
        <v>0</v>
      </c>
    </row>
    <row r="46">
      <c s="10" r="A46">
        <v>505</v>
      </c>
      <c s="40" r="B46">
        <v>41617</v>
      </c>
      <c s="71" r="C46">
        <v>0.513888888888889</v>
      </c>
      <c s="68" r="D46">
        <v>428</v>
      </c>
      <c t="s" s="68" r="E46">
        <v>331</v>
      </c>
      <c t="s" s="10" r="F46">
        <v>323</v>
      </c>
      <c s="16" r="G46">
        <v>0.08</v>
      </c>
      <c s="16" r="H46"/>
      <c s="42" r="I46">
        <v>29.24</v>
      </c>
      <c s="79" r="J46">
        <f>I46-SUMIF(Sellables!$A$2:$A$11482, $A46, Sellables!$E$2:$E$11482)</f>
        <v>4.25</v>
      </c>
      <c s="32" r="K46">
        <f>SUMIF(Sellables!$A$2:$A$11482, $A46, Sellables!$G$2:$G$11482)</f>
        <v>28.975674</v>
      </c>
      <c s="14" r="L46">
        <f>J46+K46</f>
        <v>33.225674</v>
      </c>
      <c s="23" r="M46">
        <f>G46*D46</f>
        <v>34.24</v>
      </c>
      <c s="70" r="N46">
        <f>L46-M46</f>
        <v>-1.014326</v>
      </c>
      <c s="29" r="O46">
        <f> (L46/M46) - 1</f>
        <v>-0.029624007009346</v>
      </c>
      <c s="70" r="P46">
        <f>M46</f>
        <v>34.24</v>
      </c>
      <c s="70" r="Q46">
        <f>L46/D46</f>
        <v>0.077630079439252</v>
      </c>
      <c t="s" s="10" r="R46">
        <v>182</v>
      </c>
      <c t="s" s="10" r="S46">
        <v>42</v>
      </c>
      <c s="10" r="T46">
        <v>0</v>
      </c>
      <c s="10" r="U46">
        <v>0</v>
      </c>
      <c s="10" r="V46">
        <v>0</v>
      </c>
      <c s="10" r="W46">
        <v>0</v>
      </c>
    </row>
    <row r="47">
      <c s="10" r="A47">
        <v>506</v>
      </c>
      <c s="40" r="B47">
        <v>41617</v>
      </c>
      <c s="71" r="C47">
        <v>0.5625</v>
      </c>
      <c s="68" r="D47">
        <f>(163+164)+224</f>
        <v>551</v>
      </c>
      <c t="s" s="68" r="E47">
        <v>335</v>
      </c>
      <c t="s" s="10" r="F47">
        <v>323</v>
      </c>
      <c s="16" r="G47">
        <v>1.35</v>
      </c>
      <c s="16" r="H47"/>
      <c s="42" r="I47">
        <f>(((267.46-11.52)+156.95)+248.96)-7.96</f>
        <v>653.89</v>
      </c>
      <c s="79" r="J47">
        <f>I47-SUMIF(Sellables!$A$2:$A$11482, $A47, Sellables!$E$2:$E$11482)</f>
        <v>491.55</v>
      </c>
      <c s="32" r="K47">
        <f>SUMIF(Sellables!$A$2:$A$11482, $A47, Sellables!$G$2:$G$11482)</f>
        <v>255.55525</v>
      </c>
      <c s="14" r="L47">
        <f>J47+K47</f>
        <v>747.10525</v>
      </c>
      <c s="23" r="M47">
        <f>G47*D47</f>
        <v>743.85</v>
      </c>
      <c s="70" r="N47">
        <f>L47-M47</f>
        <v>3.25524999999993</v>
      </c>
      <c s="29" r="O47">
        <f> (L47/M47) - 1</f>
        <v>0.004376218323587</v>
      </c>
      <c s="70" r="P47">
        <f>M47</f>
        <v>743.85</v>
      </c>
      <c s="70" r="Q47">
        <f>L47/D47</f>
        <v>1.35590789473684</v>
      </c>
      <c t="s" s="10" r="R47">
        <v>182</v>
      </c>
      <c t="s" s="10" r="S47">
        <v>42</v>
      </c>
      <c s="10" r="T47">
        <v>0</v>
      </c>
      <c s="10" r="U47">
        <v>1</v>
      </c>
      <c s="10" r="V47">
        <v>0</v>
      </c>
      <c s="10" r="W47">
        <v>0</v>
      </c>
    </row>
    <row r="48">
      <c s="10" r="A48">
        <v>507</v>
      </c>
      <c s="40" r="B48">
        <v>41617</v>
      </c>
      <c s="71" r="C48">
        <v>0.59375</v>
      </c>
      <c s="68" r="D48">
        <f>215+58</f>
        <v>273</v>
      </c>
      <c t="s" s="68" r="E48">
        <v>339</v>
      </c>
      <c t="s" s="10" r="F48">
        <v>323</v>
      </c>
      <c s="16" r="G48">
        <v>0.42</v>
      </c>
      <c s="16" r="H48"/>
      <c s="42" r="I48">
        <f>82.32+29.98</f>
        <v>112.3</v>
      </c>
      <c s="79" r="J48">
        <f>I48-SUMIF(Sellables!$A$2:$A$11482, $A48, Sellables!$E$2:$E$11482)</f>
        <v>65.88</v>
      </c>
      <c s="32" r="K48">
        <f>SUMIF(Sellables!$A$2:$A$11482, $A48, Sellables!$G$2:$G$11482)</f>
        <v>51.00775</v>
      </c>
      <c s="14" r="L48">
        <f>J48+K48</f>
        <v>116.88775</v>
      </c>
      <c s="23" r="M48">
        <f>G48*D48</f>
        <v>114.66</v>
      </c>
      <c s="70" r="N48">
        <f>L48-M48</f>
        <v>2.22775</v>
      </c>
      <c s="29" r="O48">
        <f> (L48/M48) - 1</f>
        <v>0.019429181929182</v>
      </c>
      <c s="70" r="P48">
        <f>M48</f>
        <v>114.66</v>
      </c>
      <c s="70" r="Q48">
        <f>L48/D48</f>
        <v>0.428160256410256</v>
      </c>
      <c t="s" s="10" r="R48">
        <v>182</v>
      </c>
      <c t="s" s="10" r="S48">
        <v>42</v>
      </c>
      <c s="10" r="T48">
        <v>0</v>
      </c>
      <c s="10" r="U48">
        <v>0</v>
      </c>
      <c s="10" r="V48">
        <v>0</v>
      </c>
      <c s="10" r="W48">
        <v>0</v>
      </c>
    </row>
    <row r="49">
      <c s="10" r="A49">
        <v>508</v>
      </c>
      <c s="40" r="B49">
        <v>41617</v>
      </c>
      <c s="71" r="C49">
        <v>0.604166666666667</v>
      </c>
      <c s="68" r="D49">
        <v>25</v>
      </c>
      <c t="s" s="68" r="E49">
        <v>340</v>
      </c>
      <c t="s" s="10" r="F49">
        <v>323</v>
      </c>
      <c s="16" r="G49">
        <f>(0.39*1.12)+0.24</f>
        <v>0.6768</v>
      </c>
      <c s="16" r="H49"/>
      <c s="42" r="I49">
        <v>12.46</v>
      </c>
      <c s="79" r="J49">
        <f>I49-SUMIF(Sellables!$A$2:$A$11482, $A49, Sellables!$E$2:$E$11482)</f>
        <v>10.66</v>
      </c>
      <c s="32" r="K49">
        <f>SUMIF(Sellables!$A$2:$A$11482, $A49, Sellables!$G$2:$G$11482)</f>
        <v>1.935</v>
      </c>
      <c s="14" r="L49">
        <f>J49+K49</f>
        <v>12.595</v>
      </c>
      <c s="23" r="M49">
        <f>G49*D49</f>
        <v>16.92</v>
      </c>
      <c s="70" r="N49">
        <f>L49-M49</f>
        <v>-4.325</v>
      </c>
      <c s="29" r="O49">
        <f> (L49/M49) - 1</f>
        <v>-0.255614657210402</v>
      </c>
      <c s="70" r="P49">
        <f>M49</f>
        <v>16.92</v>
      </c>
      <c s="70" r="Q49">
        <f>L49/D49</f>
        <v>0.5038</v>
      </c>
      <c t="s" s="10" r="R49">
        <v>182</v>
      </c>
      <c t="s" s="10" r="S49">
        <v>42</v>
      </c>
      <c s="10" r="T49">
        <v>0</v>
      </c>
      <c s="10" r="U49">
        <v>0</v>
      </c>
      <c s="10" r="V49">
        <v>0</v>
      </c>
      <c s="10" r="W49">
        <v>0</v>
      </c>
    </row>
    <row r="50">
      <c s="10" r="A50">
        <v>509</v>
      </c>
      <c s="40" r="B50">
        <v>41617</v>
      </c>
      <c s="71" r="C50">
        <v>0.65625</v>
      </c>
      <c s="68" r="D50">
        <v>29</v>
      </c>
      <c t="s" s="68" r="E50">
        <v>92</v>
      </c>
      <c t="s" s="10" r="F50">
        <v>323</v>
      </c>
      <c s="16" r="G50">
        <v>1.9</v>
      </c>
      <c s="16" r="H50"/>
      <c s="42" r="I50">
        <v>43.31</v>
      </c>
      <c s="79" r="J50">
        <f>I50-SUMIF(Sellables!$A$2:$A$11482, $A50, Sellables!$E$2:$E$11482)</f>
        <v>7.2</v>
      </c>
      <c s="32" r="K50">
        <f>SUMIF(Sellables!$A$2:$A$11482, $A50, Sellables!$G$2:$G$11482)</f>
        <v>45.86825</v>
      </c>
      <c s="14" r="L50">
        <f>J50+K50</f>
        <v>53.06825</v>
      </c>
      <c s="23" r="M50">
        <f>G50*D50</f>
        <v>55.1</v>
      </c>
      <c s="70" r="N50">
        <f>L50-M50</f>
        <v>-2.03174999999999</v>
      </c>
      <c s="29" r="O50">
        <f> (L50/M50) - 1</f>
        <v>-0.036873865698729</v>
      </c>
      <c s="70" r="P50">
        <f>M50</f>
        <v>55.1</v>
      </c>
      <c s="70" r="Q50">
        <f>L50/D50</f>
        <v>1.82993965517241</v>
      </c>
      <c t="s" s="10" r="R50">
        <v>182</v>
      </c>
      <c t="s" s="10" r="S50">
        <v>42</v>
      </c>
      <c s="10" r="T50">
        <v>0</v>
      </c>
      <c s="10" r="U50">
        <v>0</v>
      </c>
      <c s="10" r="V50">
        <v>0</v>
      </c>
      <c s="10" r="W50">
        <v>0</v>
      </c>
    </row>
    <row r="51">
      <c s="10" r="A51">
        <v>512</v>
      </c>
      <c s="40" r="B51">
        <v>41617</v>
      </c>
      <c s="71" r="C51">
        <v>0.989583333333333</v>
      </c>
      <c s="68" r="D51">
        <v>256</v>
      </c>
      <c t="s" s="68" r="E51">
        <v>335</v>
      </c>
      <c t="s" s="10" r="F51">
        <v>323</v>
      </c>
      <c s="16" r="G51">
        <v>1.35</v>
      </c>
      <c s="16" r="H51"/>
      <c s="42" r="I51">
        <f>244.51+48.32</f>
        <v>292.83</v>
      </c>
      <c s="79" r="J51">
        <f>I51-SUMIF(Sellables!$A$2:$A$11482, $A51, Sellables!$E$2:$E$11482)</f>
        <v>234.4</v>
      </c>
      <c s="32" r="K51">
        <f>SUMIF(Sellables!$A$2:$A$11482, $A51, Sellables!$G$2:$G$11482)</f>
        <v>62.81225</v>
      </c>
      <c s="14" r="L51">
        <f>J51+K51</f>
        <v>297.21225</v>
      </c>
      <c s="23" r="M51">
        <f>G51*D51</f>
        <v>345.6</v>
      </c>
      <c s="70" r="N51">
        <f>L51-M51</f>
        <v>-48.38775</v>
      </c>
      <c s="29" r="O51">
        <f> (L51/M51) - 1</f>
        <v>-0.140010850694445</v>
      </c>
      <c s="70" r="P51">
        <f>M51</f>
        <v>345.6</v>
      </c>
      <c s="70" r="Q51">
        <f>L51/D51</f>
        <v>1.1609853515625</v>
      </c>
      <c t="s" s="10" r="R51">
        <v>333</v>
      </c>
      <c t="s" s="10" r="S51">
        <v>42</v>
      </c>
      <c s="10" r="T51">
        <v>0</v>
      </c>
      <c s="10" r="U51">
        <v>0</v>
      </c>
      <c s="10" r="V51">
        <v>0</v>
      </c>
      <c s="10" r="W51">
        <v>0</v>
      </c>
    </row>
    <row r="52">
      <c s="10" r="A52">
        <v>516</v>
      </c>
      <c s="40" r="B52">
        <v>41619</v>
      </c>
      <c s="71" r="C52">
        <v>0.895833333333333</v>
      </c>
      <c s="68" r="D52">
        <v>1611</v>
      </c>
      <c t="s" s="68" r="E52">
        <v>56</v>
      </c>
      <c t="s" s="10" r="F52">
        <v>329</v>
      </c>
      <c s="16" r="G52">
        <v>0.71</v>
      </c>
      <c s="16" r="H52"/>
      <c s="42" r="I52">
        <f>45.76+1319.14</f>
        <v>1364.9</v>
      </c>
      <c s="79" r="J52">
        <f>I52-SUMIF(Sellables!$A$2:$A$11482, $A52, Sellables!$E$2:$E$11482)</f>
        <v>851</v>
      </c>
      <c s="32" r="K52">
        <f>SUMIF(Sellables!$A$2:$A$11482, $A52, Sellables!$G$2:$G$11482)</f>
        <v>537.99018</v>
      </c>
      <c s="14" r="L52">
        <f>J52+K52</f>
        <v>1388.99018</v>
      </c>
      <c s="23" r="M52">
        <f>G52*D52</f>
        <v>1143.81</v>
      </c>
      <c s="70" r="N52">
        <f>L52-M52</f>
        <v>245.18018</v>
      </c>
      <c s="29" r="O52">
        <f> (L52/M52) - 1</f>
        <v>0.214353939902606</v>
      </c>
      <c s="70" r="P52">
        <f>M52</f>
        <v>1143.81</v>
      </c>
      <c s="70" r="Q52">
        <f>L52/D52</f>
        <v>0.86219129733085</v>
      </c>
      <c t="s" s="10" r="R52">
        <v>333</v>
      </c>
      <c t="s" s="10" r="S52">
        <v>42</v>
      </c>
      <c s="10" r="T52">
        <v>0</v>
      </c>
      <c s="10" r="U52">
        <v>1</v>
      </c>
      <c s="10" r="V52">
        <v>1</v>
      </c>
      <c s="10" r="W52">
        <v>1</v>
      </c>
    </row>
    <row r="53">
      <c s="10" r="A53">
        <v>517</v>
      </c>
      <c s="40" r="B53">
        <v>41620</v>
      </c>
      <c s="71" r="C53">
        <v>0.75</v>
      </c>
      <c s="68" r="D53">
        <v>384</v>
      </c>
      <c t="s" s="68" r="E53">
        <v>98</v>
      </c>
      <c t="s" s="10" r="F53">
        <v>323</v>
      </c>
      <c s="16" r="G53">
        <v>0.61</v>
      </c>
      <c s="16" r="H53"/>
      <c s="42" r="I53">
        <v>263.52</v>
      </c>
      <c s="79" r="J53">
        <f>I53-SUMIF(Sellables!$A$2:$A$11482, $A53, Sellables!$E$2:$E$11482)</f>
        <v>209.83</v>
      </c>
      <c s="32" r="K53">
        <f>SUMIF(Sellables!$A$2:$A$11482, $A53, Sellables!$G$2:$G$11482)</f>
        <v>57.71675</v>
      </c>
      <c s="14" r="L53">
        <f>J53+K53</f>
        <v>267.54675</v>
      </c>
      <c s="23" r="M53">
        <f>G53*D53</f>
        <v>234.24</v>
      </c>
      <c s="70" r="N53">
        <f>L53-M53</f>
        <v>33.30675</v>
      </c>
      <c s="29" r="O53">
        <f> (L53/M53) - 1</f>
        <v>0.142190701844262</v>
      </c>
      <c s="70" r="P53">
        <f>M53</f>
        <v>234.24</v>
      </c>
      <c s="70" r="Q53">
        <f>L53/D53</f>
        <v>0.696736328125</v>
      </c>
      <c t="s" s="10" r="R53">
        <v>333</v>
      </c>
      <c t="s" s="10" r="S53">
        <v>42</v>
      </c>
      <c s="10" r="T53">
        <v>0</v>
      </c>
      <c s="10" r="U53">
        <v>0</v>
      </c>
      <c s="10" r="V53">
        <v>1</v>
      </c>
      <c s="10" r="W53">
        <v>0</v>
      </c>
    </row>
    <row r="54">
      <c s="10" r="A54">
        <v>518</v>
      </c>
      <c s="40" r="B54">
        <v>41620</v>
      </c>
      <c s="71" r="C54">
        <v>0.767361111111111</v>
      </c>
      <c s="68" r="D54">
        <v>221</v>
      </c>
      <c t="s" s="68" r="E54">
        <v>133</v>
      </c>
      <c t="s" s="10" r="F54">
        <v>323</v>
      </c>
      <c s="16" r="G54">
        <v>0.31</v>
      </c>
      <c s="16" r="H54"/>
      <c s="42" r="I54">
        <v>61.69</v>
      </c>
      <c s="79" r="J54">
        <f>I54-SUMIF(Sellables!$A$2:$A$11482, $A54, Sellables!$E$2:$E$11482)</f>
        <v>50.76</v>
      </c>
      <c s="32" r="K54">
        <f>SUMIF(Sellables!$A$2:$A$11482, $A54, Sellables!$G$2:$G$11482)</f>
        <v>11.74975</v>
      </c>
      <c s="14" r="L54">
        <f>J54+K54</f>
        <v>62.50975</v>
      </c>
      <c s="23" r="M54">
        <f>G54*D54</f>
        <v>68.51</v>
      </c>
      <c s="70" r="N54">
        <f>L54-M54</f>
        <v>-6.00025000000001</v>
      </c>
      <c s="29" r="O54">
        <f> (L54/M54) - 1</f>
        <v>-0.087582104802219</v>
      </c>
      <c s="70" r="P54">
        <f>G54*D54</f>
        <v>68.51</v>
      </c>
      <c s="70" r="Q54">
        <f>L54/D54</f>
        <v>0.282849547511312</v>
      </c>
      <c t="s" s="10" r="R54">
        <v>333</v>
      </c>
      <c t="s" s="10" r="S54">
        <v>42</v>
      </c>
      <c s="10" r="T54">
        <v>0</v>
      </c>
      <c s="10" r="U54">
        <v>0</v>
      </c>
      <c s="10" r="V54">
        <v>0</v>
      </c>
      <c s="10" r="W54">
        <v>0</v>
      </c>
    </row>
    <row r="55">
      <c s="10" r="A55">
        <v>519</v>
      </c>
      <c s="40" r="B55">
        <v>41620</v>
      </c>
      <c s="71" r="C55">
        <v>0.785416666666667</v>
      </c>
      <c s="68" r="D55">
        <v>235</v>
      </c>
      <c t="s" s="68" r="E55">
        <v>335</v>
      </c>
      <c t="s" s="10" r="F55">
        <v>323</v>
      </c>
      <c s="16" r="G55">
        <v>1.35</v>
      </c>
      <c s="16" r="H55"/>
      <c s="42" r="I55">
        <f>255.63-17.24</f>
        <v>238.39</v>
      </c>
      <c s="79" r="J55">
        <f>I55-SUMIF(Sellables!$A$2:$A$11482, $A55, Sellables!$E$2:$E$11482)</f>
        <v>220.48</v>
      </c>
      <c s="32" r="K55">
        <f>SUMIF(Sellables!$A$2:$A$11482, $A55, Sellables!$G$2:$G$11482)</f>
        <v>19.25325</v>
      </c>
      <c s="14" r="L55">
        <f>J55+K55</f>
        <v>239.73325</v>
      </c>
      <c s="23" r="M55">
        <f>G55*D55</f>
        <v>317.25</v>
      </c>
      <c s="70" r="N55">
        <f>L55-M55</f>
        <v>-77.51675</v>
      </c>
      <c s="29" r="O55">
        <f> (L55/M55) - 1</f>
        <v>-0.24433963750985</v>
      </c>
      <c s="70" r="P55">
        <f>M55</f>
        <v>317.25</v>
      </c>
      <c s="70" r="Q55">
        <f>L55/D55</f>
        <v>1.0201414893617</v>
      </c>
      <c t="s" s="10" r="R55">
        <v>333</v>
      </c>
      <c t="s" s="10" r="S55">
        <v>42</v>
      </c>
      <c s="10" r="T55">
        <v>0</v>
      </c>
      <c s="10" r="U55">
        <v>1</v>
      </c>
      <c s="10" r="V55">
        <v>0</v>
      </c>
      <c s="10" r="W55">
        <v>0</v>
      </c>
    </row>
    <row r="56">
      <c s="10" r="A56">
        <v>520</v>
      </c>
      <c s="40" r="B56">
        <v>41620</v>
      </c>
      <c s="71" r="C56">
        <v>0.801388888888889</v>
      </c>
      <c s="68" r="D56">
        <v>150</v>
      </c>
      <c t="s" s="68" r="E56">
        <v>227</v>
      </c>
      <c t="s" s="10" r="F56">
        <v>323</v>
      </c>
      <c s="16" r="G56">
        <v>2.1</v>
      </c>
      <c s="16" r="H56"/>
      <c s="42" r="I56">
        <v>228.18</v>
      </c>
      <c s="79" r="J56">
        <f>I56-SUMIF(Sellables!$A$2:$A$11482, $A56, Sellables!$E$2:$E$11482)</f>
        <v>64.6</v>
      </c>
      <c s="32" r="K56">
        <f>SUMIF(Sellables!$A$2:$A$11482, $A56, Sellables!$G$2:$G$11482)</f>
        <v>225.8685</v>
      </c>
      <c s="14" r="L56">
        <f>J56+K56</f>
        <v>290.4685</v>
      </c>
      <c s="23" r="M56">
        <f>G56*D56</f>
        <v>315</v>
      </c>
      <c s="70" r="N56">
        <f>L56-M56</f>
        <v>-24.5315</v>
      </c>
      <c s="29" r="O56">
        <f> (L56/M56) - 1</f>
        <v>-0.077877777777778</v>
      </c>
      <c s="70" r="P56">
        <f>M56</f>
        <v>315</v>
      </c>
      <c s="70" r="Q56">
        <f>L56/D56</f>
        <v>1.93645666666667</v>
      </c>
      <c t="s" s="10" r="R56">
        <v>333</v>
      </c>
      <c t="s" s="10" r="S56">
        <v>42</v>
      </c>
      <c s="10" r="T56">
        <v>0</v>
      </c>
      <c s="10" r="U56">
        <v>1</v>
      </c>
      <c s="10" r="V56">
        <v>0</v>
      </c>
      <c s="10" r="W56">
        <v>0</v>
      </c>
    </row>
    <row r="57">
      <c s="10" r="A57">
        <v>522</v>
      </c>
      <c s="40" r="B57">
        <v>41620</v>
      </c>
      <c s="71" r="C57">
        <v>0.770833333333333</v>
      </c>
      <c s="68" r="D57">
        <v>296</v>
      </c>
      <c t="s" s="68" r="E57">
        <v>341</v>
      </c>
      <c t="s" s="10" r="F57">
        <v>323</v>
      </c>
      <c s="16" r="G57">
        <v>0.62</v>
      </c>
      <c s="16" r="H57"/>
      <c s="42" r="I57">
        <v>185.26</v>
      </c>
      <c s="79" r="J57">
        <f>I57-SUMIF(Sellables!$A$2:$A$11482, $A57, Sellables!$E$2:$E$11482)</f>
        <v>134.4</v>
      </c>
      <c s="32" r="K57">
        <f>SUMIF(Sellables!$A$2:$A$11482, $A57, Sellables!$G$2:$G$11482)</f>
        <v>54.6745</v>
      </c>
      <c s="14" r="L57">
        <f>J57+K57</f>
        <v>189.0745</v>
      </c>
      <c s="23" r="M57">
        <f>G57*D57</f>
        <v>183.52</v>
      </c>
      <c s="70" r="N57">
        <f>L57-M57</f>
        <v>5.55449999999996</v>
      </c>
      <c s="29" r="O57">
        <f> (L57/M57) - 1</f>
        <v>0.030266455972101</v>
      </c>
      <c s="70" r="P57">
        <f>M57</f>
        <v>183.52</v>
      </c>
      <c s="70" r="Q57">
        <f>L57/D57</f>
        <v>0.638765202702703</v>
      </c>
      <c t="s" s="10" r="R57">
        <v>333</v>
      </c>
      <c t="s" s="10" r="S57">
        <v>42</v>
      </c>
      <c s="10" r="T57">
        <v>0</v>
      </c>
      <c s="10" r="U57">
        <v>0</v>
      </c>
      <c s="10" r="V57">
        <v>0</v>
      </c>
      <c s="10" r="W57">
        <v>0</v>
      </c>
    </row>
    <row r="58">
      <c s="10" r="A58">
        <v>524</v>
      </c>
      <c s="40" r="B58">
        <v>41621</v>
      </c>
      <c s="71" r="C58">
        <v>0.864583333333333</v>
      </c>
      <c s="68" r="D58">
        <v>78</v>
      </c>
      <c t="s" s="68" r="E58">
        <v>342</v>
      </c>
      <c t="s" s="10" r="F58">
        <v>323</v>
      </c>
      <c s="16" r="G58">
        <f>(0.96*2) + 0.75</f>
        <v>2.67</v>
      </c>
      <c s="16" r="H58"/>
      <c s="42" r="I58">
        <v>185.7</v>
      </c>
      <c s="79" r="J58">
        <f>I58-SUMIF(Sellables!$A$2:$A$11482, $A58, Sellables!$E$2:$E$11482)</f>
        <v>185.7</v>
      </c>
      <c s="32" r="K58">
        <f>SUMIF(Sellables!$A$2:$A$11482, $A58, Sellables!$G$2:$G$11482)</f>
        <v>0</v>
      </c>
      <c s="14" r="L58">
        <f>J58+K58</f>
        <v>185.7</v>
      </c>
      <c s="23" r="M58">
        <f>G58*D58</f>
        <v>208.26</v>
      </c>
      <c s="70" r="N58">
        <f>L58-M58</f>
        <v>-22.56</v>
      </c>
      <c s="29" r="O58">
        <f> (L58/M58) - 1</f>
        <v>-0.108326130798041</v>
      </c>
      <c s="70" r="P58">
        <f>M58</f>
        <v>208.26</v>
      </c>
      <c s="70" r="Q58">
        <f>L58/D58</f>
        <v>2.38076923076923</v>
      </c>
      <c t="s" s="10" r="R58">
        <v>333</v>
      </c>
      <c t="s" s="10" r="S58">
        <v>42</v>
      </c>
      <c s="10" r="T58">
        <v>0</v>
      </c>
      <c s="10" r="U58">
        <v>0</v>
      </c>
      <c s="10" r="V58">
        <v>0</v>
      </c>
      <c s="10" r="W58">
        <v>0</v>
      </c>
    </row>
    <row r="59">
      <c s="10" r="A59">
        <v>525</v>
      </c>
      <c s="40" r="B59">
        <v>41621</v>
      </c>
      <c s="71" r="C59">
        <v>0.864583333333333</v>
      </c>
      <c s="68" r="D59">
        <v>63</v>
      </c>
      <c t="s" s="68" r="E59">
        <v>343</v>
      </c>
      <c t="s" s="10" r="F59">
        <v>323</v>
      </c>
      <c s="16" r="G59">
        <f>((0.96*2)+(1.20*4))+(0.75*2)</f>
        <v>8.22</v>
      </c>
      <c s="16" r="H59"/>
      <c s="42" r="I59">
        <v>552.37</v>
      </c>
      <c s="79" r="J59">
        <f>((I59-SUMIF(Sellables!$A$2:$A$11482, $A59, Sellables!$E$2:$E$11482))-80.56)+0.85</f>
        <v>472.66</v>
      </c>
      <c s="32" r="K59">
        <f>SUMIF(Sellables!$A$2:$A$11482, $A59, Sellables!$G$2:$G$11482)</f>
        <v>0</v>
      </c>
      <c s="14" r="L59">
        <f>J59+K59</f>
        <v>472.66</v>
      </c>
      <c s="23" r="M59">
        <f>G59*D59</f>
        <v>517.86</v>
      </c>
      <c s="70" r="N59">
        <f>L59-M59</f>
        <v>-45.1999999999999</v>
      </c>
      <c s="29" r="O59">
        <f> (L59/M59) - 1</f>
        <v>-0.087282277063299</v>
      </c>
      <c s="70" r="P59">
        <f>M59</f>
        <v>517.86</v>
      </c>
      <c s="70" r="Q59">
        <f>L59/D59</f>
        <v>7.50253968253968</v>
      </c>
      <c t="s" s="10" r="R59">
        <v>333</v>
      </c>
      <c t="s" s="10" r="S59">
        <v>42</v>
      </c>
      <c s="10" r="T59">
        <v>0</v>
      </c>
      <c s="10" r="U59">
        <v>0</v>
      </c>
      <c s="10" r="V59">
        <v>0</v>
      </c>
      <c s="10" r="W59">
        <v>0</v>
      </c>
    </row>
    <row r="60">
      <c s="10" r="A60">
        <v>526</v>
      </c>
      <c s="40" r="B60">
        <v>41621</v>
      </c>
      <c s="71" r="C60">
        <v>0.864583333333333</v>
      </c>
      <c s="68" r="D60">
        <v>134</v>
      </c>
      <c t="s" s="68" r="E60">
        <v>344</v>
      </c>
      <c t="s" s="10" r="F60">
        <v>323</v>
      </c>
      <c s="16" r="G60">
        <v>1.22</v>
      </c>
      <c s="16" r="H60"/>
      <c s="42" r="I60">
        <f>121.37+8.36</f>
        <v>129.73</v>
      </c>
      <c s="79" r="J60">
        <f>I60-SUMIF(Sellables!$A$2:$A$11482, $A60, Sellables!$E$2:$E$11482)</f>
        <v>108.15</v>
      </c>
      <c s="32" r="K60">
        <f>SUMIF(Sellables!$A$2:$A$11482, $A60, Sellables!$G$2:$G$11482)</f>
        <v>23.1985</v>
      </c>
      <c s="14" r="L60">
        <f>J60+K60</f>
        <v>131.3485</v>
      </c>
      <c s="23" r="M60">
        <f>G60*D60</f>
        <v>163.48</v>
      </c>
      <c s="70" r="N60">
        <f>L60-M60</f>
        <v>-32.1315</v>
      </c>
      <c s="29" r="O60">
        <f> (L60/M60) - 1</f>
        <v>-0.196546978223636</v>
      </c>
      <c s="70" r="P60">
        <f>M60</f>
        <v>163.48</v>
      </c>
      <c s="70" r="Q60">
        <f>L60/D60</f>
        <v>0.980212686567164</v>
      </c>
      <c t="s" s="10" r="R60">
        <v>333</v>
      </c>
      <c t="s" s="10" r="S60">
        <v>42</v>
      </c>
      <c s="10" r="T60">
        <v>0</v>
      </c>
      <c s="10" r="U60">
        <v>0</v>
      </c>
      <c s="10" r="V60">
        <v>0</v>
      </c>
      <c s="10" r="W60">
        <v>0</v>
      </c>
    </row>
    <row r="61">
      <c s="10" r="A61">
        <v>527</v>
      </c>
      <c s="40" r="B61">
        <v>41621</v>
      </c>
      <c s="71" r="C61">
        <v>0.96875</v>
      </c>
      <c s="68" r="D61">
        <v>111</v>
      </c>
      <c t="s" s="68" r="E61">
        <v>345</v>
      </c>
      <c t="s" s="10" r="F61">
        <v>323</v>
      </c>
      <c s="16" r="G61">
        <v>0.66</v>
      </c>
      <c s="16" r="H61"/>
      <c s="42" r="I61">
        <v>83.01</v>
      </c>
      <c s="79" r="J61">
        <f>I61-SUMIF(Sellables!$A$2:$A$11482, $A61, Sellables!$E$2:$E$11482)</f>
        <v>44.19</v>
      </c>
      <c s="32" r="K61">
        <f>SUMIF(Sellables!$A$2:$A$11482, $A61, Sellables!$G$2:$G$11482)</f>
        <v>41.7315</v>
      </c>
      <c s="14" r="L61">
        <f>J61+K61</f>
        <v>85.9215</v>
      </c>
      <c s="23" r="M61">
        <f>G61*D61</f>
        <v>73.26</v>
      </c>
      <c s="70" r="N61">
        <f>L61-M61</f>
        <v>12.6615</v>
      </c>
      <c s="29" r="O61">
        <f> (L61/M61) - 1</f>
        <v>0.172829647829648</v>
      </c>
      <c s="70" r="P61">
        <f>M61</f>
        <v>73.26</v>
      </c>
      <c s="70" r="Q61">
        <f>L61/D61</f>
        <v>0.774067567567568</v>
      </c>
      <c t="s" s="10" r="R61">
        <v>333</v>
      </c>
      <c t="s" s="10" r="S61">
        <v>42</v>
      </c>
      <c s="10" r="T61">
        <v>0</v>
      </c>
      <c s="10" r="U61">
        <v>0</v>
      </c>
      <c s="10" r="V61">
        <v>0</v>
      </c>
      <c s="10" r="W61">
        <v>0</v>
      </c>
    </row>
    <row r="62">
      <c s="10" r="A62">
        <v>528</v>
      </c>
      <c s="40" r="B62">
        <v>41621</v>
      </c>
      <c s="71" r="C62">
        <v>0.979166666666667</v>
      </c>
      <c s="68" r="D62">
        <v>96</v>
      </c>
      <c t="s" s="68" r="E62">
        <v>346</v>
      </c>
      <c t="s" s="10" r="F62">
        <v>323</v>
      </c>
      <c s="16" r="G62">
        <f>((1.2+1.35)+2.4)+0.96</f>
        <v>5.91</v>
      </c>
      <c s="16" r="H62"/>
      <c s="42" r="I62">
        <f>1201.34-500</f>
        <v>701.34</v>
      </c>
      <c s="79" r="J62">
        <f>I62-SUMIF(Sellables!$A$2:$A$11482, $A62, Sellables!$E$2:$E$11482)</f>
        <v>-223.48</v>
      </c>
      <c s="32" r="K62">
        <f>SUMIF(Sellables!$A$2:$A$11482, $A62, Sellables!$G$2:$G$11482)</f>
        <v>1378.5765</v>
      </c>
      <c s="14" r="L62">
        <f>J62+K62</f>
        <v>1155.0965</v>
      </c>
      <c s="23" r="M62">
        <f>G62*D62</f>
        <v>567.36</v>
      </c>
      <c s="70" r="N62">
        <f>L62-M62</f>
        <v>587.7365</v>
      </c>
      <c s="29" r="O62">
        <f> (L62/M62) - 1</f>
        <v>1.03591458685843</v>
      </c>
      <c s="70" r="P62">
        <f>M62</f>
        <v>567.36</v>
      </c>
      <c s="70" r="Q62">
        <f>L62/D62</f>
        <v>12.0322552083333</v>
      </c>
      <c t="s" s="10" r="R62">
        <v>333</v>
      </c>
      <c t="s" s="10" r="S62">
        <v>42</v>
      </c>
      <c s="10" r="T62">
        <v>0</v>
      </c>
      <c s="10" r="U62">
        <v>0</v>
      </c>
      <c s="10" r="V62">
        <v>2</v>
      </c>
      <c s="10" r="W62">
        <v>0</v>
      </c>
    </row>
    <row r="63">
      <c s="10" r="A63">
        <v>529</v>
      </c>
      <c s="40" r="B63">
        <v>41621</v>
      </c>
      <c s="71" r="C63">
        <v>0.979166666666667</v>
      </c>
      <c s="68" r="D63">
        <v>69</v>
      </c>
      <c t="s" s="68" r="E63">
        <v>337</v>
      </c>
      <c t="s" s="10" r="F63">
        <v>323</v>
      </c>
      <c s="16" r="G63">
        <v>1.07</v>
      </c>
      <c s="16" r="H63"/>
      <c s="42" r="I63">
        <v>48.6</v>
      </c>
      <c s="79" r="J63">
        <f>I63-SUMIF(Sellables!$A$2:$A$11482, $A63, Sellables!$E$2:$E$11482)</f>
        <v>28.19</v>
      </c>
      <c s="32" r="K63">
        <f>SUMIF(Sellables!$A$2:$A$11482, $A63, Sellables!$G$2:$G$11482)</f>
        <v>21.94075</v>
      </c>
      <c s="14" r="L63">
        <f>J63+K63</f>
        <v>50.13075</v>
      </c>
      <c s="23" r="M63">
        <f>G63*D63</f>
        <v>73.83</v>
      </c>
      <c s="70" r="N63">
        <f>L63-M63</f>
        <v>-23.69925</v>
      </c>
      <c s="29" r="O63">
        <f> (L63/M63) - 1</f>
        <v>-0.32099756196668</v>
      </c>
      <c s="70" r="P63">
        <f>M63</f>
        <v>73.83</v>
      </c>
      <c s="70" r="Q63">
        <f>L63/D63</f>
        <v>0.726532608695652</v>
      </c>
      <c t="s" s="10" r="R63">
        <v>333</v>
      </c>
      <c t="s" s="10" r="S63">
        <v>42</v>
      </c>
      <c s="10" r="T63">
        <v>0</v>
      </c>
      <c s="10" r="U63">
        <v>0</v>
      </c>
      <c s="10" r="V63">
        <v>0</v>
      </c>
      <c s="10" r="W63">
        <v>0</v>
      </c>
    </row>
    <row r="64">
      <c s="10" r="A64">
        <v>530</v>
      </c>
      <c s="40" r="B64">
        <v>41621</v>
      </c>
      <c s="71" r="C64">
        <v>0.979166666666667</v>
      </c>
      <c s="68" r="D64">
        <v>37</v>
      </c>
      <c t="s" s="68" r="E64">
        <v>347</v>
      </c>
      <c t="s" s="10" r="F64">
        <v>323</v>
      </c>
      <c s="16" r="G64">
        <f>(((46*0.03)+0.32)+(33*0.03))+3</f>
        <v>5.69</v>
      </c>
      <c s="16" r="H64"/>
      <c s="42" r="I64">
        <f>(317.59-4.94)-160</f>
        <v>152.65</v>
      </c>
      <c s="79" r="J64">
        <f>I64-SUMIF(Sellables!$A$2:$A$11482, $A64, Sellables!$E$2:$E$11482)</f>
        <v>152</v>
      </c>
      <c s="32" r="K64">
        <f>SUMIF(Sellables!$A$2:$A$11482, $A64, Sellables!$G$2:$G$11482)</f>
        <v>6.9355</v>
      </c>
      <c s="14" r="L64">
        <f>J64+K64</f>
        <v>158.9355</v>
      </c>
      <c s="23" r="M64">
        <f>G64*D64</f>
        <v>210.53</v>
      </c>
      <c s="70" r="N64">
        <f>L64-M64</f>
        <v>-51.5945</v>
      </c>
      <c s="29" r="O64">
        <f> (L64/M64) - 1</f>
        <v>-0.24506958628224</v>
      </c>
      <c s="70" r="P64">
        <f>M64</f>
        <v>210.53</v>
      </c>
      <c s="70" r="Q64">
        <f>L64/D64</f>
        <v>4.29555405405405</v>
      </c>
      <c t="s" s="10" r="R64">
        <v>333</v>
      </c>
      <c t="s" s="10" r="S64">
        <v>42</v>
      </c>
      <c s="10" r="T64">
        <v>0</v>
      </c>
      <c s="10" r="U64">
        <v>1</v>
      </c>
      <c s="10" r="V64">
        <v>0</v>
      </c>
      <c s="10" r="W64">
        <v>0</v>
      </c>
    </row>
    <row r="65">
      <c s="10" r="A65">
        <v>531</v>
      </c>
      <c s="40" r="B65">
        <v>41622</v>
      </c>
      <c s="71" r="C65">
        <v>0.010416666666667</v>
      </c>
      <c s="68" r="D65">
        <v>50</v>
      </c>
      <c t="s" s="68" r="E65">
        <v>176</v>
      </c>
      <c t="s" s="10" r="F65">
        <v>323</v>
      </c>
      <c s="16" r="G65">
        <v>1.77</v>
      </c>
      <c s="16" r="H65"/>
      <c s="42" r="I65">
        <v>67.11</v>
      </c>
      <c s="79" r="J65">
        <f>I65-SUMIF(Sellables!$A$2:$A$11482, $A65, Sellables!$E$2:$E$11482)</f>
        <v>67.11</v>
      </c>
      <c s="32" r="K65">
        <f>SUMIF(Sellables!$A$2:$A$11482, $A65, Sellables!$G$2:$G$11482)</f>
        <v>0</v>
      </c>
      <c s="14" r="L65">
        <f>J65+K65</f>
        <v>67.11</v>
      </c>
      <c s="23" r="M65">
        <f>G65*D65</f>
        <v>88.5</v>
      </c>
      <c s="70" r="N65">
        <f>L65-M65</f>
        <v>-21.39</v>
      </c>
      <c s="29" r="O65">
        <f> (L65/M65) - 1</f>
        <v>-0.241694915254237</v>
      </c>
      <c s="70" r="P65">
        <f>M65</f>
        <v>88.5</v>
      </c>
      <c s="70" r="Q65">
        <f>L65/D65</f>
        <v>1.3422</v>
      </c>
      <c t="s" s="10" r="R65">
        <v>333</v>
      </c>
      <c t="s" s="10" r="S65">
        <v>42</v>
      </c>
      <c s="10" r="T65">
        <v>0</v>
      </c>
      <c s="10" r="U65">
        <v>0</v>
      </c>
      <c s="10" r="V65">
        <v>0</v>
      </c>
      <c s="10" r="W65">
        <v>0</v>
      </c>
    </row>
    <row r="66">
      <c s="10" r="A66">
        <v>532</v>
      </c>
      <c s="40" r="B66">
        <v>41622</v>
      </c>
      <c s="71" r="C66">
        <v>0.5625</v>
      </c>
      <c s="68" r="D66">
        <f>(124+544)+1007</f>
        <v>1675</v>
      </c>
      <c t="s" s="68" r="E66">
        <v>139</v>
      </c>
      <c t="s" s="10" r="F66">
        <v>323</v>
      </c>
      <c s="16" r="G66">
        <v>0.91</v>
      </c>
      <c s="16" r="H66"/>
      <c s="42" r="I66">
        <f>(116.24+397.22)+998.41</f>
        <v>1511.87</v>
      </c>
      <c s="79" r="J66">
        <f>I66-SUMIF(Sellables!$A$2:$A$11482, $A66, Sellables!$E$2:$E$11482)</f>
        <v>870.27</v>
      </c>
      <c s="32" r="K66">
        <f>SUMIF(Sellables!$A$2:$A$11482, $A66, Sellables!$G$2:$G$11482)</f>
        <v>641.6</v>
      </c>
      <c s="14" r="L66">
        <f>J66+K66</f>
        <v>1511.87</v>
      </c>
      <c s="23" r="M66">
        <f>G66*D66</f>
        <v>1524.25</v>
      </c>
      <c s="70" r="N66">
        <f>L66-M66</f>
        <v>-12.3800000000001</v>
      </c>
      <c s="29" r="O66">
        <f> (L66/M66) - 1</f>
        <v>-0.008122027226505</v>
      </c>
      <c s="70" r="P66">
        <f>M66</f>
        <v>1524.25</v>
      </c>
      <c s="70" r="Q66">
        <f>L66/D66</f>
        <v>0.90260895522388</v>
      </c>
      <c t="s" s="10" r="R66">
        <v>333</v>
      </c>
      <c t="s" s="10" r="S66">
        <v>42</v>
      </c>
      <c s="10" r="T66">
        <v>0</v>
      </c>
      <c s="10" r="U66">
        <v>0</v>
      </c>
      <c s="10" r="V66">
        <v>1</v>
      </c>
      <c s="10" r="W66">
        <v>0</v>
      </c>
    </row>
    <row r="67">
      <c s="10" r="A67">
        <v>533</v>
      </c>
      <c s="40" r="B67">
        <v>41622</v>
      </c>
      <c s="71" r="C67">
        <v>0.645138888888889</v>
      </c>
      <c s="68" r="D67">
        <v>1002</v>
      </c>
      <c t="s" s="68" r="E67">
        <v>325</v>
      </c>
      <c t="s" s="10" r="F67">
        <v>323</v>
      </c>
      <c s="16" r="G67">
        <v>1.8</v>
      </c>
      <c s="16" r="H67"/>
      <c s="42" r="I67">
        <v>1356.29</v>
      </c>
      <c s="79" r="J67">
        <f>I67-SUMIF(Sellables!$A$2:$A$11482, $A67, Sellables!$E$2:$E$11482)</f>
        <v>548.01</v>
      </c>
      <c s="32" r="K67">
        <f>SUMIF(Sellables!$A$2:$A$11482, $A67, Sellables!$G$2:$G$11482)</f>
        <v>853.39475</v>
      </c>
      <c s="14" r="L67">
        <f>J67+K67</f>
        <v>1401.40475</v>
      </c>
      <c s="23" r="M67">
        <f>G67*D67</f>
        <v>1803.6</v>
      </c>
      <c s="70" r="N67">
        <f>L67-M67</f>
        <v>-402.19525</v>
      </c>
      <c s="29" r="O67">
        <f> (L67/M67) - 1</f>
        <v>-0.2229958139277</v>
      </c>
      <c s="70" r="P67">
        <f>M67</f>
        <v>1803.6</v>
      </c>
      <c s="70" r="Q67">
        <f>L67/D67</f>
        <v>1.39860753493014</v>
      </c>
      <c t="s" s="10" r="R67">
        <v>333</v>
      </c>
      <c t="s" s="10" r="S67">
        <v>42</v>
      </c>
      <c s="10" r="T67">
        <v>0</v>
      </c>
      <c s="10" r="U67">
        <v>1</v>
      </c>
      <c s="10" r="V67">
        <v>0</v>
      </c>
      <c s="10" r="W67">
        <v>0</v>
      </c>
    </row>
    <row r="68">
      <c s="10" r="A68">
        <v>543</v>
      </c>
      <c s="40" r="B68">
        <v>41623</v>
      </c>
      <c s="71" r="C68">
        <v>0.979166666666667</v>
      </c>
      <c s="68" r="D68">
        <v>2850</v>
      </c>
      <c t="s" s="68" r="E68">
        <v>56</v>
      </c>
      <c t="s" s="10" r="F68">
        <v>323</v>
      </c>
      <c s="16" r="G68">
        <v>0.71</v>
      </c>
      <c s="16" r="H68"/>
      <c s="42" r="I68">
        <v>2130</v>
      </c>
      <c s="79" r="J68">
        <f>I68-SUMIF(Sellables!$A$2:$A$11482, $A68, Sellables!$E$2:$E$11482)</f>
        <v>2130</v>
      </c>
      <c s="32" r="K68">
        <f>SUMIF(Sellables!$A$2:$A$11482, $A68, Sellables!$G$2:$G$11482)</f>
        <v>0</v>
      </c>
      <c s="14" r="L68">
        <f>J68+K68</f>
        <v>2130</v>
      </c>
      <c s="23" r="M68">
        <f>G68*D68</f>
        <v>2023.5</v>
      </c>
      <c s="70" r="N68">
        <f>L68-M68</f>
        <v>106.5</v>
      </c>
      <c s="29" r="O68">
        <f> (L68/M68) - 1</f>
        <v>0.052631578947368</v>
      </c>
      <c s="70" r="P68">
        <f>M68</f>
        <v>2023.5</v>
      </c>
      <c s="70" r="Q68">
        <f>L68/D68</f>
        <v>0.747368421052632</v>
      </c>
      <c t="s" s="10" r="R68">
        <v>104</v>
      </c>
      <c t="s" s="10" r="S68">
        <v>42</v>
      </c>
      <c s="10" r="T68">
        <v>0</v>
      </c>
      <c s="10" r="U68">
        <v>0</v>
      </c>
      <c s="10" r="V68">
        <v>2</v>
      </c>
      <c s="10" r="W68">
        <v>0</v>
      </c>
    </row>
    <row r="69">
      <c s="10" r="A69">
        <v>544</v>
      </c>
      <c s="40" r="B69">
        <v>41624</v>
      </c>
      <c s="71" r="C69">
        <v>0.416666666666667</v>
      </c>
      <c s="68" r="D69">
        <v>1324</v>
      </c>
      <c t="s" s="68" r="E69">
        <v>139</v>
      </c>
      <c t="s" s="10" r="F69">
        <v>323</v>
      </c>
      <c s="16" r="G69">
        <v>0.91</v>
      </c>
      <c s="16" r="H69"/>
      <c s="42" r="I69">
        <v>1252.65</v>
      </c>
      <c s="79" r="J69">
        <f>I69-SUMIF(Sellables!$A$2:$A$11482, $A69, Sellables!$E$2:$E$11482)</f>
        <v>775.45</v>
      </c>
      <c s="32" r="K69">
        <f>SUMIF(Sellables!$A$2:$A$11482, $A69, Sellables!$G$2:$G$11482)</f>
        <v>477.2</v>
      </c>
      <c s="14" r="L69">
        <f>J69+K69</f>
        <v>1252.65</v>
      </c>
      <c s="23" r="M69">
        <f>G69*D69</f>
        <v>1204.84</v>
      </c>
      <c s="70" r="N69">
        <f>L69-M69</f>
        <v>47.8099999999999</v>
      </c>
      <c s="29" r="O69">
        <f> (L69/M69) - 1</f>
        <v>0.039681617476179</v>
      </c>
      <c s="70" r="P69">
        <f>M69</f>
        <v>1204.84</v>
      </c>
      <c s="70" r="Q69">
        <f>L69/D69</f>
        <v>0.946110271903323</v>
      </c>
      <c t="s" s="10" r="R69">
        <v>200</v>
      </c>
      <c t="s" s="10" r="S69">
        <v>42</v>
      </c>
      <c s="10" r="T69">
        <v>0</v>
      </c>
      <c s="10" r="U69">
        <v>0</v>
      </c>
      <c s="10" r="V69">
        <v>1</v>
      </c>
      <c s="10" r="W69">
        <v>0</v>
      </c>
    </row>
    <row r="70">
      <c s="10" r="A70">
        <v>545</v>
      </c>
      <c s="40" r="B70">
        <v>41624</v>
      </c>
      <c s="71" r="C70">
        <v>0.479166666666667</v>
      </c>
      <c s="68" r="D70">
        <v>745</v>
      </c>
      <c t="s" s="68" r="E70">
        <v>325</v>
      </c>
      <c t="s" s="10" r="F70">
        <v>323</v>
      </c>
      <c s="16" r="G70">
        <v>1.8</v>
      </c>
      <c s="16" r="H70"/>
      <c s="42" r="I70">
        <v>1044.23</v>
      </c>
      <c s="79" r="J70">
        <f>I70-SUMIF(Sellables!$A$2:$A$11482, $A70, Sellables!$E$2:$E$11482)</f>
        <v>391.7</v>
      </c>
      <c s="32" r="K70">
        <f>SUMIF(Sellables!$A$2:$A$11482, $A70, Sellables!$G$2:$G$11482)</f>
        <v>689.3385</v>
      </c>
      <c s="14" r="L70">
        <f>J70+K70</f>
        <v>1081.0385</v>
      </c>
      <c s="23" r="M70">
        <f>G70*D70</f>
        <v>1341</v>
      </c>
      <c s="70" r="N70">
        <f>L70-M70</f>
        <v>-259.9615</v>
      </c>
      <c s="29" r="O70">
        <f> (L70/M70) - 1</f>
        <v>-0.193856450410142</v>
      </c>
      <c s="70" r="P70">
        <f>M70</f>
        <v>1341</v>
      </c>
      <c s="70" r="Q70">
        <f>L70/D70</f>
        <v>1.45105838926174</v>
      </c>
      <c t="s" s="10" r="R70">
        <v>200</v>
      </c>
      <c t="s" s="10" r="S70">
        <v>42</v>
      </c>
      <c s="10" r="T70">
        <v>0</v>
      </c>
      <c s="10" r="U70">
        <v>0</v>
      </c>
      <c s="10" r="V70">
        <v>0</v>
      </c>
      <c s="10" r="W70">
        <v>0</v>
      </c>
    </row>
    <row r="71">
      <c s="10" r="A71">
        <v>546</v>
      </c>
      <c s="40" r="B71">
        <v>41624</v>
      </c>
      <c s="71" r="C71">
        <v>0.5</v>
      </c>
      <c s="68" r="D71">
        <v>173</v>
      </c>
      <c t="s" s="68" r="E71">
        <v>348</v>
      </c>
      <c t="s" s="10" r="F71">
        <v>323</v>
      </c>
      <c s="16" r="G71">
        <v>0.61</v>
      </c>
      <c s="16" r="H71"/>
      <c s="42" r="I71">
        <v>72</v>
      </c>
      <c s="79" r="J71">
        <f>I71-SUMIF(Sellables!$A$2:$A$11482, $A71, Sellables!$E$2:$E$11482)</f>
        <v>55.65</v>
      </c>
      <c s="32" r="K71">
        <f>SUMIF(Sellables!$A$2:$A$11482, $A71, Sellables!$G$2:$G$11482)</f>
        <v>17.57625</v>
      </c>
      <c s="14" r="L71">
        <f>J71+K71</f>
        <v>73.22625</v>
      </c>
      <c s="23" r="M71">
        <f>G71*D71</f>
        <v>105.53</v>
      </c>
      <c s="70" r="N71">
        <f>L71-M71</f>
        <v>-32.30375</v>
      </c>
      <c s="29" r="O71">
        <f> (L71/M71) - 1</f>
        <v>-0.306109637070028</v>
      </c>
      <c s="70" r="P71">
        <f>M71</f>
        <v>105.53</v>
      </c>
      <c s="70" r="Q71">
        <f>L71/D71</f>
        <v>0.423273121387283</v>
      </c>
      <c t="s" s="10" r="R71">
        <v>200</v>
      </c>
      <c t="s" s="10" r="S71">
        <v>42</v>
      </c>
      <c s="10" r="T71">
        <v>0</v>
      </c>
      <c s="10" r="U71">
        <v>0</v>
      </c>
      <c s="10" r="V71">
        <v>1</v>
      </c>
      <c s="10" r="W71">
        <v>0</v>
      </c>
    </row>
    <row r="72">
      <c s="10" r="A72">
        <v>547</v>
      </c>
      <c s="40" r="B72">
        <v>41624</v>
      </c>
      <c s="71" r="C72">
        <v>0.722222222222222</v>
      </c>
      <c s="68" r="D72">
        <v>502</v>
      </c>
      <c t="s" s="68" r="E72">
        <v>349</v>
      </c>
      <c t="s" s="10" r="F72">
        <v>323</v>
      </c>
      <c s="16" r="G72">
        <v>2.62</v>
      </c>
      <c s="16" r="H72"/>
      <c s="42" r="I72">
        <v>921.24</v>
      </c>
      <c s="79" r="J72">
        <f>I72-SUMIF(Sellables!$A$2:$A$11482, $A72, Sellables!$E$2:$E$11482)</f>
        <v>791.03</v>
      </c>
      <c s="32" r="K72">
        <f>SUMIF(Sellables!$A$2:$A$11482, $A72, Sellables!$G$2:$G$11482)</f>
        <v>199.1695</v>
      </c>
      <c s="14" r="L72">
        <f>J72+K72</f>
        <v>990.1995</v>
      </c>
      <c s="23" r="M72">
        <f>G72*D72</f>
        <v>1315.24</v>
      </c>
      <c s="70" r="N72">
        <f>L72-M72</f>
        <v>-325.0405</v>
      </c>
      <c s="29" r="O72">
        <f> (L72/M72) - 1</f>
        <v>-0.247133983151364</v>
      </c>
      <c s="70" r="P72">
        <f>M72</f>
        <v>1315.24</v>
      </c>
      <c s="70" r="Q72">
        <f>L72/D72</f>
        <v>1.97250896414343</v>
      </c>
      <c t="s" s="10" r="R72">
        <v>333</v>
      </c>
      <c t="s" s="10" r="S72">
        <v>42</v>
      </c>
      <c s="10" r="T72">
        <v>0</v>
      </c>
      <c s="10" r="U72">
        <v>0</v>
      </c>
      <c s="10" r="V72">
        <v>0</v>
      </c>
      <c s="10" r="W72">
        <v>0</v>
      </c>
    </row>
    <row r="73">
      <c s="10" r="A73">
        <v>548</v>
      </c>
      <c s="40" r="B73">
        <v>41624</v>
      </c>
      <c s="71" r="C73">
        <v>0.729166666666667</v>
      </c>
      <c s="68" r="D73">
        <v>2779</v>
      </c>
      <c t="s" s="68" r="E73">
        <v>190</v>
      </c>
      <c t="s" s="10" r="F73">
        <v>329</v>
      </c>
      <c s="16" r="G73">
        <v>0.07</v>
      </c>
      <c s="16" r="H73"/>
      <c s="42" r="I73">
        <v>149.5</v>
      </c>
      <c s="79" r="J73">
        <f>I73-SUMIF(Sellables!$A$2:$A$11482, $A73, Sellables!$E$2:$E$11482)</f>
        <v>15.08</v>
      </c>
      <c s="32" r="K73">
        <f>SUMIF(Sellables!$A$2:$A$11482, $A73, Sellables!$G$2:$G$11482)</f>
        <v>144.5015</v>
      </c>
      <c s="14" r="L73">
        <f>J73+K73</f>
        <v>159.5815</v>
      </c>
      <c s="23" r="M73">
        <f>G73*D73</f>
        <v>194.53</v>
      </c>
      <c s="70" r="N73">
        <f>L73-M73</f>
        <v>-34.9485</v>
      </c>
      <c s="29" r="O73">
        <f> (L73/M73) - 1</f>
        <v>-0.179656094175706</v>
      </c>
      <c s="70" r="P73">
        <f>M73</f>
        <v>194.53</v>
      </c>
      <c s="70" r="Q73">
        <f>L73/D73</f>
        <v>0.057424073407701</v>
      </c>
      <c t="s" s="10" r="R73">
        <v>333</v>
      </c>
      <c t="s" s="10" r="S73">
        <v>42</v>
      </c>
      <c s="10" r="T73">
        <v>0</v>
      </c>
      <c s="10" r="U73">
        <v>0</v>
      </c>
      <c s="10" r="V73">
        <v>0</v>
      </c>
      <c s="10" r="W73">
        <v>0</v>
      </c>
    </row>
    <row r="74">
      <c s="10" r="A74">
        <v>549</v>
      </c>
      <c s="40" r="B74">
        <v>41624</v>
      </c>
      <c s="71" r="C74">
        <v>0.888888888888889</v>
      </c>
      <c s="68" r="D74">
        <v>106</v>
      </c>
      <c t="s" s="68" r="E74">
        <v>176</v>
      </c>
      <c t="s" s="10" r="F74">
        <v>323</v>
      </c>
      <c s="16" r="G74">
        <v>1.77</v>
      </c>
      <c s="16" r="H74"/>
      <c s="42" r="I74">
        <v>130.04</v>
      </c>
      <c s="79" r="J74">
        <f>I74-SUMIF(Sellables!$A$2:$A$11482, $A74, Sellables!$E$2:$E$11482)</f>
        <v>130.04</v>
      </c>
      <c s="32" r="K74">
        <f>SUMIF(Sellables!$A$2:$A$11482, $A74, Sellables!$G$2:$G$11482)</f>
        <v>0</v>
      </c>
      <c s="14" r="L74">
        <f>J74+K74</f>
        <v>130.04</v>
      </c>
      <c s="23" r="M74">
        <f>G74*D74</f>
        <v>187.62</v>
      </c>
      <c s="70" r="N74">
        <f>L74-M74</f>
        <v>-57.58</v>
      </c>
      <c s="29" r="O74">
        <f> (L74/M74) - 1</f>
        <v>-0.306896919304978</v>
      </c>
      <c s="70" r="P74">
        <f>M74</f>
        <v>187.62</v>
      </c>
      <c s="70" r="Q74">
        <f>L74/D74</f>
        <v>1.22679245283019</v>
      </c>
      <c t="s" s="10" r="R74">
        <v>333</v>
      </c>
      <c t="s" s="10" r="S74">
        <v>42</v>
      </c>
      <c s="10" r="T74">
        <v>0</v>
      </c>
      <c s="10" r="U74">
        <v>0</v>
      </c>
      <c s="10" r="V74">
        <v>0</v>
      </c>
      <c s="10" r="W74">
        <v>0</v>
      </c>
    </row>
    <row r="75">
      <c s="10" r="A75">
        <v>550</v>
      </c>
      <c s="40" r="B75">
        <v>41624</v>
      </c>
      <c s="71" r="C75">
        <v>0.895833333333333</v>
      </c>
      <c s="68" r="D75">
        <v>120</v>
      </c>
      <c t="s" s="68" r="E75">
        <v>88</v>
      </c>
      <c t="s" s="10" r="F75">
        <v>323</v>
      </c>
      <c s="16" r="G75">
        <v>2.4</v>
      </c>
      <c s="16" r="H75"/>
      <c s="42" r="I75">
        <v>271.29</v>
      </c>
      <c s="79" r="J75">
        <f>I75-SUMIF(Sellables!$A$2:$A$11482, $A75, Sellables!$E$2:$E$11482)</f>
        <v>244.81</v>
      </c>
      <c s="32" r="K75">
        <f>SUMIF(Sellables!$A$2:$A$11482, $A75, Sellables!$G$2:$G$11482)</f>
        <v>28.466</v>
      </c>
      <c s="14" r="L75">
        <f>J75+K75</f>
        <v>273.276</v>
      </c>
      <c s="23" r="M75">
        <f>G75*D75</f>
        <v>288</v>
      </c>
      <c s="70" r="N75">
        <f>L75-M75</f>
        <v>-14.724</v>
      </c>
      <c s="29" r="O75">
        <f> (L75/M75) - 1</f>
        <v>-0.051125</v>
      </c>
      <c s="70" r="P75">
        <f>M75</f>
        <v>288</v>
      </c>
      <c s="70" r="Q75">
        <f>L75/D75</f>
        <v>2.2773</v>
      </c>
      <c t="s" s="10" r="R75">
        <v>333</v>
      </c>
      <c t="s" s="10" r="S75">
        <v>42</v>
      </c>
      <c s="10" r="T75">
        <v>0</v>
      </c>
      <c s="10" r="U75">
        <v>0</v>
      </c>
      <c s="10" r="V75">
        <v>0</v>
      </c>
      <c s="10" r="W75">
        <v>0</v>
      </c>
    </row>
    <row r="76">
      <c s="10" r="A76">
        <v>555</v>
      </c>
      <c s="40" r="B76">
        <v>41625</v>
      </c>
      <c s="71" r="C76">
        <v>0.4375</v>
      </c>
      <c s="68" r="D76">
        <v>0</v>
      </c>
      <c t="s" s="68" r="E76">
        <v>56</v>
      </c>
      <c t="s" s="10" r="F76">
        <v>323</v>
      </c>
      <c s="16" r="G76">
        <v>0.71</v>
      </c>
      <c s="16" r="H76"/>
      <c s="42" r="I76">
        <v>0</v>
      </c>
      <c s="79" r="J76">
        <f>I76-SUMIF(Sellables!$A$2:$A$11482, $A76, Sellables!$E$2:$E$11482)</f>
        <v>0</v>
      </c>
      <c s="32" r="K76">
        <f>SUMIF(Sellables!$A$2:$A$11482, $A76, Sellables!$G$2:$G$11482)</f>
        <v>0</v>
      </c>
      <c s="14" r="L76">
        <f>J76+K76</f>
        <v>0</v>
      </c>
      <c s="23" r="M76">
        <f>G76*D76</f>
        <v>0</v>
      </c>
      <c s="70" r="N76">
        <f>L76-M76</f>
        <v>0</v>
      </c>
      <c t="str" s="29" r="O76">
        <f> (L76/M76) - 1</f>
        <v>#DIV/0!:divZero</v>
      </c>
      <c s="70" r="P76">
        <f>M76</f>
        <v>0</v>
      </c>
      <c t="str" s="70" r="Q76">
        <f>L76/D76</f>
        <v>#DIV/0!:divZero</v>
      </c>
      <c t="s" s="10" r="R76">
        <v>333</v>
      </c>
      <c t="s" s="10" r="S76">
        <v>42</v>
      </c>
      <c s="10" r="T76">
        <v>0</v>
      </c>
      <c s="10" r="U76">
        <v>0</v>
      </c>
      <c s="10" r="V76">
        <v>0</v>
      </c>
      <c s="10" r="W76">
        <v>0</v>
      </c>
    </row>
    <row r="77">
      <c s="10" r="A77">
        <v>556</v>
      </c>
      <c s="40" r="B77">
        <v>41625</v>
      </c>
      <c s="71" r="C77">
        <v>0.458333333333333</v>
      </c>
      <c s="68" r="D77">
        <v>0</v>
      </c>
      <c t="s" s="68" r="E77">
        <v>88</v>
      </c>
      <c t="s" s="10" r="F77">
        <v>323</v>
      </c>
      <c s="16" r="G77">
        <v>2.4</v>
      </c>
      <c s="16" r="H77"/>
      <c s="42" r="I77">
        <v>0</v>
      </c>
      <c s="79" r="J77">
        <f>I77-SUMIF(Sellables!$A$2:$A$11482, $A77, Sellables!$E$2:$E$11482)</f>
        <v>0</v>
      </c>
      <c s="32" r="K77">
        <f>SUMIF(Sellables!$A$2:$A$11482, $A77, Sellables!$G$2:$G$11482)</f>
        <v>0</v>
      </c>
      <c s="14" r="L77">
        <f>J77+K77</f>
        <v>0</v>
      </c>
      <c s="23" r="M77">
        <f>G77*D77</f>
        <v>0</v>
      </c>
      <c s="70" r="N77">
        <f>L77-M77</f>
        <v>0</v>
      </c>
      <c t="str" s="29" r="O77">
        <f> (L77/M77) - 1</f>
        <v>#DIV/0!:divZero</v>
      </c>
      <c s="70" r="P77">
        <f>M77</f>
        <v>0</v>
      </c>
      <c t="str" s="70" r="Q77">
        <f>L77/D77</f>
        <v>#DIV/0!:divZero</v>
      </c>
      <c t="s" s="10" r="R77">
        <v>333</v>
      </c>
      <c t="s" s="10" r="S77">
        <v>42</v>
      </c>
      <c s="10" r="T77">
        <v>0</v>
      </c>
      <c s="10" r="U77">
        <v>0</v>
      </c>
      <c s="10" r="V77">
        <v>1</v>
      </c>
      <c s="10" r="W77">
        <v>0</v>
      </c>
    </row>
    <row r="78">
      <c s="10" r="A78">
        <v>557</v>
      </c>
      <c s="40" r="B78">
        <v>41625</v>
      </c>
      <c s="71" r="C78">
        <v>0.736111111111111</v>
      </c>
      <c s="68" r="D78">
        <v>220</v>
      </c>
      <c t="s" s="68" r="E78">
        <v>139</v>
      </c>
      <c t="s" s="10" r="F78">
        <v>323</v>
      </c>
      <c s="16" r="G78">
        <v>0.91</v>
      </c>
      <c s="16" r="H78"/>
      <c s="42" r="I78">
        <v>157.15</v>
      </c>
      <c s="79" r="J78">
        <f>I78-SUMIF(Sellables!$A$2:$A$11482, $A78, Sellables!$E$2:$E$11482)</f>
        <v>157.15</v>
      </c>
      <c s="32" r="K78">
        <f>SUMIF(Sellables!$A$2:$A$11482, $A78, Sellables!$G$2:$G$11482)</f>
        <v>0</v>
      </c>
      <c s="14" r="L78">
        <f>J78+K78</f>
        <v>157.15</v>
      </c>
      <c s="23" r="M78">
        <f>G78*D78</f>
        <v>200.2</v>
      </c>
      <c s="70" r="N78">
        <f>L78-M78</f>
        <v>-43.05</v>
      </c>
      <c s="29" r="O78">
        <f> (L78/M78) - 1</f>
        <v>-0.215034965034965</v>
      </c>
      <c s="70" r="P78">
        <f>M78</f>
        <v>200.2</v>
      </c>
      <c s="70" r="Q78">
        <f>L78/D78</f>
        <v>0.714318181818182</v>
      </c>
      <c t="s" s="10" r="R78">
        <v>182</v>
      </c>
      <c t="s" s="10" r="S78">
        <v>42</v>
      </c>
      <c s="10" r="T78">
        <v>0</v>
      </c>
      <c s="10" r="U78">
        <v>0</v>
      </c>
      <c s="10" r="V78">
        <v>0</v>
      </c>
      <c s="10" r="W78">
        <v>0</v>
      </c>
    </row>
    <row r="79">
      <c s="10" r="A79">
        <v>558</v>
      </c>
      <c s="40" r="B79">
        <v>41625</v>
      </c>
      <c s="71" r="C79">
        <v>0.736111111111111</v>
      </c>
      <c s="68" r="D79">
        <v>222</v>
      </c>
      <c t="s" s="68" r="E79">
        <v>139</v>
      </c>
      <c t="s" s="10" r="F79">
        <v>323</v>
      </c>
      <c s="16" r="G79">
        <v>0.91</v>
      </c>
      <c s="16" r="H79"/>
      <c s="42" r="I79">
        <v>146.15</v>
      </c>
      <c s="79" r="J79">
        <f>I79-SUMIF(Sellables!$A$2:$A$11482, $A79, Sellables!$E$2:$E$11482)</f>
        <v>146.15</v>
      </c>
      <c s="32" r="K79">
        <f>SUMIF(Sellables!$A$2:$A$11482, $A79, Sellables!$G$2:$G$11482)</f>
        <v>0</v>
      </c>
      <c s="14" r="L79">
        <f>J79+K79</f>
        <v>146.15</v>
      </c>
      <c s="23" r="M79">
        <f>G79*D79</f>
        <v>202.02</v>
      </c>
      <c s="70" r="N79">
        <f>L79-M79</f>
        <v>-55.87</v>
      </c>
      <c s="29" r="O79">
        <f> (L79/M79) - 1</f>
        <v>-0.276556776556777</v>
      </c>
      <c s="70" r="P79">
        <f>M79</f>
        <v>202.02</v>
      </c>
      <c s="70" r="Q79">
        <f>L79/D79</f>
        <v>0.658333333333333</v>
      </c>
      <c t="s" s="10" r="R79">
        <v>350</v>
      </c>
      <c t="s" s="10" r="S79">
        <v>54</v>
      </c>
      <c s="10" r="T79">
        <v>0</v>
      </c>
      <c s="10" r="U79">
        <v>0</v>
      </c>
      <c s="10" r="V79">
        <v>0</v>
      </c>
      <c s="10" r="W79">
        <v>0</v>
      </c>
    </row>
    <row r="80">
      <c s="10" r="A80">
        <v>559</v>
      </c>
      <c s="40" r="B80">
        <v>41625</v>
      </c>
      <c s="71" r="C80">
        <v>0.989583333333333</v>
      </c>
      <c s="68" r="D80">
        <v>311</v>
      </c>
      <c t="s" s="68" r="E80">
        <v>335</v>
      </c>
      <c t="s" s="10" r="F80">
        <v>351</v>
      </c>
      <c s="16" r="G80">
        <v>1.35</v>
      </c>
      <c s="16" r="H80"/>
      <c s="42" r="I80">
        <f>673.74-(465-154.14)</f>
        <v>362.88</v>
      </c>
      <c s="79" r="J80">
        <f>I80-SUMIF(Sellables!$A$2:$A$11482, $A80, Sellables!$E$2:$E$11482)</f>
        <v>362.02</v>
      </c>
      <c s="32" r="K80">
        <f>SUMIF(Sellables!$A$2:$A$11482, $A80, Sellables!$G$2:$G$11482)</f>
        <v>68.8</v>
      </c>
      <c s="14" r="L80">
        <f>J80+K80</f>
        <v>430.82</v>
      </c>
      <c s="23" r="M80">
        <f>G80*D80</f>
        <v>419.85</v>
      </c>
      <c s="70" r="N80">
        <f>L80-M80</f>
        <v>10.97</v>
      </c>
      <c s="29" r="O80">
        <f> (L80/M80) - 1</f>
        <v>0.026128379183042</v>
      </c>
      <c s="70" r="P80">
        <f>M80</f>
        <v>419.85</v>
      </c>
      <c s="70" r="Q80">
        <f>L80/D80</f>
        <v>1.38527331189711</v>
      </c>
      <c t="s" s="10" r="R80">
        <v>182</v>
      </c>
      <c t="s" s="10" r="S80">
        <v>42</v>
      </c>
      <c s="10" r="T80">
        <v>0</v>
      </c>
      <c s="10" r="U80">
        <v>0</v>
      </c>
      <c s="10" r="V80">
        <v>0</v>
      </c>
      <c s="10" r="W80">
        <v>0</v>
      </c>
    </row>
    <row r="81">
      <c s="10" r="A81">
        <v>560</v>
      </c>
      <c s="40" r="B81">
        <v>41626</v>
      </c>
      <c s="71" r="C81">
        <v>0.40625</v>
      </c>
      <c s="68" r="D81">
        <v>358</v>
      </c>
      <c t="s" s="68" r="E81">
        <v>133</v>
      </c>
      <c t="s" s="10" r="F81">
        <v>323</v>
      </c>
      <c s="16" r="G81">
        <v>0.31</v>
      </c>
      <c s="16" r="H81"/>
      <c s="42" r="I81">
        <v>122.88</v>
      </c>
      <c s="79" r="J81">
        <f>I81-SUMIF(Sellables!$A$2:$A$11482, $A81, Sellables!$E$2:$E$11482)</f>
        <v>72.78</v>
      </c>
      <c s="32" r="K81">
        <f>SUMIF(Sellables!$A$2:$A$11482, $A81, Sellables!$G$2:$G$11482)</f>
        <v>53.8575</v>
      </c>
      <c s="14" r="L81">
        <f>J81+K81</f>
        <v>126.6375</v>
      </c>
      <c s="23" r="M81">
        <f>G81*D81</f>
        <v>110.98</v>
      </c>
      <c s="70" r="N81">
        <f>L81-M81</f>
        <v>15.6575</v>
      </c>
      <c s="29" r="O81">
        <f> (L81/M81) - 1</f>
        <v>0.141083979095332</v>
      </c>
      <c s="70" r="P81">
        <f>M81</f>
        <v>110.98</v>
      </c>
      <c s="70" r="Q81">
        <f>L81/D81</f>
        <v>0.353736033519553</v>
      </c>
      <c t="s" s="10" r="R81">
        <v>182</v>
      </c>
      <c t="s" s="10" r="S81">
        <v>42</v>
      </c>
      <c s="10" r="T81">
        <v>0</v>
      </c>
      <c s="10" r="U81">
        <v>0</v>
      </c>
      <c s="10" r="V81">
        <v>0</v>
      </c>
      <c s="10" r="W81">
        <v>0</v>
      </c>
    </row>
    <row r="82">
      <c s="10" r="A82">
        <v>561</v>
      </c>
      <c s="40" r="B82">
        <v>41626</v>
      </c>
      <c s="71" r="C82">
        <v>0.416666666666667</v>
      </c>
      <c s="68" r="D82">
        <v>595</v>
      </c>
      <c t="s" s="68" r="E82">
        <v>56</v>
      </c>
      <c t="s" s="10" r="F82">
        <v>323</v>
      </c>
      <c s="16" r="G82">
        <v>0.71</v>
      </c>
      <c s="16" r="H82"/>
      <c s="42" r="I82">
        <v>350.83</v>
      </c>
      <c s="79" r="J82">
        <f>I82-SUMIF(Sellables!$A$2:$A$11482, $A82, Sellables!$E$2:$E$11482)</f>
        <v>188.83</v>
      </c>
      <c s="32" r="K82">
        <f>SUMIF(Sellables!$A$2:$A$11482, $A82, Sellables!$G$2:$G$11482)</f>
        <v>170.1</v>
      </c>
      <c s="14" r="L82">
        <f>J82+K82</f>
        <v>358.93</v>
      </c>
      <c s="23" r="M82">
        <f>G82*D82</f>
        <v>422.45</v>
      </c>
      <c s="70" r="N82">
        <f>L82-M82</f>
        <v>-63.52</v>
      </c>
      <c s="29" r="O82">
        <f> (L82/M82) - 1</f>
        <v>-0.150360989466209</v>
      </c>
      <c s="70" r="P82">
        <f>M82</f>
        <v>422.45</v>
      </c>
      <c s="70" r="Q82">
        <f>L82/D82</f>
        <v>0.603243697478992</v>
      </c>
      <c t="s" s="10" r="R82">
        <v>182</v>
      </c>
      <c t="s" s="10" r="S82">
        <v>42</v>
      </c>
      <c s="10" r="T82">
        <v>0</v>
      </c>
      <c s="10" r="U82">
        <v>0</v>
      </c>
      <c s="10" r="V82">
        <v>0</v>
      </c>
      <c s="10" r="W82">
        <v>0</v>
      </c>
    </row>
    <row r="83">
      <c s="10" r="A83">
        <v>562</v>
      </c>
      <c s="40" r="B83">
        <v>41626</v>
      </c>
      <c s="71" r="C83">
        <v>0.454861111111111</v>
      </c>
      <c s="68" r="D83">
        <v>100</v>
      </c>
      <c t="s" s="68" r="E83">
        <v>344</v>
      </c>
      <c t="s" s="10" r="F83">
        <v>323</v>
      </c>
      <c s="16" r="G83">
        <v>1.22</v>
      </c>
      <c s="16" r="H83"/>
      <c s="42" r="I83">
        <v>277.56</v>
      </c>
      <c s="79" r="J83">
        <f>I83-SUMIF(Sellables!$A$2:$A$11482, $A83, Sellables!$E$2:$E$11482)</f>
        <v>90.76</v>
      </c>
      <c s="32" r="K83">
        <f>SUMIF(Sellables!$A$2:$A$11482, $A83, Sellables!$G$2:$G$11482)</f>
        <v>200.81</v>
      </c>
      <c s="14" r="L83">
        <f>J83+K83</f>
        <v>291.57</v>
      </c>
      <c s="23" r="M83">
        <f>G83*D83</f>
        <v>122</v>
      </c>
      <c s="70" r="N83">
        <f>L83-M83</f>
        <v>169.57</v>
      </c>
      <c s="29" r="O83">
        <f> (L83/M83) - 1</f>
        <v>1.38991803278688</v>
      </c>
      <c s="70" r="P83">
        <f>M83</f>
        <v>122</v>
      </c>
      <c s="70" r="Q83">
        <f>L83/D83</f>
        <v>2.9157</v>
      </c>
      <c t="s" s="10" r="R83">
        <v>182</v>
      </c>
      <c t="s" s="10" r="S83">
        <v>42</v>
      </c>
      <c s="10" r="T83">
        <v>0</v>
      </c>
      <c s="10" r="U83">
        <v>0</v>
      </c>
      <c s="10" r="V83">
        <v>1</v>
      </c>
      <c s="10" r="W83">
        <v>0</v>
      </c>
    </row>
    <row r="84">
      <c s="10" r="A84">
        <v>563</v>
      </c>
      <c s="40" r="B84">
        <v>41626</v>
      </c>
      <c s="71" r="C84">
        <v>0.520833333333333</v>
      </c>
      <c s="68" r="D84">
        <v>66</v>
      </c>
      <c t="s" s="68" r="E84">
        <v>98</v>
      </c>
      <c t="s" s="10" r="F84">
        <v>323</v>
      </c>
      <c s="16" r="G84">
        <v>0.61</v>
      </c>
      <c s="16" r="H84"/>
      <c s="42" r="I84">
        <v>40.7</v>
      </c>
      <c s="79" r="J84">
        <f>I84-SUMIF(Sellables!$A$2:$A$11482, $A84, Sellables!$E$2:$E$11482)</f>
        <v>36.12</v>
      </c>
      <c s="32" r="K84">
        <f>SUMIF(Sellables!$A$2:$A$11482, $A84, Sellables!$G$2:$G$11482)</f>
        <v>4.9235</v>
      </c>
      <c s="14" r="L84">
        <f>J84+K84</f>
        <v>41.0435</v>
      </c>
      <c s="23" r="M84">
        <f>G84*D84</f>
        <v>40.26</v>
      </c>
      <c s="70" r="N84">
        <f>L84-M84</f>
        <v>0.783500000000004</v>
      </c>
      <c s="29" r="O84">
        <f> (L84/M84) - 1</f>
        <v>0.019461003477397</v>
      </c>
      <c s="70" r="P84">
        <f>M84</f>
        <v>40.26</v>
      </c>
      <c s="70" r="Q84">
        <f>L84/D84</f>
        <v>0.621871212121212</v>
      </c>
      <c t="s" s="10" r="R84">
        <v>182</v>
      </c>
      <c t="s" s="10" r="S84">
        <v>42</v>
      </c>
      <c s="10" r="T84">
        <v>0</v>
      </c>
      <c s="10" r="U84">
        <v>0</v>
      </c>
      <c s="10" r="V84">
        <v>1</v>
      </c>
      <c s="10" r="W84">
        <v>0</v>
      </c>
    </row>
    <row r="85">
      <c s="10" r="A85">
        <v>564</v>
      </c>
      <c s="40" r="B85">
        <v>41626</v>
      </c>
      <c s="71" r="C85">
        <v>0.5625</v>
      </c>
      <c s="68" r="D85">
        <v>54</v>
      </c>
      <c t="s" s="68" r="E85">
        <v>258</v>
      </c>
      <c t="s" s="10" r="F85">
        <v>323</v>
      </c>
      <c s="16" r="G85">
        <v>1.21</v>
      </c>
      <c s="16" r="H85"/>
      <c s="42" r="I85">
        <v>47.6</v>
      </c>
      <c s="79" r="J85">
        <f>I85-SUMIF(Sellables!$A$2:$A$11482, $A85, Sellables!$E$2:$E$11482)</f>
        <v>35.27</v>
      </c>
      <c s="32" r="K85">
        <f>SUMIF(Sellables!$A$2:$A$11482, $A85, Sellables!$G$2:$G$11482)</f>
        <v>13.25475</v>
      </c>
      <c s="14" r="L85">
        <f>J85+K85</f>
        <v>48.52475</v>
      </c>
      <c s="23" r="M85">
        <f>G85*D85</f>
        <v>65.34</v>
      </c>
      <c s="70" r="N85">
        <f>L85-M85</f>
        <v>-16.81525</v>
      </c>
      <c s="29" r="O85">
        <f> (L85/M85) - 1</f>
        <v>-0.257350015304561</v>
      </c>
      <c s="70" r="P85">
        <f>M85</f>
        <v>65.34</v>
      </c>
      <c s="70" r="Q85">
        <f>L85/D85</f>
        <v>0.898606481481482</v>
      </c>
      <c t="s" s="10" r="R85">
        <v>182</v>
      </c>
      <c t="s" s="10" r="S85">
        <v>42</v>
      </c>
      <c s="10" r="T85">
        <v>0</v>
      </c>
      <c s="10" r="U85">
        <v>0</v>
      </c>
      <c s="10" r="V85">
        <v>0</v>
      </c>
      <c s="10" r="W85">
        <v>0</v>
      </c>
    </row>
    <row r="86">
      <c s="10" r="A86">
        <v>565</v>
      </c>
      <c s="40" r="B86">
        <v>41626</v>
      </c>
      <c s="71" r="C86">
        <v>0.5625</v>
      </c>
      <c s="68" r="D86">
        <f>82+169</f>
        <v>251</v>
      </c>
      <c t="s" s="68" r="E86">
        <v>352</v>
      </c>
      <c t="s" s="10" r="F86">
        <v>323</v>
      </c>
      <c s="16" r="G86">
        <v>6.7</v>
      </c>
      <c s="16" r="H86"/>
      <c s="42" r="I86">
        <f>(215.29+214.68)+771.89</f>
        <v>1201.86</v>
      </c>
      <c s="79" r="J86">
        <f>I86-SUMIF(Sellables!$A$2:$A$11482, $A86, Sellables!$E$2:$E$11482)</f>
        <v>1135.16</v>
      </c>
      <c s="32" r="K86">
        <f>SUMIF(Sellables!$A$2:$A$11482, $A86, Sellables!$G$2:$G$11482)</f>
        <v>71.14075</v>
      </c>
      <c s="14" r="L86">
        <f>J86+K86</f>
        <v>1206.30075</v>
      </c>
      <c s="23" r="M86">
        <f>G86*D86</f>
        <v>1681.7</v>
      </c>
      <c s="70" r="N86">
        <f>L86-M86</f>
        <v>-475.39925</v>
      </c>
      <c s="29" r="O86">
        <f> (L86/M86) - 1</f>
        <v>-0.282689689005173</v>
      </c>
      <c s="70" r="P86">
        <f>M86</f>
        <v>1681.7</v>
      </c>
      <c s="70" r="Q86">
        <f>L86/D86</f>
        <v>4.80597908366534</v>
      </c>
      <c t="s" s="10" r="R86">
        <v>182</v>
      </c>
      <c t="s" s="10" r="S86">
        <v>42</v>
      </c>
      <c s="10" r="T86">
        <v>0</v>
      </c>
      <c s="10" r="U86">
        <v>1</v>
      </c>
      <c s="10" r="V86">
        <v>0</v>
      </c>
      <c s="10" r="W86">
        <v>0</v>
      </c>
    </row>
    <row r="87">
      <c s="10" r="A87">
        <v>566</v>
      </c>
      <c s="40" r="B87">
        <v>41626</v>
      </c>
      <c s="71" r="C87">
        <v>0.604166666666667</v>
      </c>
      <c s="68" r="D87">
        <v>48</v>
      </c>
      <c t="s" s="68" r="E87">
        <v>353</v>
      </c>
      <c t="s" s="10" r="F87">
        <v>323</v>
      </c>
      <c s="16" r="G87">
        <v>2.1</v>
      </c>
      <c s="16" r="H87"/>
      <c s="42" r="I87">
        <v>172.61</v>
      </c>
      <c s="79" r="J87">
        <f>I87-SUMIF(Sellables!$A$2:$A$11482, $A87, Sellables!$E$2:$E$11482)</f>
        <v>14.4</v>
      </c>
      <c s="32" r="K87">
        <f>SUMIF(Sellables!$A$2:$A$11482, $A87, Sellables!$G$2:$G$11482)</f>
        <v>197.61575</v>
      </c>
      <c s="14" r="L87">
        <f>J87+K87</f>
        <v>212.01575</v>
      </c>
      <c s="23" r="M87">
        <f>G87*D87</f>
        <v>100.8</v>
      </c>
      <c s="70" r="N87">
        <f>L87-M87</f>
        <v>111.21575</v>
      </c>
      <c s="29" r="O87">
        <f> (L87/M87) - 1</f>
        <v>1.1033308531746</v>
      </c>
      <c s="70" r="P87">
        <f>M87</f>
        <v>100.8</v>
      </c>
      <c s="70" r="Q87">
        <f>L87/D87</f>
        <v>4.41699479166667</v>
      </c>
      <c t="s" s="10" r="R87">
        <v>182</v>
      </c>
      <c t="s" s="10" r="S87">
        <v>42</v>
      </c>
      <c s="10" r="T87">
        <v>0</v>
      </c>
      <c s="10" r="U87">
        <v>0</v>
      </c>
      <c s="10" r="V87">
        <v>1</v>
      </c>
      <c s="10" r="W87">
        <v>0</v>
      </c>
    </row>
    <row r="88">
      <c s="10" r="A88">
        <v>567</v>
      </c>
      <c s="40" r="B88">
        <v>41626</v>
      </c>
      <c s="71" r="C88">
        <v>0.614583333333333</v>
      </c>
      <c s="68" r="D88">
        <f>463+48</f>
        <v>511</v>
      </c>
      <c t="s" s="68" r="E88">
        <v>227</v>
      </c>
      <c t="s" s="10" r="F88">
        <v>323</v>
      </c>
      <c s="16" r="G88">
        <v>2.1</v>
      </c>
      <c s="16" r="H88"/>
      <c s="42" r="I88">
        <f>707.9+79.71</f>
        <v>787.61</v>
      </c>
      <c s="79" r="J88">
        <f>I88-SUMIF(Sellables!$A$2:$A$11482, $A88, Sellables!$E$2:$E$11482)</f>
        <v>189.5</v>
      </c>
      <c s="32" r="K88">
        <f>SUMIF(Sellables!$A$2:$A$11482, $A88, Sellables!$G$2:$G$11482)</f>
        <v>913.0686</v>
      </c>
      <c s="14" r="L88">
        <f>J88+K88</f>
        <v>1102.5686</v>
      </c>
      <c s="23" r="M88">
        <f>G88*D88</f>
        <v>1073.1</v>
      </c>
      <c s="70" r="N88">
        <f>L88-M88</f>
        <v>29.4685999999999</v>
      </c>
      <c s="29" r="O88">
        <f> (L88/M88) - 1</f>
        <v>0.027461187214612</v>
      </c>
      <c s="70" r="P88">
        <f>M88</f>
        <v>1073.1</v>
      </c>
      <c s="70" r="Q88">
        <f>L88/D88</f>
        <v>2.15766849315068</v>
      </c>
      <c t="s" s="10" r="R88">
        <v>182</v>
      </c>
      <c t="s" s="10" r="S88">
        <v>42</v>
      </c>
      <c s="10" r="T88">
        <v>0</v>
      </c>
      <c s="10" r="U88">
        <v>0</v>
      </c>
      <c s="10" r="V88">
        <v>1</v>
      </c>
      <c s="10" r="W88">
        <v>0</v>
      </c>
    </row>
    <row r="89">
      <c s="10" r="A89">
        <v>568</v>
      </c>
      <c s="40" r="B89">
        <v>41626</v>
      </c>
      <c s="71" r="C89">
        <v>0.635416666666667</v>
      </c>
      <c s="68" r="D89">
        <v>320</v>
      </c>
      <c t="s" s="68" r="E89">
        <v>324</v>
      </c>
      <c t="s" s="10" r="F89">
        <v>323</v>
      </c>
      <c s="16" r="G89">
        <v>1.9</v>
      </c>
      <c s="16" r="H89"/>
      <c s="42" r="I89">
        <f>435.1+62.96</f>
        <v>498.06</v>
      </c>
      <c s="79" r="J89">
        <f>I89-SUMIF(Sellables!$A$2:$A$11482, $A89, Sellables!$E$2:$E$11482)</f>
        <v>92.6</v>
      </c>
      <c s="32" r="K89">
        <f>SUMIF(Sellables!$A$2:$A$11482, $A89, Sellables!$G$2:$G$11482)</f>
        <v>482.11275</v>
      </c>
      <c s="14" r="L89">
        <f>J89+K89</f>
        <v>574.71275</v>
      </c>
      <c s="23" r="M89">
        <f>G89*D89</f>
        <v>608</v>
      </c>
      <c s="70" r="N89">
        <f>L89-M89</f>
        <v>-33.2872500000001</v>
      </c>
      <c s="29" r="O89">
        <f> (L89/M89) - 1</f>
        <v>-0.054748766447369</v>
      </c>
      <c s="70" r="P89">
        <f>M89</f>
        <v>608</v>
      </c>
      <c s="70" r="Q89">
        <f>L89/D89</f>
        <v>1.79597734375</v>
      </c>
      <c t="s" s="10" r="R89">
        <v>182</v>
      </c>
      <c t="s" s="10" r="S89">
        <v>42</v>
      </c>
      <c s="10" r="T89">
        <v>0</v>
      </c>
      <c s="10" r="U89">
        <v>1</v>
      </c>
      <c s="10" r="V89">
        <v>0</v>
      </c>
      <c s="10" r="W89">
        <v>0</v>
      </c>
    </row>
    <row r="90">
      <c s="10" r="A90">
        <v>569</v>
      </c>
      <c s="40" r="B90">
        <v>41626</v>
      </c>
      <c s="71" r="C90">
        <v>0.663194444444444</v>
      </c>
      <c s="68" r="D90">
        <f>144+317</f>
        <v>461</v>
      </c>
      <c t="s" s="68" r="E90">
        <v>354</v>
      </c>
      <c t="s" s="10" r="F90">
        <v>323</v>
      </c>
      <c s="16" r="G90">
        <v>1.9</v>
      </c>
      <c s="16" r="H90"/>
      <c s="42" r="I90">
        <f>(126.43+2599.24)+431.23</f>
        <v>3156.9</v>
      </c>
      <c s="32" r="J90">
        <f>I90-SUMIF(Sellables!$A$2:$A$11482, $A90, Sellables!$E$2:$E$11482)</f>
        <v>155.899999999999</v>
      </c>
      <c s="32" r="K90">
        <f>SUMIF(Sellables!$A$2:$A$11482, $A90, Sellables!$G$2:$G$11482)</f>
        <v>3269.542</v>
      </c>
      <c s="14" r="L90">
        <f>J90+K90</f>
        <v>3425.442</v>
      </c>
      <c s="23" r="M90">
        <f>G90*D90</f>
        <v>875.9</v>
      </c>
      <c s="70" r="N90">
        <f>L90-M90</f>
        <v>2549.542</v>
      </c>
      <c s="29" r="O90">
        <f> (L90/M90) - 1</f>
        <v>2.91076835255166</v>
      </c>
      <c s="70" r="P90">
        <f>M90</f>
        <v>875.9</v>
      </c>
      <c s="70" r="Q90">
        <f>L90/D90</f>
        <v>7.43045986984816</v>
      </c>
      <c t="s" s="10" r="R90">
        <v>182</v>
      </c>
      <c t="s" s="10" r="S90">
        <v>42</v>
      </c>
      <c s="10" r="T90">
        <v>0</v>
      </c>
      <c s="10" r="U90">
        <v>0</v>
      </c>
      <c s="10" r="V90">
        <v>0</v>
      </c>
      <c s="10" r="W90">
        <v>1</v>
      </c>
    </row>
    <row r="91">
      <c s="10" r="A91">
        <v>570</v>
      </c>
      <c s="40" r="B91">
        <v>41626</v>
      </c>
      <c s="71" r="C91">
        <v>0.5625</v>
      </c>
      <c s="68" r="D91">
        <v>157</v>
      </c>
      <c t="s" s="68" r="E91">
        <v>88</v>
      </c>
      <c t="s" s="10" r="F91">
        <v>323</v>
      </c>
      <c s="16" r="G91">
        <v>2.4</v>
      </c>
      <c s="16" r="H91"/>
      <c s="42" r="I91">
        <v>346.92</v>
      </c>
      <c s="79" r="J91">
        <f>I91-SUMIF(Sellables!$A$2:$A$11482, $A91, Sellables!$E$2:$E$11482)</f>
        <v>261.85</v>
      </c>
      <c s="32" r="K91">
        <f>SUMIF(Sellables!$A$2:$A$11482, $A91, Sellables!$G$2:$G$11482)</f>
        <v>90.1742</v>
      </c>
      <c s="14" r="L91">
        <f>J91+K91</f>
        <v>352.0242</v>
      </c>
      <c s="23" r="M91">
        <f>G91*D91</f>
        <v>376.8</v>
      </c>
      <c s="70" r="N91">
        <f>L91-M91</f>
        <v>-24.7757999999999</v>
      </c>
      <c s="29" r="O91">
        <f> (L91/M91) - 1</f>
        <v>-0.065753184713376</v>
      </c>
      <c s="70" r="P91">
        <f>M91</f>
        <v>376.8</v>
      </c>
      <c s="70" r="Q91">
        <f>L91/D91</f>
        <v>2.2421923566879</v>
      </c>
      <c t="s" s="10" r="R91">
        <v>182</v>
      </c>
      <c t="s" s="10" r="S91">
        <v>42</v>
      </c>
      <c s="10" r="T91">
        <v>0</v>
      </c>
      <c s="10" r="U91">
        <v>0</v>
      </c>
      <c s="10" r="V91">
        <v>0</v>
      </c>
      <c s="10" r="W91">
        <v>0</v>
      </c>
    </row>
    <row r="92">
      <c s="10" r="A92">
        <v>571</v>
      </c>
      <c s="40" r="B92">
        <v>41626</v>
      </c>
      <c s="71" r="C92">
        <v>0.697916666666667</v>
      </c>
      <c s="68" r="D92">
        <v>185</v>
      </c>
      <c t="s" s="68" r="E92">
        <v>355</v>
      </c>
      <c t="s" s="10" r="F92">
        <v>323</v>
      </c>
      <c s="16" r="G92">
        <v>2.1</v>
      </c>
      <c s="16" r="H92"/>
      <c s="42" r="I92">
        <f>256.49+9.10</f>
        <v>265.59</v>
      </c>
      <c s="79" r="J92">
        <f>I92-SUMIF(Sellables!$A$2:$A$11482, $A92, Sellables!$E$2:$E$11482)</f>
        <v>77.51</v>
      </c>
      <c s="32" r="K92">
        <f>SUMIF(Sellables!$A$2:$A$11482, $A92, Sellables!$G$2:$G$11482)</f>
        <v>221.2048</v>
      </c>
      <c s="14" r="L92">
        <f>J92+K92</f>
        <v>298.7148</v>
      </c>
      <c s="23" r="M92">
        <f>G92*D92</f>
        <v>388.5</v>
      </c>
      <c s="70" r="N92">
        <f>L92-M92</f>
        <v>-89.7851999999999</v>
      </c>
      <c s="29" r="O92">
        <f> (L92/M92) - 1</f>
        <v>-0.231107335907336</v>
      </c>
      <c s="70" r="P92">
        <f>M92</f>
        <v>388.5</v>
      </c>
      <c s="70" r="Q92">
        <f>L92/D92</f>
        <v>1.6146745945946</v>
      </c>
      <c t="s" s="10" r="R92">
        <v>182</v>
      </c>
      <c t="s" s="10" r="S92">
        <v>42</v>
      </c>
      <c s="10" r="T92">
        <v>0</v>
      </c>
      <c s="10" r="U92">
        <v>0</v>
      </c>
      <c s="10" r="V92">
        <v>0</v>
      </c>
      <c s="10" r="W92">
        <v>0</v>
      </c>
    </row>
    <row r="93">
      <c s="10" r="A93">
        <v>574</v>
      </c>
      <c s="40" r="B93">
        <v>41626</v>
      </c>
      <c s="71" r="C93">
        <v>0.770833333333333</v>
      </c>
      <c s="68" r="D93">
        <v>331</v>
      </c>
      <c t="s" s="68" r="E93">
        <v>356</v>
      </c>
      <c t="s" s="10" r="F93">
        <v>323</v>
      </c>
      <c s="16" r="G93">
        <v>2.8</v>
      </c>
      <c s="16" r="H93"/>
      <c s="42" r="I93">
        <v>746.51</v>
      </c>
      <c s="79" r="J93">
        <f>I93-SUMIF(Sellables!$A$2:$A$11482, $A93, Sellables!$E$2:$E$11482)</f>
        <v>312.64</v>
      </c>
      <c s="32" r="K93">
        <f>SUMIF(Sellables!$A$2:$A$11482, $A93, Sellables!$G$2:$G$11482)</f>
        <v>466.8102</v>
      </c>
      <c s="14" r="L93">
        <f>J93+K93</f>
        <v>779.4502</v>
      </c>
      <c s="23" r="M93">
        <f>G93*D93</f>
        <v>926.8</v>
      </c>
      <c s="70" r="N93">
        <f>L93-M93</f>
        <v>-147.3498</v>
      </c>
      <c s="29" r="O93">
        <f> (L93/M93) - 1</f>
        <v>-0.158987699611567</v>
      </c>
      <c s="70" r="P93">
        <f>M93</f>
        <v>926.8</v>
      </c>
      <c s="70" r="Q93">
        <f>L93/D93</f>
        <v>2.35483444108761</v>
      </c>
      <c t="s" s="10" r="R93">
        <v>182</v>
      </c>
      <c t="s" s="10" r="S93">
        <v>42</v>
      </c>
      <c s="10" r="T93">
        <v>0</v>
      </c>
      <c s="10" r="U93">
        <v>0</v>
      </c>
      <c s="10" r="V93">
        <v>0</v>
      </c>
      <c s="10" r="W93">
        <v>0</v>
      </c>
    </row>
    <row r="94">
      <c s="10" r="A94">
        <v>575</v>
      </c>
      <c s="40" r="B94">
        <v>41626</v>
      </c>
      <c s="71" r="C94">
        <v>0.78125</v>
      </c>
      <c s="68" r="D94">
        <v>87</v>
      </c>
      <c t="s" s="68" r="E94">
        <v>325</v>
      </c>
      <c t="s" s="10" r="F94">
        <v>323</v>
      </c>
      <c s="16" r="G94">
        <v>1.8</v>
      </c>
      <c s="16" r="H94"/>
      <c s="42" r="I94">
        <v>143.57</v>
      </c>
      <c s="79" r="J94">
        <f>I94-SUMIF(Sellables!$A$2:$A$11482, $A94, Sellables!$E$2:$E$11482)</f>
        <v>124.86</v>
      </c>
      <c s="32" r="K94">
        <f>SUMIF(Sellables!$A$2:$A$11482, $A94, Sellables!$G$2:$G$11482)</f>
        <v>20.11325</v>
      </c>
      <c s="14" r="L94">
        <f>J94+K94</f>
        <v>144.97325</v>
      </c>
      <c s="23" r="M94">
        <f>G94*D94</f>
        <v>156.6</v>
      </c>
      <c s="70" r="N94">
        <f>L94-M94</f>
        <v>-11.62675</v>
      </c>
      <c s="29" r="O94">
        <f> (L94/M94) - 1</f>
        <v>-0.074244891443167</v>
      </c>
      <c s="70" r="P94">
        <f>M94</f>
        <v>156.6</v>
      </c>
      <c s="70" r="Q94">
        <f>L94/D94</f>
        <v>1.6663591954023</v>
      </c>
      <c t="s" s="10" r="R94">
        <v>182</v>
      </c>
      <c t="s" s="10" r="S94">
        <v>42</v>
      </c>
      <c s="10" r="T94">
        <v>0</v>
      </c>
      <c s="10" r="U94">
        <v>0</v>
      </c>
      <c s="10" r="V94">
        <v>0</v>
      </c>
      <c s="10" r="W94">
        <v>0</v>
      </c>
    </row>
    <row r="95">
      <c s="10" r="A95">
        <v>576</v>
      </c>
      <c s="40" r="B95">
        <v>41626</v>
      </c>
      <c s="71" r="C95">
        <v>0.791666666666667</v>
      </c>
      <c s="68" r="D95">
        <v>260</v>
      </c>
      <c t="s" s="68" r="E95">
        <v>335</v>
      </c>
      <c t="s" s="10" r="F95">
        <v>323</v>
      </c>
      <c s="16" r="G95">
        <v>1.35</v>
      </c>
      <c s="16" r="H95"/>
      <c s="42" r="I95">
        <v>324.77</v>
      </c>
      <c s="79" r="J95">
        <f>I95-SUMIF(Sellables!$A$2:$A$11482, $A95, Sellables!$E$2:$E$11482)</f>
        <v>242.22</v>
      </c>
      <c s="32" r="K95">
        <f>SUMIF(Sellables!$A$2:$A$11482, $A95, Sellables!$G$2:$G$11482)</f>
        <v>155.3585</v>
      </c>
      <c s="14" r="L95">
        <f>J95+K95</f>
        <v>397.5785</v>
      </c>
      <c s="23" r="M95">
        <f>G95*D95</f>
        <v>351</v>
      </c>
      <c s="70" r="N95">
        <f>L95-M95</f>
        <v>46.5785</v>
      </c>
      <c s="29" r="O95">
        <f> (L95/M95) - 1</f>
        <v>0.132702279202279</v>
      </c>
      <c s="70" r="P95">
        <f>M95</f>
        <v>351</v>
      </c>
      <c s="70" r="Q95">
        <f>L95/D95</f>
        <v>1.52914807692308</v>
      </c>
      <c t="s" s="10" r="R95">
        <v>182</v>
      </c>
      <c t="s" s="10" r="S95">
        <v>42</v>
      </c>
      <c s="10" r="T95">
        <v>0</v>
      </c>
      <c s="10" r="U95">
        <v>0</v>
      </c>
      <c s="10" r="V95">
        <v>0</v>
      </c>
      <c s="10" r="W95">
        <v>0</v>
      </c>
    </row>
    <row r="96">
      <c s="10" r="A96">
        <v>579</v>
      </c>
      <c s="40" r="B96">
        <v>41626</v>
      </c>
      <c s="71" r="C96">
        <v>0.9375</v>
      </c>
      <c s="68" r="D96">
        <v>308</v>
      </c>
      <c t="s" s="68" r="E96">
        <v>335</v>
      </c>
      <c t="s" s="10" r="F96">
        <v>323</v>
      </c>
      <c s="16" r="G96">
        <v>1.35</v>
      </c>
      <c s="16" r="H96"/>
      <c s="42" r="I96">
        <v>323.01</v>
      </c>
      <c s="79" r="J96">
        <f>I96-SUMIF(Sellables!$A$2:$A$11482, $A96, Sellables!$E$2:$E$11482)</f>
        <v>298.11</v>
      </c>
      <c s="32" r="K96">
        <f>SUMIF(Sellables!$A$2:$A$11482, $A96, Sellables!$G$2:$G$11482)</f>
        <v>44.007</v>
      </c>
      <c s="14" r="L96">
        <f>J96+K96</f>
        <v>342.117</v>
      </c>
      <c s="23" r="M96">
        <f>G96*D96</f>
        <v>415.8</v>
      </c>
      <c s="70" r="N96">
        <f>L96-M96</f>
        <v>-73.683</v>
      </c>
      <c s="29" r="O96">
        <f> (L96/M96) - 1</f>
        <v>-0.177207792207792</v>
      </c>
      <c s="70" r="P96">
        <f>M96</f>
        <v>415.8</v>
      </c>
      <c s="70" r="Q96">
        <f>L96/D96</f>
        <v>1.11076948051948</v>
      </c>
      <c t="s" s="10" r="R96">
        <v>182</v>
      </c>
      <c t="s" s="10" r="S96">
        <v>42</v>
      </c>
      <c s="10" r="T96">
        <v>0</v>
      </c>
      <c s="10" r="U96">
        <v>0</v>
      </c>
      <c s="10" r="V96">
        <v>0</v>
      </c>
      <c s="10" r="W96">
        <v>0</v>
      </c>
    </row>
    <row r="97">
      <c s="10" r="A97">
        <v>580</v>
      </c>
      <c s="40" r="B97">
        <v>41626</v>
      </c>
      <c s="71" r="C97">
        <v>0.961805555555556</v>
      </c>
      <c s="68" r="D97">
        <v>115</v>
      </c>
      <c t="s" s="68" r="E97">
        <v>357</v>
      </c>
      <c t="s" s="10" r="F97">
        <v>323</v>
      </c>
      <c s="16" r="G97">
        <v>4</v>
      </c>
      <c s="16" r="H97"/>
      <c s="42" r="I97">
        <v>438.87</v>
      </c>
      <c s="79" r="J97">
        <f>I97-SUMIF(Sellables!$A$2:$A$11482, $A97, Sellables!$E$2:$E$11482)</f>
        <v>332.68</v>
      </c>
      <c s="32" r="K97">
        <f>SUMIF(Sellables!$A$2:$A$11482, $A97, Sellables!$G$2:$G$11482)</f>
        <v>114.15425</v>
      </c>
      <c s="14" r="L97">
        <f>J97+K97</f>
        <v>446.83425</v>
      </c>
      <c s="23" r="M97">
        <f>G97*D97</f>
        <v>460</v>
      </c>
      <c s="70" r="N97">
        <f>L97-M97</f>
        <v>-13.16575</v>
      </c>
      <c s="29" r="O97">
        <f> (L97/M97) - 1</f>
        <v>-0.028621195652174</v>
      </c>
      <c s="70" r="P97">
        <f>M97</f>
        <v>460</v>
      </c>
      <c s="70" r="Q97">
        <f>L97/D97</f>
        <v>3.8855152173913</v>
      </c>
      <c t="s" s="10" r="R97">
        <v>182</v>
      </c>
      <c t="s" s="10" r="S97">
        <v>42</v>
      </c>
      <c s="10" r="T97">
        <v>0</v>
      </c>
      <c s="10" r="U97">
        <v>0</v>
      </c>
      <c s="10" r="V97">
        <v>0</v>
      </c>
      <c s="10" r="W97">
        <v>0</v>
      </c>
    </row>
    <row r="98">
      <c s="10" r="A98">
        <v>582</v>
      </c>
      <c s="40" r="B98">
        <v>41627</v>
      </c>
      <c s="71" r="C98">
        <v>0.888888888888889</v>
      </c>
      <c s="68" r="D98">
        <v>92</v>
      </c>
      <c t="s" s="68" r="E98">
        <v>345</v>
      </c>
      <c t="s" s="10" r="F98">
        <v>323</v>
      </c>
      <c s="16" r="G98">
        <v>0.66</v>
      </c>
      <c s="16" r="H98"/>
      <c s="42" r="I98">
        <v>66.65</v>
      </c>
      <c s="79" r="J98">
        <f>I98-SUMIF(Sellables!$A$2:$A$11482, $A98, Sellables!$E$2:$E$11482)</f>
        <v>36.26</v>
      </c>
      <c s="32" r="K98">
        <f>SUMIF(Sellables!$A$2:$A$11482, $A98, Sellables!$G$2:$G$11482)</f>
        <v>32.66925</v>
      </c>
      <c s="14" r="L98">
        <f>J98+K98</f>
        <v>68.92925</v>
      </c>
      <c s="23" r="M98">
        <f>G98*D98</f>
        <v>60.72</v>
      </c>
      <c s="70" r="N98">
        <f>L98-M98</f>
        <v>8.20924999999999</v>
      </c>
      <c s="29" r="O98">
        <f> (L98/M98) - 1</f>
        <v>0.135198451910408</v>
      </c>
      <c s="70" r="P98">
        <f>M98</f>
        <v>60.72</v>
      </c>
      <c s="70" r="Q98">
        <f>L98/D98</f>
        <v>0.74923097826087</v>
      </c>
      <c t="s" s="10" r="R98">
        <v>182</v>
      </c>
      <c t="s" s="10" r="S98">
        <v>42</v>
      </c>
      <c s="10" r="T98">
        <v>0</v>
      </c>
      <c s="10" r="U98">
        <v>0</v>
      </c>
      <c s="10" r="V98">
        <v>0</v>
      </c>
      <c s="10" r="W98">
        <v>0</v>
      </c>
    </row>
    <row r="99">
      <c s="10" r="A99">
        <v>583</v>
      </c>
      <c s="40" r="B99">
        <v>41627</v>
      </c>
      <c s="71" r="C99">
        <v>0.895833333333333</v>
      </c>
      <c s="68" r="D99">
        <v>37</v>
      </c>
      <c t="s" s="68" r="E99">
        <v>337</v>
      </c>
      <c t="s" s="10" r="F99">
        <v>323</v>
      </c>
      <c s="16" r="G99">
        <v>1.07</v>
      </c>
      <c s="16" r="H99"/>
      <c s="42" r="I99">
        <v>28.36</v>
      </c>
      <c s="79" r="J99">
        <f>I99-SUMIF(Sellables!$A$2:$A$11482, $A99, Sellables!$E$2:$E$11482)</f>
        <v>17.77</v>
      </c>
      <c s="32" r="K99">
        <f>SUMIF(Sellables!$A$2:$A$11482, $A99, Sellables!$G$2:$G$11482)</f>
        <v>11.38425</v>
      </c>
      <c s="14" r="L99">
        <f>J99+K99</f>
        <v>29.15425</v>
      </c>
      <c s="23" r="M99">
        <f>G99*D99</f>
        <v>39.59</v>
      </c>
      <c s="70" r="N99">
        <f>L99-M99</f>
        <v>-10.43575</v>
      </c>
      <c s="29" r="O99">
        <f> (L99/M99) - 1</f>
        <v>-0.263595604950745</v>
      </c>
      <c s="70" r="P99">
        <f>M99</f>
        <v>39.59</v>
      </c>
      <c s="70" r="Q99">
        <f>L99/D99</f>
        <v>0.787952702702703</v>
      </c>
      <c t="s" s="10" r="R99">
        <v>182</v>
      </c>
      <c t="s" s="10" r="S99">
        <v>42</v>
      </c>
      <c s="10" r="T99">
        <v>0</v>
      </c>
      <c s="10" r="U99">
        <v>0</v>
      </c>
      <c s="10" r="V99">
        <v>0</v>
      </c>
      <c s="10" r="W99">
        <v>0</v>
      </c>
    </row>
    <row r="100">
      <c s="10" r="A100">
        <v>584</v>
      </c>
      <c s="40" r="B100">
        <v>41627</v>
      </c>
      <c s="71" r="C100">
        <v>0.833333333333333</v>
      </c>
      <c s="68" r="D100">
        <v>132</v>
      </c>
      <c t="s" s="68" r="E100">
        <v>227</v>
      </c>
      <c t="s" s="10" r="F100">
        <v>323</v>
      </c>
      <c s="16" r="G100">
        <f>2.1+0.4</f>
        <v>2.5</v>
      </c>
      <c s="16" r="H100"/>
      <c s="42" r="I100">
        <v>303.07</v>
      </c>
      <c s="79" r="J100">
        <f>I100-SUMIF(Sellables!$A$2:$A$11482, $A100, Sellables!$E$2:$E$11482)</f>
        <v>38.21</v>
      </c>
      <c s="32" r="K100">
        <f>SUMIF(Sellables!$A$2:$A$11482, $A100, Sellables!$G$2:$G$11482)</f>
        <v>372.2045</v>
      </c>
      <c s="14" r="L100">
        <f>J100+K100</f>
        <v>410.4145</v>
      </c>
      <c s="23" r="M100">
        <f>G100*D100</f>
        <v>330</v>
      </c>
      <c s="70" r="N100">
        <f>L100-M100</f>
        <v>80.4145</v>
      </c>
      <c s="29" r="O100">
        <f> (L100/M100) - 1</f>
        <v>0.243680303030303</v>
      </c>
      <c s="70" r="P100">
        <f>M100</f>
        <v>330</v>
      </c>
      <c s="70" r="Q100">
        <f>L100/D100</f>
        <v>3.10920075757576</v>
      </c>
      <c t="s" s="10" r="R100">
        <v>182</v>
      </c>
      <c t="s" s="10" r="S100">
        <v>42</v>
      </c>
      <c s="10" r="T100">
        <v>0</v>
      </c>
      <c s="10" r="U100">
        <v>0</v>
      </c>
      <c s="10" r="V100">
        <v>1</v>
      </c>
      <c s="10" r="W100">
        <v>0</v>
      </c>
    </row>
    <row r="101">
      <c s="10" r="A101">
        <v>585</v>
      </c>
      <c s="40" r="B101">
        <v>41627</v>
      </c>
      <c s="71" r="C101">
        <v>0.847222222222222</v>
      </c>
      <c s="68" r="D101">
        <v>206</v>
      </c>
      <c t="s" s="68" r="E101">
        <v>324</v>
      </c>
      <c t="s" s="10" r="F101">
        <v>323</v>
      </c>
      <c s="16" r="G101">
        <f>1.9+0.2</f>
        <v>2.1</v>
      </c>
      <c s="16" r="H101"/>
      <c s="42" r="I101">
        <v>391.65</v>
      </c>
      <c s="79" r="J101">
        <f>I101-SUMIF(Sellables!$A$2:$A$11482, $A101, Sellables!$E$2:$E$11482)</f>
        <v>77</v>
      </c>
      <c s="32" r="K101">
        <f>SUMIF(Sellables!$A$2:$A$11482, $A101, Sellables!$G$2:$G$11482)</f>
        <v>364.97875</v>
      </c>
      <c s="14" r="L101">
        <f>J101+K101</f>
        <v>441.97875</v>
      </c>
      <c s="23" r="M101">
        <f>G101*D101</f>
        <v>432.6</v>
      </c>
      <c s="70" r="N101">
        <f>L101-M101</f>
        <v>9.37874999999997</v>
      </c>
      <c s="29" r="O101">
        <f> (L101/M101) - 1</f>
        <v>0.021679958391123</v>
      </c>
      <c s="70" r="P101">
        <f>M101</f>
        <v>432.6</v>
      </c>
      <c s="70" r="Q101">
        <f>L101/D101</f>
        <v>2.14552791262136</v>
      </c>
      <c t="s" s="10" r="R101">
        <v>182</v>
      </c>
      <c t="s" s="10" r="S101">
        <v>42</v>
      </c>
      <c s="10" r="T101">
        <v>0</v>
      </c>
      <c s="10" r="U101">
        <v>0</v>
      </c>
      <c s="10" r="V101">
        <v>1</v>
      </c>
      <c s="10" r="W101">
        <v>0</v>
      </c>
    </row>
    <row r="102">
      <c s="10" r="A102">
        <v>586</v>
      </c>
      <c s="40" r="B102">
        <v>41627</v>
      </c>
      <c s="71" r="C102">
        <v>0.947916666666667</v>
      </c>
      <c s="68" r="D102">
        <v>275</v>
      </c>
      <c t="s" s="68" r="E102">
        <v>204</v>
      </c>
      <c t="s" s="10" r="F102">
        <v>323</v>
      </c>
      <c s="16" r="G102">
        <f>1.3+(0.6*1.41)</f>
        <v>2.146</v>
      </c>
      <c s="16" r="H102"/>
      <c s="42" r="I102">
        <v>395.05</v>
      </c>
      <c s="79" r="J102">
        <f>((158.64-24.03)-77.31)-17.20</f>
        <v>40.1</v>
      </c>
      <c s="32" r="K102">
        <f>SUMIF(Sellables!$A$2:$A$11482, $A102, Sellables!$G$2:$G$11482)</f>
        <v>399.906</v>
      </c>
      <c s="14" r="L102">
        <f>(J102+K102)+T102</f>
        <v>440.006</v>
      </c>
      <c s="23" r="M102">
        <f>G102*D102</f>
        <v>590.15</v>
      </c>
      <c s="70" r="N102">
        <f>L102-M102</f>
        <v>-150.144</v>
      </c>
      <c s="29" r="O102">
        <f> (L102/M102) - 1</f>
        <v>-0.254416673727019</v>
      </c>
      <c s="70" r="P102">
        <f>G102*D102</f>
        <v>590.15</v>
      </c>
      <c s="70" r="Q102">
        <f>L102/D102</f>
        <v>1.60002181818182</v>
      </c>
      <c t="s" s="10" r="R102">
        <v>333</v>
      </c>
      <c t="s" s="10" r="S102">
        <v>42</v>
      </c>
      <c s="10" r="T102">
        <v>0</v>
      </c>
      <c s="10" r="U102">
        <v>0</v>
      </c>
      <c s="10" r="V102">
        <v>0</v>
      </c>
      <c s="10" r="W102">
        <v>0</v>
      </c>
    </row>
    <row r="103">
      <c s="10" r="A103">
        <v>587</v>
      </c>
      <c s="40" r="B103">
        <v>41627</v>
      </c>
      <c s="71" r="C103">
        <v>0.958333333333333</v>
      </c>
      <c s="68" r="D103">
        <v>1082</v>
      </c>
      <c t="s" s="68" r="E103">
        <v>354</v>
      </c>
      <c t="s" s="10" r="F103">
        <v>323</v>
      </c>
      <c s="16" r="G103">
        <v>1.9</v>
      </c>
      <c s="16" r="H103"/>
      <c s="42" r="I103">
        <f>1136.96+765.79</f>
        <v>1902.75</v>
      </c>
      <c s="32" r="J103">
        <f>I103-SUMIF(Sellables!$A$2:$A$11482, $A103, Sellables!$E$2:$E$11482)</f>
        <v>494.65</v>
      </c>
      <c s="32" r="K103">
        <f>SUMIF(Sellables!$A$2:$A$11482, $A103, Sellables!$G$2:$G$11482)</f>
        <v>1720.6175</v>
      </c>
      <c s="14" r="L103">
        <f>J103+K103</f>
        <v>2215.2675</v>
      </c>
      <c s="23" r="M103">
        <f>G103*D103</f>
        <v>2055.8</v>
      </c>
      <c s="70" r="N103">
        <f>L103-M103</f>
        <v>159.4675</v>
      </c>
      <c s="29" r="O103">
        <f> (L103/M103) - 1</f>
        <v>0.077569559295651</v>
      </c>
      <c s="70" r="P103">
        <f>M103</f>
        <v>2055.8</v>
      </c>
      <c s="70" r="Q103">
        <f>L103/D103</f>
        <v>2.04738216266174</v>
      </c>
      <c t="s" s="10" r="R103">
        <v>182</v>
      </c>
      <c t="s" s="10" r="S103">
        <v>42</v>
      </c>
      <c s="10" r="T103">
        <v>0</v>
      </c>
      <c s="10" r="U103">
        <v>1</v>
      </c>
      <c s="10" r="V103">
        <v>2</v>
      </c>
      <c s="10" r="W103">
        <v>0</v>
      </c>
    </row>
    <row r="104">
      <c s="10" r="A104">
        <v>588</v>
      </c>
      <c s="40" r="B104">
        <v>41627</v>
      </c>
      <c s="71" r="C104">
        <v>0.999305555555556</v>
      </c>
      <c s="68" r="D104">
        <v>167</v>
      </c>
      <c t="s" s="68" r="E104">
        <v>324</v>
      </c>
      <c t="s" s="10" r="F104">
        <v>323</v>
      </c>
      <c s="16" r="G104">
        <f>1.9+0.2</f>
        <v>2.1</v>
      </c>
      <c s="16" r="H104"/>
      <c s="42" r="I104">
        <v>206.18</v>
      </c>
      <c s="79" r="J104">
        <f>I104-SUMIF(Sellables!$A$2:$A$11482, $A104, Sellables!$E$2:$E$11482)</f>
        <v>66.3</v>
      </c>
      <c s="32" r="K104">
        <f>SUMIF(Sellables!$A$2:$A$11482, $A104, Sellables!$G$2:$G$11482)</f>
        <v>165.881</v>
      </c>
      <c s="14" r="L104">
        <f>J104+K104</f>
        <v>232.181</v>
      </c>
      <c s="23" r="M104">
        <f>G104*D104</f>
        <v>350.7</v>
      </c>
      <c s="70" r="N104">
        <f>L104-M104</f>
        <v>-118.519</v>
      </c>
      <c s="29" r="O104">
        <f> (L104/M104) - 1</f>
        <v>-0.337949814656401</v>
      </c>
      <c s="70" r="P104">
        <f>M104</f>
        <v>350.7</v>
      </c>
      <c s="70" r="Q104">
        <f>L104/D104</f>
        <v>1.39030538922156</v>
      </c>
      <c t="s" s="10" r="R104">
        <v>182</v>
      </c>
      <c t="s" s="10" r="S104">
        <v>42</v>
      </c>
      <c s="10" r="T104">
        <v>0</v>
      </c>
      <c s="10" r="U104">
        <v>0</v>
      </c>
      <c s="10" r="V104">
        <v>0</v>
      </c>
      <c s="10" r="W104">
        <v>0</v>
      </c>
    </row>
    <row r="105">
      <c s="10" r="A105">
        <v>589</v>
      </c>
      <c s="40" r="B105">
        <v>41628</v>
      </c>
      <c s="71" r="C105">
        <v>0.395833333333333</v>
      </c>
      <c s="68" r="D105">
        <v>57</v>
      </c>
      <c t="s" s="68" r="E105">
        <v>358</v>
      </c>
      <c t="s" s="10" r="F105">
        <v>323</v>
      </c>
      <c s="16" r="G105">
        <v>3.48</v>
      </c>
      <c s="16" r="H105"/>
      <c s="42" r="I105">
        <v>147.37</v>
      </c>
      <c s="79" r="J105">
        <f>I105-SUMIF(Sellables!$A$2:$A$11482, $A105, Sellables!$E$2:$E$11482)</f>
        <v>138.92</v>
      </c>
      <c s="32" r="K105">
        <f>SUMIF(Sellables!$A$2:$A$11482, $A105, Sellables!$G$2:$G$11482)</f>
        <v>9.0415</v>
      </c>
      <c s="14" r="L105">
        <f>J105+K105</f>
        <v>147.9615</v>
      </c>
      <c s="23" r="M105">
        <f>G105*D105</f>
        <v>198.36</v>
      </c>
      <c s="70" r="N105">
        <f>L105-M105</f>
        <v>-50.3985</v>
      </c>
      <c s="29" r="O105">
        <f> (L105/M105) - 1</f>
        <v>-0.254075922565033</v>
      </c>
      <c s="70" r="P105">
        <f>M105</f>
        <v>198.36</v>
      </c>
      <c s="70" r="Q105">
        <f>L105/D105</f>
        <v>2.59581578947368</v>
      </c>
      <c t="s" s="10" r="R105">
        <v>182</v>
      </c>
      <c t="s" s="10" r="S105">
        <v>42</v>
      </c>
      <c s="10" r="T105">
        <v>0</v>
      </c>
      <c s="10" r="U105">
        <v>0</v>
      </c>
      <c s="10" r="V105">
        <v>0</v>
      </c>
      <c s="10" r="W105">
        <v>0</v>
      </c>
    </row>
    <row r="106">
      <c s="10" r="A106">
        <v>590</v>
      </c>
      <c s="40" r="B106">
        <v>41628</v>
      </c>
      <c s="71" r="C106">
        <v>0.409722222222222</v>
      </c>
      <c s="68" r="D106">
        <v>15</v>
      </c>
      <c t="s" s="68" r="E106">
        <v>347</v>
      </c>
      <c t="s" s="10" r="F106">
        <v>323</v>
      </c>
      <c s="16" r="G106">
        <v>5.69</v>
      </c>
      <c s="16" r="H106"/>
      <c s="42" r="I106">
        <v>77.25</v>
      </c>
      <c s="79" r="J106">
        <f>I106-SUMIF(Sellables!$A$2:$A$11482, $A106, Sellables!$E$2:$E$11482)</f>
        <v>75.16</v>
      </c>
      <c s="32" r="K106">
        <f>SUMIF(Sellables!$A$2:$A$11482, $A106, Sellables!$G$2:$G$11482)</f>
        <v>2.2363</v>
      </c>
      <c s="14" r="L106">
        <f>J106+K106</f>
        <v>77.3963</v>
      </c>
      <c s="23" r="M106">
        <f>G106*D106</f>
        <v>85.35</v>
      </c>
      <c s="70" r="N106">
        <f>L106-M106</f>
        <v>-7.95370000000001</v>
      </c>
      <c s="29" r="O106">
        <f> (L106/M106) - 1</f>
        <v>-0.093189220855302</v>
      </c>
      <c s="70" r="P106">
        <f>M106</f>
        <v>85.35</v>
      </c>
      <c s="70" r="Q106">
        <f>L106/D106</f>
        <v>5.15975333333333</v>
      </c>
      <c t="s" s="10" r="R106">
        <v>182</v>
      </c>
      <c t="s" s="10" r="S106">
        <v>42</v>
      </c>
      <c s="10" r="T106">
        <v>0</v>
      </c>
      <c s="10" r="U106">
        <v>0</v>
      </c>
      <c s="10" r="V106">
        <v>0</v>
      </c>
      <c s="10" r="W106">
        <v>0</v>
      </c>
    </row>
    <row r="107">
      <c s="10" r="A107">
        <v>591</v>
      </c>
      <c s="40" r="B107">
        <v>41628</v>
      </c>
      <c s="71" r="C107">
        <v>0.458333333333333</v>
      </c>
      <c s="68" r="D107">
        <v>2982</v>
      </c>
      <c t="s" s="68" r="E107">
        <v>190</v>
      </c>
      <c t="s" s="10" r="F107">
        <v>329</v>
      </c>
      <c s="16" r="G107">
        <v>0.07</v>
      </c>
      <c s="16" r="H107"/>
      <c s="42" r="I107">
        <v>196.66</v>
      </c>
      <c s="79" r="J107">
        <f>I107-SUMIF(Sellables!$A$2:$A$11482, $A107, Sellables!$E$2:$E$11482)</f>
        <v>152.29</v>
      </c>
      <c s="32" r="K107">
        <f>SUMIF(Sellables!$A$2:$A$11482, $A107, Sellables!$G$2:$G$11482)</f>
        <v>47.4759</v>
      </c>
      <c s="14" r="L107">
        <f>J107+K107</f>
        <v>199.7659</v>
      </c>
      <c s="23" r="M107">
        <f>G107*D107</f>
        <v>208.74</v>
      </c>
      <c s="70" r="N107">
        <f>L107-M107</f>
        <v>-8.97410000000002</v>
      </c>
      <c s="29" r="O107">
        <f> (L107/M107) - 1</f>
        <v>-0.042991760084316</v>
      </c>
      <c s="70" r="P107">
        <f>M107</f>
        <v>208.74</v>
      </c>
      <c s="70" r="Q107">
        <f>L107/D107</f>
        <v>0.066990576794098</v>
      </c>
      <c t="s" s="10" r="R107">
        <v>182</v>
      </c>
      <c t="s" s="10" r="S107">
        <v>42</v>
      </c>
      <c s="10" r="T107">
        <v>0</v>
      </c>
      <c s="10" r="U107">
        <v>0</v>
      </c>
      <c s="10" r="V107">
        <v>0</v>
      </c>
      <c s="10" r="W107">
        <v>0</v>
      </c>
    </row>
    <row r="108">
      <c s="10" r="A108">
        <v>592</v>
      </c>
      <c s="40" r="B108">
        <v>41628</v>
      </c>
      <c s="71" r="C108">
        <v>0.604166666666667</v>
      </c>
      <c s="68" r="D108">
        <v>84</v>
      </c>
      <c t="s" s="68" r="E108">
        <v>245</v>
      </c>
      <c t="s" s="10" r="F108">
        <v>329</v>
      </c>
      <c s="16" r="G108">
        <v>0.61</v>
      </c>
      <c s="16" r="H108"/>
      <c s="42" r="I108">
        <v>46.1</v>
      </c>
      <c s="79" r="J108">
        <f>I108-SUMIF(Sellables!$A$2:$A$11482, $A108, Sellables!$E$2:$E$11482)</f>
        <v>38.59</v>
      </c>
      <c s="32" r="K108">
        <f>SUMIF(Sellables!$A$2:$A$11482, $A108, Sellables!$G$2:$G$11482)</f>
        <v>8.0357</v>
      </c>
      <c s="14" r="L108">
        <f>J108+K108</f>
        <v>46.6257</v>
      </c>
      <c s="23" r="M108">
        <f>G108*D108</f>
        <v>51.24</v>
      </c>
      <c s="70" r="N108">
        <f>L108-M108</f>
        <v>-4.6143</v>
      </c>
      <c s="29" r="O108">
        <f> (L108/M108) - 1</f>
        <v>-0.090052693208431</v>
      </c>
      <c s="70" r="P108">
        <f>M108</f>
        <v>51.24</v>
      </c>
      <c s="70" r="Q108">
        <f>L108/D108</f>
        <v>0.555067857142857</v>
      </c>
      <c t="s" s="10" r="R108">
        <v>182</v>
      </c>
      <c t="s" s="10" r="S108">
        <v>42</v>
      </c>
      <c s="10" r="T108">
        <v>0</v>
      </c>
      <c s="10" r="U108">
        <v>0</v>
      </c>
      <c s="10" r="V108">
        <v>0</v>
      </c>
      <c s="10" r="W108">
        <v>0</v>
      </c>
    </row>
    <row r="109">
      <c s="10" r="A109">
        <v>593</v>
      </c>
      <c s="40" r="B109">
        <v>41628</v>
      </c>
      <c s="71" r="C109">
        <v>0.618055555555556</v>
      </c>
      <c s="68" r="D109">
        <v>62</v>
      </c>
      <c t="s" s="68" r="E109">
        <v>359</v>
      </c>
      <c t="s" s="10" r="F109">
        <v>329</v>
      </c>
      <c s="16" r="G109">
        <v>0.99</v>
      </c>
      <c s="16" r="H109"/>
      <c s="42" r="I109">
        <v>40.88</v>
      </c>
      <c s="79" r="J109">
        <f>I109-SUMIF(Sellables!$A$2:$A$11482, $A109, Sellables!$E$2:$E$11482)</f>
        <v>23.68</v>
      </c>
      <c s="32" r="K109">
        <f>SUMIF(Sellables!$A$2:$A$11482, $A109, Sellables!$G$2:$G$11482)</f>
        <v>18.404</v>
      </c>
      <c s="14" r="L109">
        <f>J109+K109</f>
        <v>42.084</v>
      </c>
      <c s="23" r="M109">
        <f>G109*D109</f>
        <v>61.38</v>
      </c>
      <c s="70" r="N109">
        <f>L109-M109</f>
        <v>-19.296</v>
      </c>
      <c s="29" r="O109">
        <f> (L109/M109) - 1</f>
        <v>-0.314369501466276</v>
      </c>
      <c s="70" r="P109">
        <f>M109</f>
        <v>61.38</v>
      </c>
      <c s="70" r="Q109">
        <f>L109/D109</f>
        <v>0.678774193548387</v>
      </c>
      <c t="s" s="10" r="R109">
        <v>182</v>
      </c>
      <c t="s" s="10" r="S109">
        <v>42</v>
      </c>
      <c s="10" r="T109">
        <v>0</v>
      </c>
      <c s="10" r="U109">
        <v>0</v>
      </c>
      <c s="10" r="V109">
        <v>0</v>
      </c>
      <c s="10" r="W109">
        <v>0</v>
      </c>
    </row>
    <row r="110">
      <c s="10" r="A110">
        <v>594</v>
      </c>
      <c s="40" r="B110">
        <v>41628</v>
      </c>
      <c s="71" r="C110">
        <v>0.625</v>
      </c>
      <c s="68" r="D110">
        <v>206</v>
      </c>
      <c t="s" s="68" r="E110">
        <v>360</v>
      </c>
      <c t="s" s="10" r="F110">
        <v>323</v>
      </c>
      <c s="16" r="G110">
        <v>1.84</v>
      </c>
      <c s="16" r="H110"/>
      <c s="42" r="I110">
        <v>437.26</v>
      </c>
      <c s="79" r="J110">
        <f>I110-SUMIF(Sellables!$A$2:$A$11482, $A110, Sellables!$E$2:$E$11482)</f>
        <v>158.46</v>
      </c>
      <c s="32" r="K110">
        <f>SUMIF(Sellables!$A$2:$A$11482, $A110, Sellables!$G$2:$G$11482)</f>
        <v>298.316</v>
      </c>
      <c s="14" r="L110">
        <f>J110+K110</f>
        <v>456.776</v>
      </c>
      <c s="23" r="M110">
        <f>G110*D110</f>
        <v>379.04</v>
      </c>
      <c s="70" r="N110">
        <f>L110-M110</f>
        <v>77.736</v>
      </c>
      <c s="29" r="O110">
        <f> (L110/M110) - 1</f>
        <v>0.205086534402702</v>
      </c>
      <c s="70" r="P110">
        <f>M110</f>
        <v>379.04</v>
      </c>
      <c s="70" r="Q110">
        <f>L110/D110</f>
        <v>2.21735922330097</v>
      </c>
      <c t="s" s="10" r="R110">
        <v>182</v>
      </c>
      <c t="s" s="10" r="S110">
        <v>42</v>
      </c>
      <c s="10" r="T110">
        <v>0</v>
      </c>
      <c s="10" r="U110">
        <v>0</v>
      </c>
      <c s="10" r="V110">
        <v>2</v>
      </c>
      <c s="10" r="W110">
        <v>0</v>
      </c>
    </row>
    <row r="111">
      <c s="10" r="A111">
        <v>595</v>
      </c>
      <c s="40" r="B111">
        <v>41628</v>
      </c>
      <c s="71" r="C111">
        <v>0.659722222222222</v>
      </c>
      <c s="68" r="D111">
        <v>700</v>
      </c>
      <c t="s" s="68" r="E111">
        <v>335</v>
      </c>
      <c t="s" s="10" r="F111">
        <v>323</v>
      </c>
      <c s="16" r="G111">
        <v>1.35</v>
      </c>
      <c s="16" r="H111"/>
      <c s="42" r="I111">
        <f>841.38-57.65</f>
        <v>783.73</v>
      </c>
      <c s="79" r="J111">
        <f>I111-SUMIF(Sellables!$A$2:$A$11482, $A111, Sellables!$E$2:$E$11482)</f>
        <v>686.91</v>
      </c>
      <c s="32" r="K111">
        <f>SUMIF(Sellables!$A$2:$A$11482, $A111, Sellables!$G$2:$G$11482)</f>
        <v>167.7056</v>
      </c>
      <c s="14" r="L111">
        <f>J111+K111</f>
        <v>854.6156</v>
      </c>
      <c s="23" r="M111">
        <f>G111*D111</f>
        <v>945</v>
      </c>
      <c s="70" r="N111">
        <f>L111-M111</f>
        <v>-90.3844000000001</v>
      </c>
      <c s="29" r="O111">
        <f> (L111/M111) - 1</f>
        <v>-0.095644867724868</v>
      </c>
      <c s="70" r="P111">
        <f>M111</f>
        <v>945</v>
      </c>
      <c s="70" r="Q111">
        <f>L111/D111</f>
        <v>1.22087942857143</v>
      </c>
      <c t="s" s="10" r="R111">
        <v>182</v>
      </c>
      <c t="s" s="10" r="S111">
        <v>42</v>
      </c>
      <c s="10" r="T111">
        <v>0</v>
      </c>
      <c s="10" r="U111">
        <v>0</v>
      </c>
      <c s="10" r="V111">
        <v>0</v>
      </c>
      <c s="10" r="W111">
        <v>0</v>
      </c>
    </row>
    <row r="112">
      <c s="10" r="A112">
        <v>598</v>
      </c>
      <c s="40" r="B112">
        <v>41628</v>
      </c>
      <c s="71" r="C112">
        <v>0.875</v>
      </c>
      <c s="68" r="D112">
        <v>169</v>
      </c>
      <c t="s" s="68" r="E112">
        <v>227</v>
      </c>
      <c t="s" s="10" r="F112">
        <v>323</v>
      </c>
      <c s="16" r="G112">
        <v>2.5</v>
      </c>
      <c s="16" r="H112"/>
      <c s="42" r="I112">
        <v>262.87</v>
      </c>
      <c s="79" r="J112">
        <f>I112-SUMIF(Sellables!$A$2:$A$11482, $A112, Sellables!$E$2:$E$11482)</f>
        <v>57.1</v>
      </c>
      <c s="32" r="K112">
        <f>SUMIF(Sellables!$A$2:$A$11482, $A112, Sellables!$G$2:$G$11482)</f>
        <v>310.4859</v>
      </c>
      <c s="14" r="L112">
        <f>J112+K112</f>
        <v>367.5859</v>
      </c>
      <c s="23" r="M112">
        <f>G112*D112</f>
        <v>422.5</v>
      </c>
      <c s="70" r="N112">
        <f>L112-M112</f>
        <v>-54.9141</v>
      </c>
      <c s="29" r="O112">
        <f> (L112/M112) - 1</f>
        <v>-0.129974201183432</v>
      </c>
      <c s="70" r="P112">
        <f>M112</f>
        <v>422.5</v>
      </c>
      <c s="70" r="Q112">
        <f>L112/D112</f>
        <v>2.17506449704142</v>
      </c>
      <c t="s" s="10" r="R112">
        <v>182</v>
      </c>
      <c t="s" s="10" r="S112">
        <v>42</v>
      </c>
      <c s="10" r="T112">
        <v>0</v>
      </c>
      <c s="10" r="U112">
        <v>0</v>
      </c>
      <c s="10" r="V112">
        <v>1</v>
      </c>
      <c s="10" r="W112">
        <v>0</v>
      </c>
    </row>
    <row r="113">
      <c s="10" r="A113">
        <v>599</v>
      </c>
      <c s="40" r="B113">
        <v>41628</v>
      </c>
      <c s="71" r="C113">
        <v>0.885416666666667</v>
      </c>
      <c s="68" r="D113">
        <v>36</v>
      </c>
      <c t="s" s="68" r="E113">
        <v>324</v>
      </c>
      <c t="s" s="10" r="F113">
        <v>323</v>
      </c>
      <c s="16" r="G113">
        <v>2.1</v>
      </c>
      <c s="16" r="H113"/>
      <c s="42" r="I113">
        <v>50.63</v>
      </c>
      <c s="79" r="J113">
        <f>I113-SUMIF(Sellables!$A$2:$A$11482, $A113, Sellables!$E$2:$E$11482)</f>
        <v>12.2</v>
      </c>
      <c s="32" r="K113">
        <f>SUMIF(Sellables!$A$2:$A$11482, $A113, Sellables!$G$2:$G$11482)</f>
        <v>46.1001</v>
      </c>
      <c s="14" r="L113">
        <f>J113+K113</f>
        <v>58.3001</v>
      </c>
      <c s="23" r="M113">
        <f>G113*D113</f>
        <v>75.6</v>
      </c>
      <c s="70" r="N113">
        <f>L113-M113</f>
        <v>-17.2999</v>
      </c>
      <c s="29" r="O113">
        <f> (L113/M113) - 1</f>
        <v>-0.228834656084656</v>
      </c>
      <c s="70" r="P113">
        <f>M113</f>
        <v>75.6</v>
      </c>
      <c s="70" r="Q113">
        <f>L113/D113</f>
        <v>1.61944722222222</v>
      </c>
      <c t="s" s="10" r="R113">
        <v>182</v>
      </c>
      <c t="s" s="10" r="S113">
        <v>42</v>
      </c>
      <c s="10" r="T113">
        <v>0</v>
      </c>
      <c s="10" r="U113">
        <v>0</v>
      </c>
      <c s="10" r="V113">
        <v>0</v>
      </c>
      <c s="10" r="W113">
        <v>0</v>
      </c>
    </row>
    <row r="114">
      <c s="10" r="A114">
        <v>600</v>
      </c>
      <c s="40" r="B114">
        <v>41628</v>
      </c>
      <c s="71" r="C114">
        <v>0.895833333333333</v>
      </c>
      <c s="68" r="D114">
        <v>159</v>
      </c>
      <c t="s" s="68" r="E114">
        <v>361</v>
      </c>
      <c t="s" s="10" r="F114">
        <v>323</v>
      </c>
      <c s="16" r="G114">
        <v>2.1</v>
      </c>
      <c s="16" r="H114"/>
      <c s="42" r="I114">
        <v>386.98</v>
      </c>
      <c s="79" r="J114">
        <f>I114-SUMIF(Sellables!$A$2:$A$11482, $A114, Sellables!$E$2:$E$11482)</f>
        <v>199.6</v>
      </c>
      <c s="32" r="K114">
        <f>SUMIF(Sellables!$A$2:$A$11482, $A114, Sellables!$G$2:$G$11482)</f>
        <v>216.7646</v>
      </c>
      <c s="14" r="L114">
        <f>J114+K114</f>
        <v>416.3646</v>
      </c>
      <c s="23" r="M114">
        <f>G114*D114</f>
        <v>333.9</v>
      </c>
      <c s="70" r="N114">
        <f>L114-M114</f>
        <v>82.4646</v>
      </c>
      <c s="29" r="O114">
        <f> (L114/M114) - 1</f>
        <v>0.246973944294699</v>
      </c>
      <c s="70" r="P114">
        <f>M114</f>
        <v>333.9</v>
      </c>
      <c s="70" r="Q114">
        <f>L114/D114</f>
        <v>2.61864528301887</v>
      </c>
      <c t="s" s="10" r="R114">
        <v>182</v>
      </c>
      <c t="s" s="10" r="S114">
        <v>42</v>
      </c>
      <c s="10" r="T114">
        <v>0</v>
      </c>
      <c s="10" r="U114">
        <v>0</v>
      </c>
      <c s="10" r="V114">
        <v>1</v>
      </c>
      <c s="10" r="W114">
        <v>0</v>
      </c>
    </row>
    <row r="115">
      <c s="10" r="A115">
        <v>601</v>
      </c>
      <c s="40" r="B115">
        <v>41628</v>
      </c>
      <c s="71" r="C115">
        <v>0.902777777777778</v>
      </c>
      <c s="68" r="D115">
        <v>1142</v>
      </c>
      <c t="s" s="68" r="E115">
        <v>139</v>
      </c>
      <c t="s" s="10" r="F115">
        <v>329</v>
      </c>
      <c s="16" r="G115">
        <v>0.9</v>
      </c>
      <c s="16" r="H115"/>
      <c s="42" r="I115">
        <v>1076.16</v>
      </c>
      <c s="79" r="J115">
        <f>I115-SUMIF(Sellables!$A$2:$A$11482, $A115, Sellables!$E$2:$E$11482)</f>
        <v>807.76</v>
      </c>
      <c s="32" r="K115">
        <f>SUMIF(Sellables!$A$2:$A$11482, $A115, Sellables!$G$2:$G$11482)</f>
        <v>268.4</v>
      </c>
      <c s="14" r="L115">
        <f>J115+K115</f>
        <v>1076.16</v>
      </c>
      <c s="23" r="M115">
        <f>G115*D115</f>
        <v>1027.8</v>
      </c>
      <c s="70" r="N115">
        <f>L115-M115</f>
        <v>48.3600000000001</v>
      </c>
      <c s="29" r="O115">
        <f> (L115/M115) - 1</f>
        <v>0.047051955633392</v>
      </c>
      <c s="70" r="P115">
        <f>M115</f>
        <v>1027.8</v>
      </c>
      <c s="70" r="Q115">
        <f>L115/D115</f>
        <v>0.942346760070053</v>
      </c>
      <c t="s" s="10" r="R115">
        <v>182</v>
      </c>
      <c t="s" s="10" r="S115">
        <v>42</v>
      </c>
      <c s="10" r="T115">
        <v>0</v>
      </c>
      <c s="10" r="U115">
        <v>1</v>
      </c>
      <c s="10" r="V115">
        <v>2</v>
      </c>
      <c s="10" r="W115">
        <v>0</v>
      </c>
    </row>
    <row r="116">
      <c s="10" r="A116">
        <v>602</v>
      </c>
      <c s="40" r="B116">
        <v>41628</v>
      </c>
      <c s="71" r="C116">
        <v>0.961805555555556</v>
      </c>
      <c s="68" r="D116">
        <v>379</v>
      </c>
      <c t="s" s="68" r="E116">
        <v>325</v>
      </c>
      <c t="s" s="10" r="F116">
        <v>323</v>
      </c>
      <c s="16" r="G116">
        <v>1.8</v>
      </c>
      <c s="16" r="H116"/>
      <c s="42" r="I116">
        <v>600.06</v>
      </c>
      <c s="79" r="J116">
        <f>I116-SUMIF(Sellables!$A$2:$A$11482, $A116, Sellables!$E$2:$E$11482)</f>
        <v>222.49</v>
      </c>
      <c s="32" r="K116">
        <f>SUMIF(Sellables!$A$2:$A$11482, $A116, Sellables!$G$2:$G$11482)</f>
        <v>398.5399</v>
      </c>
      <c s="14" r="L116">
        <f>J116+K116</f>
        <v>621.0299</v>
      </c>
      <c s="23" r="M116">
        <f>G116*D116</f>
        <v>682.2</v>
      </c>
      <c s="70" r="N116">
        <f>L116-M116</f>
        <v>-61.1701</v>
      </c>
      <c s="29" r="O116">
        <f> (L116/M116) - 1</f>
        <v>-0.08966593374377</v>
      </c>
      <c s="70" r="P116">
        <f>M116</f>
        <v>682.2</v>
      </c>
      <c s="70" r="Q116">
        <f>L116/D116</f>
        <v>1.63860131926121</v>
      </c>
      <c t="s" s="10" r="R116">
        <v>182</v>
      </c>
      <c t="s" s="10" r="S116">
        <v>42</v>
      </c>
      <c s="10" r="T116">
        <v>0</v>
      </c>
      <c s="10" r="U116">
        <v>0</v>
      </c>
      <c s="10" r="V116">
        <v>2</v>
      </c>
      <c s="10" r="W116">
        <v>0</v>
      </c>
    </row>
    <row r="117">
      <c s="10" r="A117">
        <v>603</v>
      </c>
      <c s="40" r="B117">
        <v>41628</v>
      </c>
      <c s="71" r="C117">
        <v>0.982638888888889</v>
      </c>
      <c s="68" r="D117">
        <v>571</v>
      </c>
      <c t="s" s="68" r="E117">
        <v>335</v>
      </c>
      <c t="s" s="10" r="F117">
        <v>329</v>
      </c>
      <c s="16" r="G117">
        <v>1.35</v>
      </c>
      <c s="16" r="H117"/>
      <c s="42" r="I117">
        <v>687.16</v>
      </c>
      <c s="79" r="J117">
        <f>I117-SUMIF(Sellables!$A$2:$A$11482, $A117, Sellables!$E$2:$E$11482)</f>
        <v>478</v>
      </c>
      <c s="32" r="K117">
        <f>SUMIF(Sellables!$A$2:$A$11482, $A117, Sellables!$G$2:$G$11482)</f>
        <v>263.2843</v>
      </c>
      <c s="14" r="L117">
        <f>J117+K117</f>
        <v>741.2843</v>
      </c>
      <c s="23" r="M117">
        <f>G117*D117</f>
        <v>770.85</v>
      </c>
      <c s="70" r="N117">
        <f>L117-M117</f>
        <v>-29.5657</v>
      </c>
      <c s="29" r="O117">
        <f> (L117/M117) - 1</f>
        <v>-0.038354673412467</v>
      </c>
      <c s="70" r="P117">
        <f>M117</f>
        <v>770.85</v>
      </c>
      <c s="70" r="Q117">
        <f>L117/D117</f>
        <v>1.29822119089317</v>
      </c>
      <c t="s" s="10" r="R117">
        <v>182</v>
      </c>
      <c t="s" s="10" r="S117">
        <v>42</v>
      </c>
      <c s="10" r="T117">
        <v>0</v>
      </c>
      <c s="10" r="U117">
        <v>1</v>
      </c>
      <c s="10" r="V117">
        <v>0</v>
      </c>
      <c s="10" r="W117">
        <v>0</v>
      </c>
    </row>
    <row r="118">
      <c s="10" r="A118">
        <v>604</v>
      </c>
      <c s="40" r="B118">
        <v>41629</v>
      </c>
      <c s="71" r="C118">
        <v>0.458333333333333</v>
      </c>
      <c s="68" r="D118">
        <v>185</v>
      </c>
      <c t="s" s="68" r="E118">
        <v>352</v>
      </c>
      <c t="s" s="10" r="F118">
        <v>323</v>
      </c>
      <c s="16" r="G118">
        <v>6.7</v>
      </c>
      <c s="16" r="H118"/>
      <c s="42" r="I118">
        <v>970.39</v>
      </c>
      <c s="79" r="J118">
        <f>I118-SUMIF(Sellables!$A$2:$A$11482, $A118, Sellables!$E$2:$E$11482)</f>
        <v>889.06</v>
      </c>
      <c s="32" r="K118">
        <f>SUMIF(Sellables!$A$2:$A$11482, $A118, Sellables!$G$2:$G$11482)</f>
        <v>87.0231</v>
      </c>
      <c s="14" r="L118">
        <f>J118+K118</f>
        <v>976.0831</v>
      </c>
      <c s="23" r="M118">
        <f>G118*D118</f>
        <v>1239.5</v>
      </c>
      <c s="70" r="N118">
        <f>L118-M118</f>
        <v>-263.4169</v>
      </c>
      <c s="29" r="O118">
        <f> (L118/M118) - 1</f>
        <v>-0.212518676885841</v>
      </c>
      <c s="70" r="P118">
        <f>M118</f>
        <v>1239.5</v>
      </c>
      <c s="70" r="Q118">
        <f>L118/D118</f>
        <v>5.27612486486486</v>
      </c>
      <c t="s" s="10" r="R118">
        <v>182</v>
      </c>
      <c t="s" s="10" r="S118">
        <v>42</v>
      </c>
      <c s="10" r="T118">
        <v>0</v>
      </c>
      <c s="10" r="U118">
        <v>0</v>
      </c>
      <c s="10" r="V118">
        <v>0</v>
      </c>
      <c s="10" r="W118">
        <v>0</v>
      </c>
    </row>
    <row r="119">
      <c s="10" r="A119">
        <v>607</v>
      </c>
      <c s="40" r="B119">
        <v>41630</v>
      </c>
      <c s="71" r="C119">
        <v>0.541666666666667</v>
      </c>
      <c s="68" r="D119">
        <v>1682</v>
      </c>
      <c t="s" s="68" r="E119">
        <v>56</v>
      </c>
      <c t="s" s="10" r="F119">
        <v>323</v>
      </c>
      <c s="16" r="G119">
        <v>0.71</v>
      </c>
      <c s="16" r="H119"/>
      <c s="42" r="I119">
        <v>1302.7</v>
      </c>
      <c s="79" r="J119">
        <f>I119-SUMIF(Sellables!$A$2:$A$11482, $A119, Sellables!$E$2:$E$11482)</f>
        <v>806.2</v>
      </c>
      <c s="32" r="K119">
        <f>SUMIF(Sellables!$A$2:$A$11482, $A119, Sellables!$G$2:$G$11482)</f>
        <v>496.5</v>
      </c>
      <c s="14" r="L119">
        <f>J119+K119</f>
        <v>1302.7</v>
      </c>
      <c s="23" r="M119">
        <f>G119*D119</f>
        <v>1194.22</v>
      </c>
      <c s="70" r="N119">
        <f>L119-M119</f>
        <v>108.48</v>
      </c>
      <c s="29" r="O119">
        <f> (L119/M119) - 1</f>
        <v>0.090837534122691</v>
      </c>
      <c s="70" r="P119">
        <f>M119</f>
        <v>1194.22</v>
      </c>
      <c s="70" r="Q119">
        <f>L119/D119</f>
        <v>0.774494649227111</v>
      </c>
      <c t="s" s="10" r="R119">
        <v>333</v>
      </c>
      <c t="s" s="10" r="S119">
        <v>42</v>
      </c>
      <c s="10" r="T119">
        <v>0</v>
      </c>
      <c s="10" r="U119">
        <v>0</v>
      </c>
      <c s="10" r="V119">
        <v>1</v>
      </c>
      <c s="10" r="W119">
        <v>0</v>
      </c>
    </row>
    <row r="120">
      <c s="10" r="A120">
        <v>608</v>
      </c>
      <c s="40" r="B120">
        <v>41630</v>
      </c>
      <c s="71" r="C120">
        <v>0.604166666666667</v>
      </c>
      <c s="68" r="D120">
        <v>794</v>
      </c>
      <c t="s" s="68" r="E120">
        <v>349</v>
      </c>
      <c t="s" s="10" r="F120">
        <v>323</v>
      </c>
      <c s="16" r="G120">
        <v>2.62</v>
      </c>
      <c s="16" r="H120"/>
      <c s="42" r="I120">
        <v>1679.63</v>
      </c>
      <c s="79" r="J120">
        <f>I120-SUMIF(Sellables!$A$2:$A$11482, $A120, Sellables!$E$2:$E$11482)</f>
        <v>1517.26</v>
      </c>
      <c s="32" r="K120">
        <f>SUMIF(Sellables!$A$2:$A$11482, $A120, Sellables!$G$2:$G$11482)</f>
        <v>668.6307</v>
      </c>
      <c s="14" r="L120">
        <f>J120+K120</f>
        <v>2185.8907</v>
      </c>
      <c s="23" r="M120">
        <f>G120*D120</f>
        <v>2080.28</v>
      </c>
      <c s="70" r="N120">
        <f>L120-M120</f>
        <v>105.6107</v>
      </c>
      <c s="29" r="O120">
        <f> (L120/M120) - 1</f>
        <v>0.050767540907955</v>
      </c>
      <c s="70" r="P120">
        <f>M120</f>
        <v>2080.28</v>
      </c>
      <c s="70" r="Q120">
        <f>L120/D120</f>
        <v>2.75301095717884</v>
      </c>
      <c t="s" s="10" r="R120">
        <v>333</v>
      </c>
      <c t="s" s="10" r="S120">
        <v>42</v>
      </c>
      <c s="10" r="T120">
        <v>0</v>
      </c>
      <c s="10" r="U120">
        <v>0</v>
      </c>
      <c s="10" r="V120">
        <v>0</v>
      </c>
      <c s="10" r="W120">
        <v>0</v>
      </c>
    </row>
    <row r="121">
      <c s="10" r="A121">
        <v>609</v>
      </c>
      <c s="40" r="B121">
        <v>41630</v>
      </c>
      <c s="71" r="C121">
        <v>0.697916666666667</v>
      </c>
      <c s="68" r="D121">
        <v>187</v>
      </c>
      <c t="s" s="68" r="E121">
        <v>362</v>
      </c>
      <c t="s" s="10" r="F121">
        <v>323</v>
      </c>
      <c s="16" r="G121">
        <v>2.6</v>
      </c>
      <c s="16" r="H121"/>
      <c s="42" r="I121">
        <f>366.19+55.74</f>
        <v>421.93</v>
      </c>
      <c s="79" r="J121">
        <f>I121-SUMIF(Sellables!$A$2:$A$11482, $A121, Sellables!$E$2:$E$11482)</f>
        <v>64.4</v>
      </c>
      <c s="32" r="K121">
        <f>SUMIF(Sellables!$A$2:$A$11482, $A121, Sellables!$G$2:$G$11482)</f>
        <v>478.00145</v>
      </c>
      <c s="14" r="L121">
        <f>J121+K121</f>
        <v>542.40145</v>
      </c>
      <c s="23" r="M121">
        <f>G121*D121</f>
        <v>486.2</v>
      </c>
      <c s="70" r="N121">
        <f>L121-M121</f>
        <v>56.2014500000001</v>
      </c>
      <c s="29" r="O121">
        <f> (L121/M121) - 1</f>
        <v>0.115593274372686</v>
      </c>
      <c s="70" r="P121">
        <f>M121</f>
        <v>486.2</v>
      </c>
      <c s="70" r="Q121">
        <f>L121/D121</f>
        <v>2.90054251336898</v>
      </c>
      <c t="s" s="10" r="R121">
        <v>182</v>
      </c>
      <c t="s" s="10" r="S121">
        <v>42</v>
      </c>
      <c s="10" r="T121">
        <v>0</v>
      </c>
      <c s="10" r="U121">
        <v>0</v>
      </c>
      <c s="10" r="V121">
        <v>1</v>
      </c>
      <c s="10" r="W121">
        <v>0</v>
      </c>
    </row>
    <row r="122">
      <c s="10" r="A122">
        <v>610</v>
      </c>
      <c s="40" r="B122">
        <v>41630</v>
      </c>
      <c s="71" r="C122">
        <v>0.708333333333333</v>
      </c>
      <c s="68" r="D122">
        <v>200</v>
      </c>
      <c t="s" s="68" r="E122">
        <v>353</v>
      </c>
      <c t="s" s="10" r="F122">
        <v>323</v>
      </c>
      <c s="16" r="G122">
        <v>2.6</v>
      </c>
      <c s="16" r="H122"/>
      <c s="42" r="I122">
        <v>357.52</v>
      </c>
      <c s="79" r="J122">
        <f>I122-SUMIF(Sellables!$A$2:$A$11482, $A122, Sellables!$E$2:$E$11482)</f>
        <v>61.9</v>
      </c>
      <c s="32" r="K122">
        <f>SUMIF(Sellables!$A$2:$A$11482, $A122, Sellables!$G$2:$G$11482)</f>
        <v>448.3233</v>
      </c>
      <c s="14" r="L122">
        <f>J122+K122</f>
        <v>510.2233</v>
      </c>
      <c s="23" r="M122">
        <f>G122*D122</f>
        <v>520</v>
      </c>
      <c s="70" r="N122">
        <f>L122-M122</f>
        <v>-9.7767</v>
      </c>
      <c s="29" r="O122">
        <f> (L122/M122) - 1</f>
        <v>-0.018801346153846</v>
      </c>
      <c s="70" r="P122">
        <f>M122</f>
        <v>520</v>
      </c>
      <c s="70" r="Q122">
        <f>L122/D122</f>
        <v>2.5511165</v>
      </c>
      <c t="s" s="10" r="R122">
        <v>182</v>
      </c>
      <c t="s" s="10" r="S122">
        <v>42</v>
      </c>
      <c s="10" r="T122">
        <v>0</v>
      </c>
      <c s="10" r="U122">
        <v>0</v>
      </c>
      <c s="10" r="V122">
        <v>0</v>
      </c>
      <c s="10" r="W122">
        <v>0</v>
      </c>
    </row>
    <row r="123">
      <c s="10" r="A123">
        <v>611</v>
      </c>
      <c s="40" r="B123">
        <v>41630</v>
      </c>
      <c s="71" r="C123">
        <v>0.732638888888889</v>
      </c>
      <c s="68" r="D123">
        <v>948</v>
      </c>
      <c t="s" s="68" r="E123">
        <v>348</v>
      </c>
      <c t="s" s="10" r="F123">
        <v>323</v>
      </c>
      <c s="16" r="G123">
        <v>0.61</v>
      </c>
      <c s="16" r="H123"/>
      <c s="42" r="I123">
        <v>546.06</v>
      </c>
      <c s="79" r="J123">
        <f>I123-SUMIF(Sellables!$A$2:$A$11482, $A123, Sellables!$E$2:$E$11482)</f>
        <v>410.23</v>
      </c>
      <c s="32" r="K123">
        <f>SUMIF(Sellables!$A$2:$A$11482, $A123, Sellables!$G$2:$G$11482)</f>
        <v>144.65895</v>
      </c>
      <c s="14" r="L123">
        <f>J123+K123</f>
        <v>554.88895</v>
      </c>
      <c s="23" r="M123">
        <f>G123*D123</f>
        <v>578.28</v>
      </c>
      <c s="70" r="N123">
        <f>L123-M123</f>
        <v>-23.3910500000001</v>
      </c>
      <c s="29" r="O123">
        <f> (L123/M123) - 1</f>
        <v>-0.040449349795947</v>
      </c>
      <c s="70" r="P123">
        <f>M123</f>
        <v>578.28</v>
      </c>
      <c s="70" r="Q123">
        <f>L123/D123</f>
        <v>0.585325896624472</v>
      </c>
      <c t="s" s="10" r="R123">
        <v>182</v>
      </c>
      <c t="s" s="10" r="S123">
        <v>42</v>
      </c>
      <c s="10" r="T123">
        <v>0</v>
      </c>
      <c s="10" r="U123">
        <v>0</v>
      </c>
      <c s="10" r="V123">
        <v>0</v>
      </c>
      <c s="10" r="W123">
        <v>0</v>
      </c>
    </row>
    <row r="124">
      <c s="10" r="A124">
        <v>612</v>
      </c>
      <c s="40" r="B124">
        <v>41630</v>
      </c>
      <c s="71" r="C124">
        <v>0.78125</v>
      </c>
      <c s="68" r="D124">
        <v>666</v>
      </c>
      <c t="s" s="68" r="E124">
        <v>335</v>
      </c>
      <c t="s" s="10" r="F124">
        <v>329</v>
      </c>
      <c s="16" r="G124">
        <v>1.35</v>
      </c>
      <c s="16" r="H124"/>
      <c s="42" r="I124">
        <v>623.81</v>
      </c>
      <c s="79" r="J124">
        <f>I124-SUMIF(Sellables!$A$2:$A$11482, $A124, Sellables!$E$2:$E$11482)</f>
        <v>498.05</v>
      </c>
      <c s="32" r="K124">
        <f>SUMIF(Sellables!$A$2:$A$11482, $A124, Sellables!$G$2:$G$11482)</f>
        <v>133.9344</v>
      </c>
      <c s="14" r="L124">
        <f>J124+K124</f>
        <v>631.9844</v>
      </c>
      <c s="23" r="M124">
        <f>G124*D124</f>
        <v>899.1</v>
      </c>
      <c s="70" r="N124">
        <f>L124-M124</f>
        <v>-267.1156</v>
      </c>
      <c s="29" r="O124">
        <f> (L124/M124) - 1</f>
        <v>-0.297092203314426</v>
      </c>
      <c s="70" r="P124">
        <f>M124</f>
        <v>899.1</v>
      </c>
      <c s="70" r="Q124">
        <f>L124/D124</f>
        <v>0.948925525525526</v>
      </c>
      <c t="s" s="10" r="R124">
        <v>182</v>
      </c>
      <c t="s" s="10" r="S124">
        <v>42</v>
      </c>
      <c s="10" r="T124">
        <v>0</v>
      </c>
      <c s="10" r="U124">
        <v>0</v>
      </c>
      <c s="10" r="V124">
        <v>0</v>
      </c>
      <c s="10" r="W124">
        <v>0</v>
      </c>
    </row>
    <row r="125">
      <c s="10" r="A125">
        <v>614</v>
      </c>
      <c s="40" r="B125">
        <v>41630</v>
      </c>
      <c s="71" r="C125">
        <v>0.90625</v>
      </c>
      <c s="68" r="D125">
        <v>339</v>
      </c>
      <c t="s" s="68" r="E125">
        <v>363</v>
      </c>
      <c t="s" s="10" r="F125">
        <v>329</v>
      </c>
      <c s="16" r="G125">
        <v>2.1</v>
      </c>
      <c s="16" r="H125"/>
      <c s="42" r="I125">
        <f>174.52+332.02</f>
        <v>506.54</v>
      </c>
      <c s="79" r="J125">
        <f>I125-SUMIF(Sellables!$A$2:$A$11482, $A125, Sellables!$E$2:$E$11482)</f>
        <v>121.9</v>
      </c>
      <c s="32" r="K125">
        <f>SUMIF(Sellables!$A$2:$A$11482, $A125, Sellables!$G$2:$G$11482)</f>
        <v>554.0196</v>
      </c>
      <c s="14" r="L125">
        <f>J125+K125</f>
        <v>675.9196</v>
      </c>
      <c s="23" r="M125">
        <f>G125*D125</f>
        <v>711.9</v>
      </c>
      <c s="70" r="N125">
        <f>L125-M125</f>
        <v>-35.9804</v>
      </c>
      <c s="29" r="O125">
        <f> (L125/M125) - 1</f>
        <v>-0.050541368169687</v>
      </c>
      <c s="70" r="P125">
        <f>M125</f>
        <v>711.9</v>
      </c>
      <c s="70" r="Q125">
        <f>L125/D125</f>
        <v>1.99386312684366</v>
      </c>
      <c t="s" s="10" r="R125">
        <v>182</v>
      </c>
      <c t="s" s="10" r="S125">
        <v>42</v>
      </c>
      <c s="10" r="T125">
        <v>0</v>
      </c>
      <c s="10" r="U125">
        <v>0</v>
      </c>
      <c s="10" r="V125">
        <v>0</v>
      </c>
      <c s="10" r="W125">
        <v>0</v>
      </c>
    </row>
    <row r="126">
      <c s="10" r="A126">
        <v>615</v>
      </c>
      <c s="40" r="B126">
        <v>41630</v>
      </c>
      <c s="71" r="C126">
        <v>0.927083333333333</v>
      </c>
      <c s="68" r="D126">
        <v>457</v>
      </c>
      <c t="s" s="68" r="E126">
        <v>227</v>
      </c>
      <c t="s" s="10" r="F126">
        <v>323</v>
      </c>
      <c s="16" r="G126">
        <v>2.6</v>
      </c>
      <c s="16" r="H126"/>
      <c s="42" r="I126">
        <v>818.06</v>
      </c>
      <c s="79" r="J126">
        <f>I126-SUMIF(Sellables!$A$2:$A$11482, $A126, Sellables!$E$2:$E$11482)</f>
        <v>166.31</v>
      </c>
      <c s="32" r="K126">
        <f>SUMIF(Sellables!$A$2:$A$11482, $A126, Sellables!$G$2:$G$11482)</f>
        <v>952.84975</v>
      </c>
      <c s="14" r="L126">
        <f>J126+K126</f>
        <v>1119.15975</v>
      </c>
      <c s="23" r="M126">
        <f>G126*D126</f>
        <v>1188.2</v>
      </c>
      <c s="70" r="N126">
        <f>L126-M126</f>
        <v>-69.0402500000002</v>
      </c>
      <c s="29" r="O126">
        <f> (L126/M126) - 1</f>
        <v>-0.058104906581384</v>
      </c>
      <c s="70" r="P126">
        <f>M126</f>
        <v>1188.2</v>
      </c>
      <c s="70" r="Q126">
        <f>L126/D126</f>
        <v>2.4489272428884</v>
      </c>
      <c t="s" s="10" r="R126">
        <v>182</v>
      </c>
      <c t="s" s="10" r="S126">
        <v>42</v>
      </c>
      <c s="10" r="T126">
        <v>0</v>
      </c>
      <c s="10" r="U126">
        <v>0</v>
      </c>
      <c s="10" r="V126">
        <v>1</v>
      </c>
      <c s="10" r="W126">
        <v>0</v>
      </c>
    </row>
    <row r="127">
      <c s="10" r="A127">
        <v>618</v>
      </c>
      <c s="40" r="B127">
        <v>41631</v>
      </c>
      <c s="71" r="C127">
        <v>0.083333333333333</v>
      </c>
      <c s="68" r="D127">
        <v>1464</v>
      </c>
      <c t="s" s="68" r="E127">
        <v>139</v>
      </c>
      <c t="s" s="10" r="F127">
        <v>323</v>
      </c>
      <c s="16" r="G127">
        <v>0.91</v>
      </c>
      <c s="16" r="H127"/>
      <c s="42" r="I127">
        <v>1309.01</v>
      </c>
      <c s="79" r="J127">
        <f>I127-SUMIF(Sellables!$A$2:$A$11482, $A127, Sellables!$E$2:$E$11482)</f>
        <v>820.21</v>
      </c>
      <c s="32" r="K127">
        <f>SUMIF(Sellables!$A$2:$A$11482, $A127, Sellables!$G$2:$G$11482)</f>
        <v>513.24</v>
      </c>
      <c s="14" r="L127">
        <f>J127+K127</f>
        <v>1333.45</v>
      </c>
      <c s="23" r="M127">
        <f>G127*D127</f>
        <v>1332.24</v>
      </c>
      <c s="70" r="N127">
        <f>L127-M127</f>
        <v>1.21000000000004</v>
      </c>
      <c s="29" r="O127">
        <f> (L127/M127) - 1</f>
        <v>0.000908244760704</v>
      </c>
      <c s="70" r="P127">
        <f>M127</f>
        <v>1332.24</v>
      </c>
      <c s="70" r="Q127">
        <f>L127/D127</f>
        <v>0.91082650273224</v>
      </c>
      <c t="s" s="10" r="R127">
        <v>182</v>
      </c>
      <c t="s" s="10" r="S127">
        <v>42</v>
      </c>
      <c s="10" r="T127">
        <v>0</v>
      </c>
      <c s="10" r="U127">
        <v>1</v>
      </c>
      <c s="10" r="V127">
        <v>2</v>
      </c>
      <c s="10" r="W127">
        <v>0</v>
      </c>
    </row>
    <row r="128">
      <c s="10" r="A128">
        <v>620</v>
      </c>
      <c s="40" r="B128">
        <v>41631</v>
      </c>
      <c s="71" r="C128">
        <v>0.53125</v>
      </c>
      <c s="68" r="D128">
        <v>61</v>
      </c>
      <c t="s" s="68" r="E128">
        <v>139</v>
      </c>
      <c t="s" s="10" r="F128">
        <v>323</v>
      </c>
      <c s="16" r="G128">
        <v>0.91</v>
      </c>
      <c s="16" r="H128"/>
      <c s="42" r="I128">
        <v>78.53</v>
      </c>
      <c s="79" r="J128">
        <f>I128-SUMIF(Sellables!$A$2:$A$11482, $A128, Sellables!$E$2:$E$11482)</f>
        <v>51.33</v>
      </c>
      <c s="32" r="K128">
        <f>SUMIF(Sellables!$A$2:$A$11482, $A128, Sellables!$G$2:$G$11482)</f>
        <v>28.56</v>
      </c>
      <c s="14" r="L128">
        <f>J128+K128</f>
        <v>79.89</v>
      </c>
      <c s="23" r="M128">
        <f>G128*D128</f>
        <v>55.51</v>
      </c>
      <c s="70" r="N128">
        <f>L128-M128</f>
        <v>24.38</v>
      </c>
      <c s="29" r="O128">
        <f> (L128/M128) - 1</f>
        <v>0.439200144118177</v>
      </c>
      <c s="70" r="P128">
        <f>M128</f>
        <v>55.51</v>
      </c>
      <c s="70" r="Q128">
        <f>L128/D128</f>
        <v>1.30967213114754</v>
      </c>
      <c t="s" s="10" r="R128">
        <v>182</v>
      </c>
      <c t="s" s="10" r="S128">
        <v>42</v>
      </c>
      <c s="10" r="T128">
        <v>0</v>
      </c>
      <c s="10" r="U128">
        <v>0</v>
      </c>
      <c s="10" r="V128">
        <v>0</v>
      </c>
      <c s="10" r="W128">
        <v>0</v>
      </c>
    </row>
    <row r="129">
      <c s="10" r="A129">
        <v>621</v>
      </c>
      <c s="40" r="B129">
        <v>41631</v>
      </c>
      <c s="71" r="C129">
        <v>0.597222222222222</v>
      </c>
      <c s="68" r="D129">
        <v>783</v>
      </c>
      <c t="s" s="68" r="E129">
        <v>325</v>
      </c>
      <c t="s" s="10" r="F129">
        <v>330</v>
      </c>
      <c s="16" r="G129">
        <v>1.8</v>
      </c>
      <c s="16" r="H129"/>
      <c s="42" r="I129">
        <v>1242.96</v>
      </c>
      <c s="79" r="J129">
        <f>I129-SUMIF(Sellables!$A$2:$A$11482, $A129, Sellables!$E$2:$E$11482)</f>
        <v>481.83</v>
      </c>
      <c s="32" r="K129">
        <f>SUMIF(Sellables!$A$2:$A$11482, $A129, Sellables!$G$2:$G$11482)</f>
        <v>801.87345</v>
      </c>
      <c s="14" r="L129">
        <f>J129+K129</f>
        <v>1283.70345</v>
      </c>
      <c s="23" r="M129">
        <f>G129*D129</f>
        <v>1409.4</v>
      </c>
      <c s="70" r="N129">
        <f>L129-M129</f>
        <v>-125.69655</v>
      </c>
      <c s="29" r="O129">
        <f> (L129/M129) - 1</f>
        <v>-0.089184440187314</v>
      </c>
      <c s="70" r="P129">
        <f>M129</f>
        <v>1409.4</v>
      </c>
      <c s="70" r="Q129">
        <f>L129/D129</f>
        <v>1.63946800766284</v>
      </c>
      <c t="s" s="10" r="R129">
        <v>182</v>
      </c>
      <c t="s" s="10" r="S129">
        <v>42</v>
      </c>
      <c s="10" r="T129">
        <v>0</v>
      </c>
      <c s="10" r="U129">
        <v>0</v>
      </c>
      <c s="10" r="V129">
        <v>1</v>
      </c>
      <c s="10" r="W129">
        <v>0</v>
      </c>
    </row>
    <row r="130">
      <c s="10" r="A130">
        <v>622</v>
      </c>
      <c s="40" r="B130">
        <v>41631</v>
      </c>
      <c s="71" r="C130">
        <v>0.618055555555556</v>
      </c>
      <c s="68" r="D130">
        <v>804</v>
      </c>
      <c t="s" s="68" r="E130">
        <v>68</v>
      </c>
      <c t="s" s="10" r="F130">
        <v>329</v>
      </c>
      <c s="16" r="G130">
        <v>1.15</v>
      </c>
      <c s="16" r="H130"/>
      <c s="42" r="I130">
        <f>170.38+452.39</f>
        <v>622.77</v>
      </c>
      <c s="79" r="J130">
        <f>I130-SUMIF(Sellables!$A$2:$A$11482, $A130, Sellables!$E$2:$E$11482)</f>
        <v>479.77</v>
      </c>
      <c s="32" r="K130">
        <f>SUMIF(Sellables!$A$2:$A$11482, $A130, Sellables!$G$2:$G$11482)</f>
        <v>155.87</v>
      </c>
      <c s="14" r="L130">
        <f>J130+K130</f>
        <v>635.64</v>
      </c>
      <c s="23" r="M130">
        <f>G130*D130</f>
        <v>924.6</v>
      </c>
      <c s="70" r="N130">
        <f>L130-M130</f>
        <v>-288.96</v>
      </c>
      <c s="29" r="O130">
        <f> (L130/M130) - 1</f>
        <v>-0.312524334847502</v>
      </c>
      <c s="70" r="P130">
        <f>M130</f>
        <v>924.6</v>
      </c>
      <c s="70" r="Q130">
        <f>L130/D130</f>
        <v>0.790597014925373</v>
      </c>
      <c t="s" s="10" r="R130">
        <v>182</v>
      </c>
      <c t="s" s="10" r="S130">
        <v>42</v>
      </c>
      <c s="10" r="T130">
        <v>0</v>
      </c>
      <c s="10" r="U130">
        <v>0</v>
      </c>
      <c s="10" r="V130">
        <v>0</v>
      </c>
      <c s="10" r="W130">
        <v>0</v>
      </c>
    </row>
    <row r="131">
      <c s="10" r="A131">
        <v>623</v>
      </c>
      <c s="40" r="B131">
        <v>41631</v>
      </c>
      <c s="71" r="C131">
        <v>0.659722222222222</v>
      </c>
      <c s="68" r="D131">
        <v>45</v>
      </c>
      <c t="s" s="68" r="E131">
        <v>364</v>
      </c>
      <c t="s" s="10" r="F131">
        <v>323</v>
      </c>
      <c s="16" r="G131">
        <v>0.85</v>
      </c>
      <c s="16" r="H131"/>
      <c s="42" r="I131">
        <v>33.92</v>
      </c>
      <c s="79" r="J131">
        <f>I131-SUMIF(Sellables!$A$2:$A$11482, $A131, Sellables!$E$2:$E$11482)</f>
        <v>28.47</v>
      </c>
      <c s="32" r="K131">
        <f>SUMIF(Sellables!$A$2:$A$11482, $A131, Sellables!$G$2:$G$11482)</f>
        <v>5.80425</v>
      </c>
      <c s="14" r="L131">
        <f>J131+K131</f>
        <v>34.27425</v>
      </c>
      <c s="23" r="M131">
        <f>G131*D131</f>
        <v>38.25</v>
      </c>
      <c s="70" r="N131">
        <f>L131-M131</f>
        <v>-3.97575</v>
      </c>
      <c s="29" r="O131">
        <f> (L131/M131) - 1</f>
        <v>-0.103941176470588</v>
      </c>
      <c s="70" r="P131">
        <f>M131</f>
        <v>38.25</v>
      </c>
      <c s="70" r="Q131">
        <f>L131/D131</f>
        <v>0.76165</v>
      </c>
      <c t="s" s="10" r="R131">
        <v>182</v>
      </c>
      <c t="s" s="10" r="S131">
        <v>42</v>
      </c>
      <c s="10" r="T131">
        <v>0</v>
      </c>
      <c s="10" r="U131">
        <v>0</v>
      </c>
      <c s="10" r="V131">
        <v>0</v>
      </c>
      <c s="10" r="W131">
        <v>0</v>
      </c>
    </row>
    <row r="132">
      <c s="10" r="A132">
        <v>627</v>
      </c>
      <c s="40" r="B132">
        <v>41632</v>
      </c>
      <c s="71" r="C132">
        <v>0.020833333333333</v>
      </c>
      <c s="68" r="D132">
        <v>250</v>
      </c>
      <c t="s" s="68" r="E132">
        <v>227</v>
      </c>
      <c t="s" s="10" r="F132">
        <v>323</v>
      </c>
      <c s="16" r="G132">
        <v>2.6</v>
      </c>
      <c s="16" r="H132"/>
      <c s="42" r="I132">
        <v>493.12</v>
      </c>
      <c s="79" r="J132">
        <f>I132-SUMIF(Sellables!$A$2:$A$11482, $A132, Sellables!$E$2:$E$11482)</f>
        <v>106.62</v>
      </c>
      <c s="32" r="K132">
        <f>SUMIF(Sellables!$A$2:$A$11482, $A132, Sellables!$G$2:$G$11482)</f>
        <v>570.6905</v>
      </c>
      <c s="14" r="L132">
        <f>J132+K132</f>
        <v>677.3105</v>
      </c>
      <c s="23" r="M132">
        <f>G132*D132</f>
        <v>650</v>
      </c>
      <c s="70" r="N132">
        <f>L132-M132</f>
        <v>27.3104999999999</v>
      </c>
      <c s="29" r="O132">
        <f> (L132/M132) - 1</f>
        <v>0.042016153846154</v>
      </c>
      <c s="70" r="P132">
        <f>M132</f>
        <v>650</v>
      </c>
      <c s="70" r="Q132">
        <f>L132/D132</f>
        <v>2.709242</v>
      </c>
      <c t="s" s="10" r="R132">
        <v>182</v>
      </c>
      <c t="s" s="10" r="S132">
        <v>42</v>
      </c>
      <c s="10" r="T132">
        <v>0</v>
      </c>
      <c s="10" r="U132">
        <v>0</v>
      </c>
      <c s="10" r="V132">
        <v>2</v>
      </c>
      <c s="10" r="W132">
        <v>0</v>
      </c>
    </row>
    <row r="133">
      <c s="10" r="A133">
        <v>628</v>
      </c>
      <c s="40" r="B133">
        <v>41632</v>
      </c>
      <c s="71" r="C133">
        <v>0.03125</v>
      </c>
      <c s="68" r="D133">
        <v>120</v>
      </c>
      <c t="s" s="68" r="E133">
        <v>353</v>
      </c>
      <c t="s" s="10" r="F133">
        <v>323</v>
      </c>
      <c s="16" r="G133">
        <v>2.6</v>
      </c>
      <c s="16" r="H133"/>
      <c s="42" r="I133">
        <v>208.51</v>
      </c>
      <c s="79" r="J133">
        <f>I133-SUMIF(Sellables!$A$2:$A$11482, $A133, Sellables!$E$2:$E$11482)</f>
        <v>39.7</v>
      </c>
      <c s="32" r="K133">
        <f>SUMIF(Sellables!$A$2:$A$11482, $A133, Sellables!$G$2:$G$11482)</f>
        <v>242.71065</v>
      </c>
      <c s="14" r="L133">
        <f>J133+K133</f>
        <v>282.41065</v>
      </c>
      <c s="23" r="M133">
        <f>G133*D133</f>
        <v>312</v>
      </c>
      <c s="70" r="N133">
        <f>L133-M133</f>
        <v>-29.58935</v>
      </c>
      <c s="29" r="O133">
        <f> (L133/M133) - 1</f>
        <v>-0.09483766025641</v>
      </c>
      <c s="70" r="P133">
        <f>M133</f>
        <v>312</v>
      </c>
      <c s="70" r="Q133">
        <f>L133/D133</f>
        <v>2.35342208333333</v>
      </c>
      <c t="s" s="10" r="R133">
        <v>182</v>
      </c>
      <c t="s" s="10" r="S133">
        <v>42</v>
      </c>
      <c s="10" r="T133">
        <v>0</v>
      </c>
      <c s="10" r="U133">
        <v>0</v>
      </c>
      <c s="10" r="V133">
        <v>0</v>
      </c>
      <c s="10" r="W133">
        <v>0</v>
      </c>
    </row>
    <row r="134">
      <c s="10" r="A134">
        <v>629</v>
      </c>
      <c s="40" r="B134">
        <v>41632</v>
      </c>
      <c s="71" r="C134">
        <v>0.041666666666667</v>
      </c>
      <c s="68" r="D134">
        <v>133</v>
      </c>
      <c t="s" s="68" r="E134">
        <v>204</v>
      </c>
      <c t="s" s="10" r="F134">
        <v>323</v>
      </c>
      <c s="16" r="G134">
        <v>2.3</v>
      </c>
      <c s="16" r="H134"/>
      <c s="42" r="I134">
        <v>248.9</v>
      </c>
      <c s="79" r="J134">
        <f>I134-SUMIF(Sellables!$A$2:$A$11482, $A134, Sellables!$E$2:$E$11482)</f>
        <v>49.9</v>
      </c>
      <c s="32" r="K134">
        <f>SUMIF(Sellables!$A$2:$A$11482, $A134, Sellables!$G$2:$G$11482)</f>
        <v>249.511</v>
      </c>
      <c s="14" r="L134">
        <f>J134+K134</f>
        <v>299.411</v>
      </c>
      <c s="23" r="M134">
        <f>G134*D134</f>
        <v>305.9</v>
      </c>
      <c s="70" r="N134">
        <f>L134-M134</f>
        <v>-6.48899999999992</v>
      </c>
      <c s="29" r="O134">
        <f> (L134/M134) - 1</f>
        <v>-0.021212814645309</v>
      </c>
      <c s="70" r="P134">
        <f>M134</f>
        <v>305.9</v>
      </c>
      <c s="70" r="Q134">
        <f>L134/D134</f>
        <v>2.25121052631579</v>
      </c>
      <c t="s" s="10" r="R134">
        <v>182</v>
      </c>
      <c t="s" s="10" r="S134">
        <v>42</v>
      </c>
      <c s="10" r="T134">
        <v>0</v>
      </c>
      <c s="10" r="U134">
        <v>0</v>
      </c>
      <c s="10" r="V134">
        <v>0</v>
      </c>
      <c s="10" r="W134">
        <v>0</v>
      </c>
    </row>
    <row r="135">
      <c s="10" r="A135">
        <v>630</v>
      </c>
      <c s="40" r="B135">
        <v>41632</v>
      </c>
      <c s="71" r="C135">
        <v>0.052083333333333</v>
      </c>
      <c s="68" r="D135">
        <v>85</v>
      </c>
      <c t="s" s="68" r="E135">
        <v>365</v>
      </c>
      <c t="s" s="10" r="F135">
        <v>323</v>
      </c>
      <c s="16" r="G135">
        <v>2.3</v>
      </c>
      <c s="16" r="H135"/>
      <c s="42" r="I135">
        <v>100.56</v>
      </c>
      <c s="79" r="J135">
        <f>I135-SUMIF(Sellables!$A$2:$A$11482, $A135, Sellables!$E$2:$E$11482)</f>
        <v>16.4</v>
      </c>
      <c s="32" r="K135">
        <f>SUMIF(Sellables!$A$2:$A$11482, $A135, Sellables!$G$2:$G$11482)</f>
        <v>128.0864</v>
      </c>
      <c s="14" r="L135">
        <f>J135+K135</f>
        <v>144.4864</v>
      </c>
      <c s="23" r="M135">
        <f>G135*D135</f>
        <v>195.5</v>
      </c>
      <c s="70" r="N135">
        <f>L135-M135</f>
        <v>-51.0136</v>
      </c>
      <c s="29" r="O135">
        <f> (L135/M135) - 1</f>
        <v>-0.260939130434782</v>
      </c>
      <c s="70" r="P135">
        <f>M135</f>
        <v>195.5</v>
      </c>
      <c s="70" r="Q135">
        <f>L135/D135</f>
        <v>1.69984</v>
      </c>
      <c t="s" s="10" r="R135">
        <v>182</v>
      </c>
      <c t="s" s="10" r="S135">
        <v>42</v>
      </c>
      <c s="10" r="T135">
        <v>0</v>
      </c>
      <c s="10" r="U135">
        <v>0</v>
      </c>
      <c s="10" r="V135">
        <v>0</v>
      </c>
      <c s="10" r="W135">
        <v>0</v>
      </c>
    </row>
    <row r="136">
      <c s="10" r="A136">
        <v>631</v>
      </c>
      <c s="40" r="B136">
        <v>41632</v>
      </c>
      <c s="71" r="C136">
        <v>0.052083333333333</v>
      </c>
      <c s="68" r="D136">
        <v>66</v>
      </c>
      <c t="s" s="68" r="E136">
        <v>365</v>
      </c>
      <c t="s" s="10" r="F136">
        <v>323</v>
      </c>
      <c s="16" r="G136">
        <v>2.3</v>
      </c>
      <c s="16" r="H136"/>
      <c s="42" r="I136">
        <v>112.24</v>
      </c>
      <c s="79" r="J136">
        <f>I136-SUMIF(Sellables!$A$2:$A$11482, $A136, Sellables!$E$2:$E$11482)</f>
        <v>17.8</v>
      </c>
      <c s="32" r="K136">
        <f>SUMIF(Sellables!$A$2:$A$11482, $A136, Sellables!$G$2:$G$11482)</f>
        <v>125.9026</v>
      </c>
      <c s="14" r="L136">
        <f>J136+K136</f>
        <v>143.7026</v>
      </c>
      <c s="23" r="M136">
        <f>G136*D136</f>
        <v>151.8</v>
      </c>
      <c s="70" r="N136">
        <f>L136-M136</f>
        <v>-8.09739999999996</v>
      </c>
      <c s="29" r="O136">
        <f> (L136/M136) - 1</f>
        <v>-0.05334255599473</v>
      </c>
      <c s="70" r="P136">
        <f>M136</f>
        <v>151.8</v>
      </c>
      <c s="70" r="Q136">
        <f>L136/D136</f>
        <v>2.17731212121212</v>
      </c>
      <c t="s" s="10" r="R136">
        <v>182</v>
      </c>
      <c t="s" s="10" r="S136">
        <v>42</v>
      </c>
      <c s="10" r="T136">
        <v>0</v>
      </c>
      <c s="10" r="U136">
        <v>0</v>
      </c>
      <c s="10" r="V136">
        <v>0</v>
      </c>
      <c s="10" r="W136">
        <v>0</v>
      </c>
    </row>
    <row r="137">
      <c s="10" r="A137">
        <v>632</v>
      </c>
      <c s="40" r="B137">
        <v>41632</v>
      </c>
      <c s="71" r="C137">
        <v>0.0625</v>
      </c>
      <c s="68" r="D137">
        <v>414</v>
      </c>
      <c t="s" s="68" r="E137">
        <v>335</v>
      </c>
      <c t="s" s="10" r="F137">
        <v>323</v>
      </c>
      <c s="16" r="G137">
        <v>1.35</v>
      </c>
      <c s="16" r="H137"/>
      <c s="42" r="I137">
        <v>480</v>
      </c>
      <c s="79" r="J137">
        <f>I137-SUMIF(Sellables!$A$2:$A$11482, $A137, Sellables!$E$2:$E$11482)</f>
        <v>368.76</v>
      </c>
      <c s="32" r="K137">
        <f>SUMIF(Sellables!$A$2:$A$11482, $A137, Sellables!$G$2:$G$11482)</f>
        <v>185.7464</v>
      </c>
      <c s="14" r="L137">
        <f>J137+K137</f>
        <v>554.5064</v>
      </c>
      <c s="23" r="M137">
        <f>G137*D137</f>
        <v>558.9</v>
      </c>
      <c s="70" r="N137">
        <f>L137-M137</f>
        <v>-4.39360000000011</v>
      </c>
      <c s="29" r="O137">
        <f> (L137/M137) - 1</f>
        <v>-0.007861155841832</v>
      </c>
      <c s="70" r="P137">
        <f>M137</f>
        <v>558.9</v>
      </c>
      <c s="70" r="Q137">
        <f>L137/D137</f>
        <v>1.33938743961353</v>
      </c>
      <c t="s" s="10" r="R137">
        <v>182</v>
      </c>
      <c t="s" s="10" r="S137">
        <v>42</v>
      </c>
      <c s="10" r="T137">
        <v>0</v>
      </c>
      <c s="10" r="U137">
        <v>0</v>
      </c>
      <c s="10" r="V137">
        <v>0</v>
      </c>
      <c s="10" r="W137">
        <v>0</v>
      </c>
    </row>
    <row r="138">
      <c s="10" r="A138">
        <v>633</v>
      </c>
      <c s="40" r="B138">
        <v>41632</v>
      </c>
      <c s="71" r="C138">
        <v>0.09375</v>
      </c>
      <c s="68" r="D138">
        <v>76</v>
      </c>
      <c t="s" s="68" r="E138">
        <v>344</v>
      </c>
      <c t="s" s="10" r="F138">
        <v>323</v>
      </c>
      <c s="16" r="G138">
        <v>1.22</v>
      </c>
      <c s="16" r="H138"/>
      <c s="42" r="I138">
        <v>109.71</v>
      </c>
      <c s="79" r="J138">
        <f>I138-SUMIF(Sellables!$A$2:$A$11482, $A138, Sellables!$E$2:$E$11482)</f>
        <v>56.98</v>
      </c>
      <c s="32" r="K138">
        <f>SUMIF(Sellables!$A$2:$A$11482, $A138, Sellables!$G$2:$G$11482)</f>
        <v>56.4211</v>
      </c>
      <c s="14" r="L138">
        <f>J138+K138</f>
        <v>113.4011</v>
      </c>
      <c s="23" r="M138">
        <f>G138*D138</f>
        <v>92.72</v>
      </c>
      <c s="70" r="N138">
        <f>L138-M138</f>
        <v>20.6811</v>
      </c>
      <c s="29" r="O138">
        <f> (L138/M138) - 1</f>
        <v>0.223048964624676</v>
      </c>
      <c s="70" r="P138">
        <f>M138</f>
        <v>92.72</v>
      </c>
      <c s="70" r="Q138">
        <f>L138/D138</f>
        <v>1.49211973684211</v>
      </c>
      <c t="s" s="10" r="R138">
        <v>182</v>
      </c>
      <c t="s" s="10" r="S138">
        <v>42</v>
      </c>
      <c s="10" r="T138">
        <v>0</v>
      </c>
      <c s="10" r="U138">
        <v>0</v>
      </c>
      <c s="10" r="V138">
        <v>0</v>
      </c>
      <c s="10" r="W138">
        <v>0</v>
      </c>
    </row>
    <row r="139">
      <c s="10" r="A139">
        <v>634</v>
      </c>
      <c s="40" r="B139">
        <v>41633</v>
      </c>
      <c s="71" r="C139">
        <v>0.916666666666667</v>
      </c>
      <c s="68" r="D139">
        <v>332</v>
      </c>
      <c t="s" s="68" r="E139">
        <v>139</v>
      </c>
      <c t="s" s="10" r="F139">
        <v>323</v>
      </c>
      <c s="16" r="G139">
        <v>0.91</v>
      </c>
      <c s="16" r="H139"/>
      <c s="42" r="I139">
        <v>290.12</v>
      </c>
      <c s="79" r="J139">
        <f>I139-SUMIF(Sellables!$A$2:$A$11482, $A139, Sellables!$E$2:$E$11482)</f>
        <v>174.92</v>
      </c>
      <c s="32" r="K139">
        <f>SUMIF(Sellables!$A$2:$A$11482, $A139, Sellables!$G$2:$G$11482)</f>
        <v>120.96</v>
      </c>
      <c s="14" r="L139">
        <f>J139+K139</f>
        <v>295.88</v>
      </c>
      <c s="23" r="M139">
        <f>G139*D139</f>
        <v>302.12</v>
      </c>
      <c s="70" r="N139">
        <f>L139-M139</f>
        <v>-6.24000000000001</v>
      </c>
      <c s="29" r="O139">
        <f> (L139/M139) - 1</f>
        <v>-0.02065404475043</v>
      </c>
      <c s="70" r="P139">
        <f>M139</f>
        <v>302.12</v>
      </c>
      <c s="70" r="Q139">
        <f>L139/D139</f>
        <v>0.891204819277108</v>
      </c>
      <c t="s" s="10" r="R139">
        <v>182</v>
      </c>
      <c t="s" s="10" r="S139">
        <v>42</v>
      </c>
      <c s="10" r="T139">
        <v>0</v>
      </c>
      <c s="10" r="U139">
        <v>0</v>
      </c>
      <c s="10" r="V139">
        <v>0</v>
      </c>
      <c s="10" r="W139">
        <v>0</v>
      </c>
    </row>
    <row r="140">
      <c s="10" r="A140">
        <v>636</v>
      </c>
      <c s="40" r="B140">
        <v>41633</v>
      </c>
      <c s="71" r="C140">
        <v>0.993055555555556</v>
      </c>
      <c s="68" r="D140">
        <v>346</v>
      </c>
      <c t="s" s="68" r="E140">
        <v>98</v>
      </c>
      <c t="s" s="10" r="F140">
        <v>323</v>
      </c>
      <c s="16" r="G140">
        <v>0.61</v>
      </c>
      <c s="16" r="H140"/>
      <c s="42" r="I140">
        <v>214.85</v>
      </c>
      <c s="79" r="J140">
        <f>I140-SUMIF(Sellables!$A$2:$A$11482, $A140, Sellables!$E$2:$E$11482)</f>
        <v>177.99</v>
      </c>
      <c s="32" r="K140">
        <f>SUMIF(Sellables!$A$2:$A$11482, $A140, Sellables!$G$2:$G$11482)</f>
        <v>39.4402</v>
      </c>
      <c s="14" r="L140">
        <f>J140+K140</f>
        <v>217.4302</v>
      </c>
      <c s="23" r="M140">
        <f>G140*D140</f>
        <v>211.06</v>
      </c>
      <c s="70" r="N140">
        <f>L140-M140</f>
        <v>6.37020000000001</v>
      </c>
      <c s="29" r="O140">
        <f> (L140/M140) - 1</f>
        <v>0.03018193878518</v>
      </c>
      <c s="70" r="P140">
        <f>M140</f>
        <v>211.06</v>
      </c>
      <c s="70" r="Q140">
        <f>L140/D140</f>
        <v>0.62841098265896</v>
      </c>
      <c t="s" s="10" r="R140">
        <v>182</v>
      </c>
      <c t="s" s="10" r="S140">
        <v>42</v>
      </c>
      <c s="10" r="T140">
        <v>0</v>
      </c>
      <c s="10" r="U140">
        <v>0</v>
      </c>
      <c s="10" r="V140">
        <v>0</v>
      </c>
      <c s="10" r="W140">
        <v>0</v>
      </c>
    </row>
    <row r="141">
      <c s="10" r="A141">
        <v>639</v>
      </c>
      <c s="40" r="B141">
        <v>41634</v>
      </c>
      <c s="71" r="C141">
        <v>0.583333333333333</v>
      </c>
      <c s="68" r="D141">
        <v>161</v>
      </c>
      <c t="s" s="68" r="E141">
        <v>353</v>
      </c>
      <c t="s" s="10" r="F141">
        <v>323</v>
      </c>
      <c s="16" r="G141">
        <v>2.6</v>
      </c>
      <c s="16" r="H141"/>
      <c s="42" r="I141">
        <v>239.9</v>
      </c>
      <c s="79" r="J141">
        <f>I141-SUMIF(Sellables!$A$2:$A$11482, $A141, Sellables!$E$2:$E$11482)</f>
        <v>42.7</v>
      </c>
      <c s="32" r="K141">
        <f>SUMIF(Sellables!$A$2:$A$11482, $A141, Sellables!$G$2:$G$11482)</f>
        <v>297.468</v>
      </c>
      <c s="14" r="L141">
        <f>J141+K141</f>
        <v>340.168</v>
      </c>
      <c s="23" r="M141">
        <f>G141*D141</f>
        <v>418.6</v>
      </c>
      <c s="70" r="N141">
        <f>L141-M141</f>
        <v>-78.432</v>
      </c>
      <c s="29" r="O141">
        <f> (L141/M141) - 1</f>
        <v>-0.187367415193502</v>
      </c>
      <c s="70" r="P141">
        <f>M141</f>
        <v>418.6</v>
      </c>
      <c s="70" r="Q141">
        <f>L141/D141</f>
        <v>2.11284472049689</v>
      </c>
      <c t="s" s="10" r="R141">
        <v>182</v>
      </c>
      <c t="s" s="10" r="S141">
        <v>42</v>
      </c>
      <c s="10" r="T141">
        <v>0</v>
      </c>
      <c s="10" r="U141">
        <v>0</v>
      </c>
      <c s="10" r="V141">
        <v>0</v>
      </c>
      <c s="10" r="W141">
        <v>0</v>
      </c>
    </row>
    <row r="142">
      <c s="10" r="A142">
        <v>640</v>
      </c>
      <c s="40" r="B142">
        <v>41634</v>
      </c>
      <c s="71" r="C142">
        <v>0.604166666666667</v>
      </c>
      <c s="68" r="D142">
        <v>64</v>
      </c>
      <c t="s" s="68" r="E142">
        <v>366</v>
      </c>
      <c t="s" s="10" r="F142">
        <v>323</v>
      </c>
      <c s="16" r="G142">
        <v>2.6</v>
      </c>
      <c s="16" r="H142"/>
      <c s="42" r="I142">
        <v>182.94</v>
      </c>
      <c s="79" r="J142">
        <f>I142-SUMIF(Sellables!$A$2:$A$11482, $A142, Sellables!$E$2:$E$11482)</f>
        <v>18.9</v>
      </c>
      <c s="32" r="K142">
        <f>SUMIF(Sellables!$A$2:$A$11482, $A142, Sellables!$G$2:$G$11482)</f>
        <v>216.6228</v>
      </c>
      <c s="14" r="L142">
        <f>J142+K142</f>
        <v>235.5228</v>
      </c>
      <c s="23" r="M142">
        <f>G142*D142</f>
        <v>166.4</v>
      </c>
      <c s="70" r="N142">
        <f>L142-M142</f>
        <v>69.1228</v>
      </c>
      <c s="29" r="O142">
        <f> (L142/M142) - 1</f>
        <v>0.415401442307692</v>
      </c>
      <c s="70" r="P142">
        <f>M142</f>
        <v>166.4</v>
      </c>
      <c s="70" r="Q142">
        <f>L142/D142</f>
        <v>3.68004375</v>
      </c>
      <c t="s" s="10" r="R142">
        <v>182</v>
      </c>
      <c t="s" s="10" r="S142">
        <v>42</v>
      </c>
      <c s="10" r="T142">
        <v>0</v>
      </c>
      <c s="10" r="U142">
        <v>0</v>
      </c>
      <c s="10" r="V142">
        <v>1</v>
      </c>
      <c s="10" r="W142">
        <v>0</v>
      </c>
    </row>
    <row r="143">
      <c s="10" r="A143">
        <v>642</v>
      </c>
      <c s="40" r="B143">
        <v>41634</v>
      </c>
      <c s="71" r="C143">
        <v>0.6875</v>
      </c>
      <c s="68" r="D143">
        <v>105</v>
      </c>
      <c t="s" s="68" r="E143">
        <v>335</v>
      </c>
      <c t="s" s="10" r="F143">
        <v>323</v>
      </c>
      <c s="16" r="G143">
        <v>1.35</v>
      </c>
      <c s="16" r="H143"/>
      <c s="42" r="I143">
        <v>105.32</v>
      </c>
      <c s="79" r="J143">
        <f>I143-SUMIF(Sellables!$A$2:$A$11482, $A143, Sellables!$E$2:$E$11482)</f>
        <v>96.12</v>
      </c>
      <c s="32" r="K143">
        <f>SUMIF(Sellables!$A$2:$A$11482, $A143, Sellables!$G$2:$G$11482)</f>
        <v>9.844</v>
      </c>
      <c s="14" r="L143">
        <f>J143+K143</f>
        <v>105.964</v>
      </c>
      <c s="23" r="M143">
        <f>G143*D143</f>
        <v>141.75</v>
      </c>
      <c s="70" r="N143">
        <f>L143-M143</f>
        <v>-35.786</v>
      </c>
      <c s="29" r="O143">
        <f> (L143/M143) - 1</f>
        <v>-0.252458553791887</v>
      </c>
      <c s="70" r="P143">
        <f>M143</f>
        <v>141.75</v>
      </c>
      <c s="70" r="Q143">
        <f>L143/D143</f>
        <v>1.00918095238095</v>
      </c>
      <c t="s" s="10" r="R143">
        <v>182</v>
      </c>
      <c t="s" s="10" r="S143">
        <v>42</v>
      </c>
      <c s="10" r="T143">
        <v>0</v>
      </c>
      <c s="10" r="U143">
        <v>0</v>
      </c>
      <c s="10" r="V143">
        <v>0</v>
      </c>
      <c s="10" r="W143">
        <v>0</v>
      </c>
    </row>
    <row r="144">
      <c s="10" r="A144">
        <v>643</v>
      </c>
      <c s="40" r="B144">
        <v>41634</v>
      </c>
      <c s="71" r="C144">
        <v>0.708333333333333</v>
      </c>
      <c s="68" r="D144">
        <v>807</v>
      </c>
      <c t="s" s="68" r="E144">
        <v>139</v>
      </c>
      <c t="s" s="10" r="F144">
        <v>323</v>
      </c>
      <c s="16" r="G144">
        <v>0.91</v>
      </c>
      <c s="16" r="H144"/>
      <c s="42" r="I144">
        <v>761.5</v>
      </c>
      <c s="79" r="J144">
        <f>I144-SUMIF(Sellables!$A$2:$A$11482, $A144, Sellables!$E$2:$E$11482)</f>
        <v>444.7</v>
      </c>
      <c s="32" r="K144">
        <f>SUMIF(Sellables!$A$2:$A$11482, $A144, Sellables!$G$2:$G$11482)</f>
        <v>332.64</v>
      </c>
      <c s="14" r="L144">
        <f>J144+K144</f>
        <v>777.34</v>
      </c>
      <c s="23" r="M144">
        <f>G144*D144</f>
        <v>734.37</v>
      </c>
      <c s="70" r="N144">
        <f>L144-M144</f>
        <v>42.97</v>
      </c>
      <c s="29" r="O144">
        <f> (L144/M144) - 1</f>
        <v>0.058512738810136</v>
      </c>
      <c s="70" r="P144">
        <f>M144</f>
        <v>734.37</v>
      </c>
      <c s="70" r="Q144">
        <f>L144/D144</f>
        <v>0.963246592317224</v>
      </c>
      <c t="s" s="10" r="R144">
        <v>182</v>
      </c>
      <c t="s" s="10" r="S144">
        <v>42</v>
      </c>
      <c s="10" r="T144">
        <v>0</v>
      </c>
      <c s="10" r="U144">
        <v>0</v>
      </c>
      <c s="10" r="V144">
        <v>1</v>
      </c>
      <c s="10" r="W144">
        <v>0</v>
      </c>
    </row>
    <row r="145">
      <c s="10" r="A145">
        <v>644</v>
      </c>
      <c s="40" r="B145">
        <v>41634</v>
      </c>
      <c s="71" r="C145">
        <v>0.729166666666667</v>
      </c>
      <c s="68" r="D145">
        <v>56</v>
      </c>
      <c t="s" s="68" r="E145">
        <v>367</v>
      </c>
      <c t="s" s="10" r="F145">
        <v>323</v>
      </c>
      <c s="16" r="G145">
        <v>7</v>
      </c>
      <c s="16" r="H145"/>
      <c s="42" r="I145">
        <f>730.93-352.12</f>
        <v>378.81</v>
      </c>
      <c s="79" r="J145">
        <f>I145-SUMIF(Sellables!$A$2:$A$11482, $A145, Sellables!$E$2:$E$11482)</f>
        <v>-291.04</v>
      </c>
      <c s="32" r="K145">
        <f>SUMIF(Sellables!$A$2:$A$11482, $A145, Sellables!$G$2:$G$11482)</f>
        <v>793.8005</v>
      </c>
      <c s="14" r="L145">
        <f>J145+K145</f>
        <v>502.7605</v>
      </c>
      <c s="23" r="M145">
        <f>G145*D145</f>
        <v>392</v>
      </c>
      <c s="70" r="N145">
        <f>L145-M145</f>
        <v>110.7605</v>
      </c>
      <c s="29" r="O145">
        <f> (L145/M145) - 1</f>
        <v>0.282552295918368</v>
      </c>
      <c s="70" r="P145">
        <f>M145</f>
        <v>392</v>
      </c>
      <c s="70" r="Q145">
        <f>L145/D145</f>
        <v>8.97786607142857</v>
      </c>
      <c t="s" s="10" r="R145">
        <v>182</v>
      </c>
      <c t="s" s="10" r="S145">
        <v>42</v>
      </c>
      <c s="10" r="T145">
        <v>0</v>
      </c>
      <c s="10" r="U145">
        <v>0</v>
      </c>
      <c s="10" r="V145">
        <v>1</v>
      </c>
      <c s="10" r="W145">
        <v>0</v>
      </c>
    </row>
    <row r="146">
      <c s="10" r="A146">
        <v>649</v>
      </c>
      <c s="40" r="B146">
        <v>41635</v>
      </c>
      <c s="71" r="C146">
        <v>0.041666666666667</v>
      </c>
      <c s="68" r="D146">
        <v>1001</v>
      </c>
      <c t="s" s="68" r="E146">
        <v>56</v>
      </c>
      <c t="s" s="10" r="F146">
        <v>323</v>
      </c>
      <c s="16" r="G146">
        <v>0.71</v>
      </c>
      <c s="16" r="H146"/>
      <c s="42" r="I146">
        <v>666.64</v>
      </c>
      <c s="79" r="J146">
        <f>I146-SUMIF(Sellables!$A$2:$A$11482, $A146, Sellables!$E$2:$E$11482)</f>
        <v>385.54</v>
      </c>
      <c s="32" r="K146">
        <f>SUMIF(Sellables!$A$2:$A$11482, $A146, Sellables!$G$2:$G$11482)</f>
        <v>304.00965</v>
      </c>
      <c s="14" r="L146">
        <f>J146+K146</f>
        <v>689.54965</v>
      </c>
      <c s="23" r="M146">
        <f>G146*D146</f>
        <v>710.71</v>
      </c>
      <c s="70" r="N146">
        <f>L146-M146</f>
        <v>-21.16035</v>
      </c>
      <c s="29" r="O146">
        <f> (L146/M146) - 1</f>
        <v>-0.029773536322832</v>
      </c>
      <c s="70" r="P146">
        <f>M146</f>
        <v>710.71</v>
      </c>
      <c s="70" r="Q146">
        <f>L146/D146</f>
        <v>0.688860789210789</v>
      </c>
      <c t="s" s="10" r="R146">
        <v>182</v>
      </c>
      <c t="s" s="10" r="S146">
        <v>42</v>
      </c>
      <c s="10" r="T146">
        <v>0</v>
      </c>
      <c s="10" r="U146">
        <v>0</v>
      </c>
      <c s="10" r="V146">
        <v>0</v>
      </c>
      <c s="10" r="W146">
        <v>0</v>
      </c>
    </row>
    <row r="147">
      <c s="10" r="A147">
        <v>650</v>
      </c>
      <c s="40" r="B147">
        <v>41635</v>
      </c>
      <c s="71" r="C147">
        <v>0.104166666666667</v>
      </c>
      <c s="68" r="D147">
        <v>525</v>
      </c>
      <c t="s" s="68" r="E147">
        <v>98</v>
      </c>
      <c t="s" s="10" r="F147">
        <v>323</v>
      </c>
      <c s="16" r="G147">
        <v>0.61</v>
      </c>
      <c s="16" r="H147"/>
      <c s="42" r="I147">
        <v>227.28</v>
      </c>
      <c s="79" r="J147">
        <f>I147-SUMIF(Sellables!$A$2:$A$11482, $A147, Sellables!$E$2:$E$11482)</f>
        <v>167.99</v>
      </c>
      <c s="32" r="K147">
        <f>SUMIF(Sellables!$A$2:$A$11482, $A147, Sellables!$G$2:$G$11482)</f>
        <v>63.32172</v>
      </c>
      <c s="14" r="L147">
        <f>J147+K147</f>
        <v>231.31172</v>
      </c>
      <c s="23" r="M147">
        <f>G147*D147</f>
        <v>320.25</v>
      </c>
      <c s="70" r="N147">
        <f>L147-M147</f>
        <v>-88.93828</v>
      </c>
      <c s="29" r="O147">
        <f> (L147/M147) - 1</f>
        <v>-0.277715160031226</v>
      </c>
      <c s="70" r="P147">
        <f>M147</f>
        <v>320.25</v>
      </c>
      <c s="70" r="Q147">
        <f>L147/D147</f>
        <v>0.440593752380952</v>
      </c>
      <c t="s" s="10" r="R147">
        <v>182</v>
      </c>
      <c t="s" s="10" r="S147">
        <v>42</v>
      </c>
      <c s="10" r="T147">
        <v>0</v>
      </c>
      <c s="10" r="U147">
        <v>0</v>
      </c>
      <c s="10" r="V147">
        <v>0</v>
      </c>
      <c s="10" r="W147">
        <v>0</v>
      </c>
    </row>
    <row r="148">
      <c s="10" r="A148">
        <v>651</v>
      </c>
      <c s="40" r="B148">
        <v>41635</v>
      </c>
      <c s="71" r="C148">
        <v>0.125</v>
      </c>
      <c s="68" r="D148">
        <v>5810</v>
      </c>
      <c t="s" s="68" r="E148">
        <v>190</v>
      </c>
      <c t="s" s="10" r="F148">
        <v>329</v>
      </c>
      <c s="16" r="G148">
        <v>0.07</v>
      </c>
      <c s="16" r="H148"/>
      <c s="42" r="I148">
        <v>331.74</v>
      </c>
      <c s="79" r="J148">
        <f>I148-SUMIF(Sellables!$A$2:$A$11482, $A148, Sellables!$E$2:$E$11482)</f>
        <v>262.72</v>
      </c>
      <c s="32" r="K148">
        <f>SUMIF(Sellables!$A$2:$A$11482, $A148, Sellables!$G$2:$G$11482)</f>
        <v>73.71336</v>
      </c>
      <c s="14" r="L148">
        <f>J148+K148</f>
        <v>336.43336</v>
      </c>
      <c s="23" r="M148">
        <f>G148*D148</f>
        <v>406.7</v>
      </c>
      <c s="70" r="N148">
        <f>L148-M148</f>
        <v>-70.26664</v>
      </c>
      <c s="29" r="O148">
        <f> (L148/M148) - 1</f>
        <v>-0.172772657978854</v>
      </c>
      <c s="70" r="P148">
        <f>M148</f>
        <v>406.7</v>
      </c>
      <c s="70" r="Q148">
        <f>L148/D148</f>
        <v>0.05790591394148</v>
      </c>
      <c t="s" s="10" r="R148">
        <v>182</v>
      </c>
      <c t="s" s="10" r="S148">
        <v>42</v>
      </c>
      <c s="10" r="T148">
        <v>0</v>
      </c>
      <c s="10" r="U148">
        <v>0</v>
      </c>
      <c s="10" r="V148">
        <v>0</v>
      </c>
      <c s="10" r="W148">
        <v>0</v>
      </c>
    </row>
    <row r="149">
      <c s="10" r="A149">
        <v>652</v>
      </c>
      <c s="40" r="B149">
        <v>41635</v>
      </c>
      <c s="71" r="C149">
        <v>0.4375</v>
      </c>
      <c s="68" r="D149">
        <v>154</v>
      </c>
      <c t="s" s="68" r="E149">
        <v>344</v>
      </c>
      <c t="s" s="10" r="F149">
        <v>323</v>
      </c>
      <c s="16" r="G149">
        <v>1.22</v>
      </c>
      <c s="16" r="H149"/>
      <c s="42" r="I149">
        <v>188.43</v>
      </c>
      <c s="79" r="J149">
        <f>I149-SUMIF(Sellables!$A$2:$A$11482, $A149, Sellables!$E$2:$E$11482)</f>
        <v>117.88</v>
      </c>
      <c s="32" r="K149">
        <f>SUMIF(Sellables!$A$2:$A$11482, $A149, Sellables!$G$2:$G$11482)</f>
        <v>75.3474</v>
      </c>
      <c s="14" r="L149">
        <f>J149+K149</f>
        <v>193.2274</v>
      </c>
      <c s="23" r="M149">
        <f>G149*D149</f>
        <v>187.88</v>
      </c>
      <c s="70" r="N149">
        <f>L149-M149</f>
        <v>5.34740000000002</v>
      </c>
      <c s="29" r="O149">
        <f> (L149/M149) - 1</f>
        <v>0.028461784117522</v>
      </c>
      <c s="70" r="P149">
        <f>M149</f>
        <v>187.88</v>
      </c>
      <c s="70" r="Q149">
        <f>L149/D149</f>
        <v>1.25472337662338</v>
      </c>
      <c t="s" s="10" r="R149">
        <v>182</v>
      </c>
      <c t="s" s="10" r="S149">
        <v>42</v>
      </c>
      <c s="10" r="T149">
        <v>0</v>
      </c>
      <c s="10" r="U149">
        <v>1</v>
      </c>
      <c s="10" r="V149">
        <v>1</v>
      </c>
      <c s="10" r="W149">
        <v>0</v>
      </c>
    </row>
    <row r="150">
      <c s="10" r="A150">
        <v>653</v>
      </c>
      <c s="40" r="B150">
        <v>41635</v>
      </c>
      <c s="71" r="C150">
        <v>0.447916666666667</v>
      </c>
      <c s="68" r="D150">
        <v>27</v>
      </c>
      <c t="s" s="68" r="E150">
        <v>128</v>
      </c>
      <c t="s" s="10" r="F150">
        <v>323</v>
      </c>
      <c s="16" r="G150">
        <v>0.22</v>
      </c>
      <c s="16" r="H150"/>
      <c s="42" r="I150">
        <v>10</v>
      </c>
      <c s="79" r="J150">
        <f>I150-SUMIF(Sellables!$A$2:$A$11482, $A150, Sellables!$E$2:$E$11482)</f>
        <v>4.41</v>
      </c>
      <c s="32" r="K150">
        <f>SUMIF(Sellables!$A$2:$A$11482, $A150, Sellables!$G$2:$G$11482)</f>
        <v>5.97012</v>
      </c>
      <c s="14" r="L150">
        <f>J150+K150</f>
        <v>10.38012</v>
      </c>
      <c s="23" r="M150">
        <f>G150*D150</f>
        <v>5.94</v>
      </c>
      <c s="70" r="N150">
        <f>L150-M150</f>
        <v>4.44012</v>
      </c>
      <c s="29" r="O150">
        <f> (L150/M150) - 1</f>
        <v>0.74749494949495</v>
      </c>
      <c s="70" r="P150">
        <f>M150</f>
        <v>5.94</v>
      </c>
      <c s="70" r="Q150">
        <f>L150/D150</f>
        <v>0.384448888888889</v>
      </c>
      <c t="s" s="10" r="R150">
        <v>182</v>
      </c>
      <c t="s" s="10" r="S150">
        <v>42</v>
      </c>
      <c s="10" r="T150">
        <v>0</v>
      </c>
      <c s="10" r="U150">
        <v>1</v>
      </c>
      <c s="10" r="V150">
        <v>1</v>
      </c>
      <c s="10" r="W150">
        <v>0</v>
      </c>
    </row>
    <row r="151">
      <c s="10" r="A151">
        <v>654</v>
      </c>
      <c s="40" r="B151">
        <v>41635</v>
      </c>
      <c s="71" r="C151">
        <v>0.451388888888889</v>
      </c>
      <c s="68" r="D151">
        <v>33</v>
      </c>
      <c t="s" s="68" r="E151">
        <v>189</v>
      </c>
      <c t="s" s="10" r="F151">
        <v>323</v>
      </c>
      <c s="16" r="G151">
        <v>0.76</v>
      </c>
      <c s="16" r="H151"/>
      <c s="42" r="I151">
        <v>17.64</v>
      </c>
      <c s="79" r="J151">
        <f>I151-SUMIF(Sellables!$A$2:$A$11482, $A151, Sellables!$E$2:$E$11482)</f>
        <v>14.85</v>
      </c>
      <c s="32" r="K151">
        <f>SUMIF(Sellables!$A$2:$A$11482, $A151, Sellables!$G$2:$G$11482)</f>
        <v>2.97972</v>
      </c>
      <c s="14" r="L151">
        <f>J151+K151</f>
        <v>17.82972</v>
      </c>
      <c s="23" r="M151">
        <f>G151*D151</f>
        <v>25.08</v>
      </c>
      <c s="70" r="N151">
        <f>L151-M151</f>
        <v>-7.25028</v>
      </c>
      <c s="29" r="O151">
        <f> (L151/M151) - 1</f>
        <v>-0.289086124401914</v>
      </c>
      <c s="70" r="P151">
        <f>M151</f>
        <v>25.08</v>
      </c>
      <c s="70" r="Q151">
        <f>L151/D151</f>
        <v>0.540294545454546</v>
      </c>
      <c t="s" s="10" r="R151">
        <v>182</v>
      </c>
      <c t="s" s="10" r="S151">
        <v>42</v>
      </c>
      <c s="10" r="T151">
        <v>0</v>
      </c>
      <c s="10" r="U151">
        <v>1</v>
      </c>
      <c s="10" r="V151">
        <v>1</v>
      </c>
      <c s="10" r="W151">
        <v>0</v>
      </c>
    </row>
    <row r="152">
      <c s="10" r="A152">
        <v>655</v>
      </c>
      <c s="40" r="B152">
        <v>41635</v>
      </c>
      <c s="71" r="C152">
        <v>0.454861111111111</v>
      </c>
      <c s="68" r="D152">
        <v>50</v>
      </c>
      <c t="s" s="68" r="E152">
        <v>368</v>
      </c>
      <c t="s" s="10" r="F152">
        <v>323</v>
      </c>
      <c s="16" r="G152">
        <v>4.4</v>
      </c>
      <c s="16" r="H152"/>
      <c s="42" r="I152">
        <v>199.22</v>
      </c>
      <c s="79" r="J152">
        <f>I152-SUMIF(Sellables!$A$2:$A$11482, $A152, Sellables!$E$2:$E$11482)</f>
        <v>194.36</v>
      </c>
      <c s="32" r="K152">
        <f>SUMIF(Sellables!$A$2:$A$11482, $A152, Sellables!$G$2:$G$11482)</f>
        <v>5.19048</v>
      </c>
      <c s="14" r="L152">
        <f>J152+K152</f>
        <v>199.55048</v>
      </c>
      <c s="23" r="M152">
        <f>G152*D152</f>
        <v>220</v>
      </c>
      <c s="70" r="N152">
        <f>L152-M152</f>
        <v>-20.44952</v>
      </c>
      <c s="29" r="O152">
        <f> (L152/M152) - 1</f>
        <v>-0.092952363636364</v>
      </c>
      <c s="70" r="P152">
        <f>M152</f>
        <v>220</v>
      </c>
      <c s="70" r="Q152">
        <f>L152/D152</f>
        <v>3.9910096</v>
      </c>
      <c t="s" s="10" r="R152">
        <v>182</v>
      </c>
      <c t="s" s="10" r="S152">
        <v>42</v>
      </c>
      <c s="10" r="T152">
        <v>0</v>
      </c>
      <c s="10" r="U152">
        <v>0</v>
      </c>
      <c s="10" r="V152">
        <v>0</v>
      </c>
      <c s="10" r="W152">
        <v>0</v>
      </c>
    </row>
    <row r="153">
      <c s="10" r="A153">
        <v>656</v>
      </c>
      <c s="40" r="B153">
        <v>41635</v>
      </c>
      <c s="71" r="C153">
        <v>0.458333333333333</v>
      </c>
      <c s="68" r="D153">
        <v>521</v>
      </c>
      <c t="s" s="68" r="E153">
        <v>326</v>
      </c>
      <c t="s" s="10" r="F153">
        <v>323</v>
      </c>
      <c s="16" r="G153">
        <v>0.76</v>
      </c>
      <c s="16" r="H153"/>
      <c s="42" r="I153">
        <v>399.97</v>
      </c>
      <c s="79" r="J153">
        <f>I153-SUMIF(Sellables!$A$2:$A$11482, $A153, Sellables!$E$2:$E$11482)</f>
        <v>255.7</v>
      </c>
      <c s="32" r="K153">
        <f>SUMIF(Sellables!$A$2:$A$11482, $A153, Sellables!$G$2:$G$11482)</f>
        <v>154.08036</v>
      </c>
      <c s="14" r="L153">
        <f>J153+K153</f>
        <v>409.78036</v>
      </c>
      <c s="23" r="M153">
        <f>G153*D153</f>
        <v>395.96</v>
      </c>
      <c s="70" r="N153">
        <f>L153-M153</f>
        <v>13.82036</v>
      </c>
      <c s="29" r="O153">
        <f> (L153/M153) - 1</f>
        <v>0.034903424588342</v>
      </c>
      <c s="70" r="P153">
        <f>M153</f>
        <v>395.96</v>
      </c>
      <c s="70" r="Q153">
        <f>L153/D153</f>
        <v>0.78652660268714</v>
      </c>
      <c t="s" s="10" r="R153">
        <v>182</v>
      </c>
      <c t="s" s="10" r="S153">
        <v>42</v>
      </c>
      <c s="10" r="T153">
        <v>0</v>
      </c>
      <c s="10" r="U153">
        <v>0</v>
      </c>
      <c s="10" r="V153">
        <v>0</v>
      </c>
      <c s="10" r="W153">
        <v>0</v>
      </c>
    </row>
    <row r="154">
      <c s="10" r="A154">
        <v>657</v>
      </c>
      <c s="40" r="B154">
        <v>41635</v>
      </c>
      <c s="71" r="C154">
        <v>0.496527777777778</v>
      </c>
      <c s="68" r="D154">
        <v>415</v>
      </c>
      <c t="s" s="68" r="E154">
        <v>133</v>
      </c>
      <c t="s" s="10" r="F154">
        <v>323</v>
      </c>
      <c s="16" r="G154">
        <v>0.31</v>
      </c>
      <c s="16" r="H154"/>
      <c s="42" r="I154">
        <v>163.81</v>
      </c>
      <c s="79" r="J154">
        <f>I154-SUMIF(Sellables!$A$2:$A$11482, $A154, Sellables!$E$2:$E$11482)</f>
        <v>163.1552</v>
      </c>
      <c s="32" r="K154">
        <f>SUMIF(Sellables!$A$2:$A$11482, $A154, Sellables!$G$2:$G$11482)</f>
        <v>0.6993264</v>
      </c>
      <c s="14" r="L154">
        <f>J154+K154</f>
        <v>163.8545264</v>
      </c>
      <c s="23" r="M154">
        <f>G154*D154</f>
        <v>128.65</v>
      </c>
      <c s="70" r="N154">
        <f>L154-M154</f>
        <v>35.2045264</v>
      </c>
      <c s="29" r="O154">
        <f> (L154/M154) - 1</f>
        <v>0.273645755149631</v>
      </c>
      <c s="70" r="P154">
        <f>M154</f>
        <v>128.65</v>
      </c>
      <c s="70" r="Q154">
        <f>L154/D154</f>
        <v>0.394830184096386</v>
      </c>
      <c t="s" s="10" r="R154">
        <v>182</v>
      </c>
      <c t="s" s="10" r="S154">
        <v>42</v>
      </c>
      <c s="10" r="T154">
        <v>0</v>
      </c>
      <c s="10" r="U154">
        <v>0</v>
      </c>
      <c s="10" r="V154">
        <v>0</v>
      </c>
      <c s="10" r="W154">
        <v>0</v>
      </c>
    </row>
    <row r="155">
      <c s="10" r="A155">
        <v>659</v>
      </c>
      <c s="40" r="B155">
        <v>41635</v>
      </c>
      <c s="71" r="C155">
        <v>0.592361111111111</v>
      </c>
      <c s="68" r="D155">
        <v>214</v>
      </c>
      <c t="s" s="68" r="E155">
        <v>56</v>
      </c>
      <c t="s" s="10" r="F155">
        <v>323</v>
      </c>
      <c s="16" r="G155">
        <v>0.71</v>
      </c>
      <c s="16" r="H155"/>
      <c s="42" r="I155">
        <v>111.21</v>
      </c>
      <c s="79" r="J155">
        <f>I155-SUMIF(Sellables!$A$2:$A$11482, $A155, Sellables!$E$2:$E$11482)</f>
        <v>111.21</v>
      </c>
      <c s="32" r="K155">
        <f>SUMIF(Sellables!$A$2:$A$11482, $A155, Sellables!$G$2:$G$11482)</f>
        <v>0</v>
      </c>
      <c s="14" r="L155">
        <f>J155+K155</f>
        <v>111.21</v>
      </c>
      <c s="23" r="M155">
        <f>G155*D155</f>
        <v>151.94</v>
      </c>
      <c s="70" r="N155">
        <f>L155-M155</f>
        <v>-40.73</v>
      </c>
      <c s="29" r="O155">
        <f> (L155/M155) - 1</f>
        <v>-0.268066341977096</v>
      </c>
      <c s="70" r="P155">
        <f>M155</f>
        <v>151.94</v>
      </c>
      <c s="70" r="Q155">
        <f>L155/D155</f>
        <v>0.519672897196262</v>
      </c>
      <c t="s" s="10" r="R155">
        <v>182</v>
      </c>
      <c t="s" s="10" r="S155">
        <v>42</v>
      </c>
      <c s="10" r="T155">
        <v>0</v>
      </c>
      <c s="10" r="U155">
        <v>0</v>
      </c>
      <c s="10" r="V155">
        <v>0</v>
      </c>
      <c s="10" r="W155">
        <v>0</v>
      </c>
    </row>
    <row r="156">
      <c s="10" r="A156">
        <v>660</v>
      </c>
      <c s="40" r="B156">
        <v>41635</v>
      </c>
      <c s="71" r="C156">
        <v>0.592361111111111</v>
      </c>
      <c s="68" r="D156">
        <v>247</v>
      </c>
      <c t="s" s="68" r="E156">
        <v>227</v>
      </c>
      <c t="s" s="10" r="F156">
        <v>323</v>
      </c>
      <c s="16" r="G156">
        <v>2.1</v>
      </c>
      <c s="16" r="H156"/>
      <c s="42" r="I156">
        <v>403.93</v>
      </c>
      <c s="79" r="J156">
        <f>I156-SUMIF(Sellables!$A$2:$A$11482, $A156, Sellables!$E$2:$E$11482)</f>
        <v>95.3</v>
      </c>
      <c s="32" r="K156">
        <f>SUMIF(Sellables!$A$2:$A$11482, $A156, Sellables!$G$2:$G$11482)</f>
        <v>471.3541</v>
      </c>
      <c s="14" r="L156">
        <f>J156+K156</f>
        <v>566.6541</v>
      </c>
      <c s="23" r="M156">
        <f>G156*D156</f>
        <v>518.7</v>
      </c>
      <c s="70" r="N156">
        <f>L156-M156</f>
        <v>47.9540999999999</v>
      </c>
      <c s="29" r="O156">
        <f> (L156/M156) - 1</f>
        <v>0.092450549450549</v>
      </c>
      <c s="70" r="P156">
        <f>M156</f>
        <v>518.7</v>
      </c>
      <c s="70" r="Q156">
        <f>L156/D156</f>
        <v>2.29414615384615</v>
      </c>
      <c t="s" s="10" r="R156">
        <v>333</v>
      </c>
      <c t="s" s="10" r="S156">
        <v>42</v>
      </c>
      <c s="10" r="T156">
        <v>0</v>
      </c>
      <c s="10" r="U156">
        <v>0</v>
      </c>
      <c s="10" r="V156">
        <v>0</v>
      </c>
      <c s="10" r="W156">
        <v>0</v>
      </c>
    </row>
    <row r="157">
      <c s="10" r="A157">
        <v>665</v>
      </c>
      <c s="40" r="B157">
        <v>41635</v>
      </c>
      <c s="71" r="C157">
        <v>0.854166666666667</v>
      </c>
      <c s="68" r="D157">
        <v>1006</v>
      </c>
      <c t="s" s="68" r="E157">
        <v>56</v>
      </c>
      <c t="s" s="10" r="F157">
        <v>329</v>
      </c>
      <c s="16" r="G157">
        <v>0.71</v>
      </c>
      <c s="16" r="H157"/>
      <c s="42" r="I157">
        <v>607.71</v>
      </c>
      <c s="79" r="J157">
        <f>I157-SUMIF(Sellables!$A$2:$A$11482, $A157, Sellables!$E$2:$E$11482)</f>
        <v>394.71</v>
      </c>
      <c s="32" r="K157">
        <f>SUMIF(Sellables!$A$2:$A$11482, $A157, Sellables!$G$2:$G$11482)</f>
        <v>230.3595</v>
      </c>
      <c s="14" r="L157">
        <f>J157+K157</f>
        <v>625.0695</v>
      </c>
      <c s="23" r="M157">
        <f>G157*D157</f>
        <v>714.26</v>
      </c>
      <c s="70" r="N157">
        <f>L157-M157</f>
        <v>-89.1904999999999</v>
      </c>
      <c s="29" r="O157">
        <f> (L157/M157) - 1</f>
        <v>-0.124871195363033</v>
      </c>
      <c s="70" r="P157">
        <f>M157</f>
        <v>714.26</v>
      </c>
      <c s="70" r="Q157">
        <f>L157/D157</f>
        <v>0.621341451292247</v>
      </c>
      <c t="s" s="10" r="R157">
        <v>333</v>
      </c>
      <c t="s" s="10" r="S157">
        <v>42</v>
      </c>
      <c s="10" r="T157">
        <v>0</v>
      </c>
      <c s="10" r="U157">
        <v>0</v>
      </c>
      <c s="10" r="V157">
        <v>0</v>
      </c>
      <c s="10" r="W157">
        <v>0</v>
      </c>
    </row>
    <row r="158">
      <c s="10" r="A158">
        <v>666</v>
      </c>
      <c s="40" r="B158">
        <v>41635</v>
      </c>
      <c s="71" r="C158">
        <v>0.895833333333333</v>
      </c>
      <c s="68" r="D158">
        <v>159</v>
      </c>
      <c t="s" s="68" r="E158">
        <v>348</v>
      </c>
      <c t="s" s="10" r="F158">
        <v>323</v>
      </c>
      <c s="16" r="G158">
        <v>0.61</v>
      </c>
      <c s="16" r="H158"/>
      <c s="42" r="I158">
        <v>95.39</v>
      </c>
      <c s="79" r="J158">
        <f>I158-SUMIF(Sellables!$A$2:$A$11482, $A158, Sellables!$E$2:$E$11482)</f>
        <v>68.75</v>
      </c>
      <c s="32" r="K158">
        <f>SUMIF(Sellables!$A$2:$A$11482, $A158, Sellables!$G$2:$G$11482)</f>
        <v>28.45152</v>
      </c>
      <c s="14" r="L158">
        <f>J158+K158</f>
        <v>97.20152</v>
      </c>
      <c s="23" r="M158">
        <f>G158*D158</f>
        <v>96.99</v>
      </c>
      <c s="70" r="N158">
        <f>L158-M158</f>
        <v>0.211520000000007</v>
      </c>
      <c s="29" r="O158">
        <f> (L158/M158) - 1</f>
        <v>0.002180843385916</v>
      </c>
      <c s="70" r="P158">
        <f>M158</f>
        <v>96.99</v>
      </c>
      <c s="70" r="Q158">
        <f>L158/D158</f>
        <v>0.611330314465409</v>
      </c>
      <c t="s" s="10" r="R158">
        <v>333</v>
      </c>
      <c t="s" s="10" r="S158">
        <v>42</v>
      </c>
      <c s="10" r="T158">
        <v>0</v>
      </c>
      <c s="10" r="U158">
        <v>0</v>
      </c>
      <c s="10" r="V158">
        <v>0</v>
      </c>
      <c s="10" r="W158">
        <v>0</v>
      </c>
    </row>
    <row r="159">
      <c s="10" r="A159">
        <v>667</v>
      </c>
      <c s="40" r="B159">
        <v>41635</v>
      </c>
      <c s="71" r="C159">
        <v>0.927083333333333</v>
      </c>
      <c s="68" r="D159">
        <v>740</v>
      </c>
      <c t="s" s="68" r="E159">
        <v>335</v>
      </c>
      <c t="s" s="10" r="F159">
        <v>323</v>
      </c>
      <c s="16" r="G159">
        <v>1.35</v>
      </c>
      <c s="16" r="H159"/>
      <c s="42" r="I159">
        <v>849.03</v>
      </c>
      <c s="79" r="J159">
        <f>I159-SUMIF(Sellables!$A$2:$A$11482, $A159, Sellables!$E$2:$E$11482)</f>
        <v>690.1</v>
      </c>
      <c s="32" r="K159">
        <f>SUMIF(Sellables!$A$2:$A$11482, $A159, Sellables!$G$2:$G$11482)</f>
        <v>335.5174</v>
      </c>
      <c s="14" r="L159">
        <f>J159+K159</f>
        <v>1025.6174</v>
      </c>
      <c s="23" r="M159">
        <f>G159*D159</f>
        <v>999</v>
      </c>
      <c s="70" r="N159">
        <f>L159-M159</f>
        <v>26.6174</v>
      </c>
      <c s="29" r="O159">
        <f> (L159/M159) - 1</f>
        <v>0.026644044044044</v>
      </c>
      <c s="70" r="P159">
        <f>M159</f>
        <v>999</v>
      </c>
      <c s="70" r="Q159">
        <f>L159/D159</f>
        <v>1.38596945945946</v>
      </c>
      <c t="s" s="10" r="R159">
        <v>295</v>
      </c>
      <c t="s" s="10" r="S159">
        <v>42</v>
      </c>
      <c s="10" r="T159">
        <v>0.6</v>
      </c>
      <c s="10" r="U159">
        <v>0</v>
      </c>
      <c s="10" r="V159">
        <v>1</v>
      </c>
      <c s="10" r="W159">
        <v>0</v>
      </c>
    </row>
    <row r="160">
      <c s="10" r="A160">
        <v>668</v>
      </c>
      <c s="40" r="B160">
        <v>41635</v>
      </c>
      <c s="71" r="C160">
        <v>0.958333333333333</v>
      </c>
      <c s="68" r="D160">
        <v>121</v>
      </c>
      <c t="s" s="68" r="E160">
        <v>133</v>
      </c>
      <c t="s" s="10" r="F160">
        <v>323</v>
      </c>
      <c s="16" r="G160">
        <v>0.31</v>
      </c>
      <c s="16" r="H160"/>
      <c s="42" r="I160">
        <v>28.69</v>
      </c>
      <c s="79" r="J160">
        <f>I160-SUMIF(Sellables!$A$2:$A$11482, $A160, Sellables!$E$2:$E$11482)</f>
        <v>24.16</v>
      </c>
      <c s="32" r="K160">
        <f>SUMIF(Sellables!$A$2:$A$11482, $A160, Sellables!$G$2:$G$11482)</f>
        <v>4.8471</v>
      </c>
      <c s="14" r="L160">
        <f>J160+K160</f>
        <v>29.0071</v>
      </c>
      <c s="23" r="M160">
        <f>G160*D160</f>
        <v>37.51</v>
      </c>
      <c s="70" r="N160">
        <f>L160-M160</f>
        <v>-8.5029</v>
      </c>
      <c s="29" r="O160">
        <f> (L160/M160) - 1</f>
        <v>-0.226683551053052</v>
      </c>
      <c s="70" r="P160">
        <f>M160</f>
        <v>37.51</v>
      </c>
      <c s="70" r="Q160">
        <f>L160/D160</f>
        <v>0.239728099173554</v>
      </c>
      <c t="s" s="10" r="R160">
        <v>182</v>
      </c>
      <c t="s" s="10" r="S160">
        <v>42</v>
      </c>
      <c s="10" r="T160">
        <v>0</v>
      </c>
      <c s="10" r="U160">
        <v>0</v>
      </c>
      <c s="10" r="V160">
        <v>0</v>
      </c>
      <c s="10" r="W160">
        <v>0</v>
      </c>
    </row>
    <row r="161">
      <c s="10" r="A161">
        <v>669</v>
      </c>
      <c s="40" r="B161">
        <v>41635</v>
      </c>
      <c s="71" r="C161">
        <v>0.989583333333333</v>
      </c>
      <c s="68" r="D161">
        <v>176</v>
      </c>
      <c t="s" s="68" r="E161">
        <v>326</v>
      </c>
      <c t="s" s="10" r="F161">
        <v>323</v>
      </c>
      <c s="16" r="G161">
        <v>0.61</v>
      </c>
      <c s="16" r="H161"/>
      <c s="42" r="I161">
        <v>93.4</v>
      </c>
      <c s="79" r="J161">
        <f>I161-SUMIF(Sellables!$A$2:$A$11482, $A161, Sellables!$E$2:$E$11482)</f>
        <v>79.18</v>
      </c>
      <c s="32" r="K161">
        <f>SUMIF(Sellables!$A$2:$A$11482, $A161, Sellables!$G$2:$G$11482)</f>
        <v>15.2154</v>
      </c>
      <c s="14" r="L161">
        <f>J161+K161</f>
        <v>94.3954</v>
      </c>
      <c s="23" r="M161">
        <f>G161*D161</f>
        <v>107.36</v>
      </c>
      <c s="70" r="N161">
        <f>L161-M161</f>
        <v>-12.9646</v>
      </c>
      <c s="29" r="O161">
        <f> (L161/M161) - 1</f>
        <v>-0.120758196721311</v>
      </c>
      <c s="70" r="P161">
        <f>M161</f>
        <v>107.36</v>
      </c>
      <c s="70" r="Q161">
        <f>L161/D161</f>
        <v>0.5363375</v>
      </c>
      <c t="s" s="10" r="R161">
        <v>182</v>
      </c>
      <c t="s" s="10" r="S161">
        <v>42</v>
      </c>
      <c s="10" r="T161">
        <v>0</v>
      </c>
      <c s="10" r="U161">
        <v>0</v>
      </c>
      <c s="10" r="V161">
        <v>0</v>
      </c>
      <c s="10" r="W161">
        <v>0</v>
      </c>
    </row>
    <row r="162">
      <c s="10" r="A162">
        <v>677</v>
      </c>
      <c s="40" r="B162">
        <v>41636</v>
      </c>
      <c s="71" r="C162">
        <v>0.895833333333333</v>
      </c>
      <c s="68" r="D162">
        <v>1642</v>
      </c>
      <c t="s" s="68" r="E162">
        <v>56</v>
      </c>
      <c t="s" s="10" r="F162">
        <v>329</v>
      </c>
      <c s="16" r="G162">
        <v>0.71</v>
      </c>
      <c s="16" r="H162"/>
      <c s="42" r="I162">
        <v>1522.42</v>
      </c>
      <c s="79" r="J162">
        <f>I162-SUMIF(Sellables!$A$2:$A$11482, $A162, Sellables!$E$2:$E$11482)</f>
        <v>193.88</v>
      </c>
      <c s="32" r="K162">
        <f>SUMIF(Sellables!$A$2:$A$11482, $A162, Sellables!$G$2:$G$11482)</f>
        <v>1357.42742</v>
      </c>
      <c s="14" r="L162">
        <f>J162+K162</f>
        <v>1551.30742</v>
      </c>
      <c s="23" r="M162">
        <f>G162*D162</f>
        <v>1165.82</v>
      </c>
      <c s="70" r="N162">
        <f>L162-M162</f>
        <v>385.48742</v>
      </c>
      <c s="29" r="O162">
        <f> (L162/M162) - 1</f>
        <v>0.330657751625465</v>
      </c>
      <c s="70" r="P162">
        <f>M162</f>
        <v>1165.82</v>
      </c>
      <c s="70" r="Q162">
        <f>L162/D162</f>
        <v>0.94476700365408</v>
      </c>
      <c t="s" s="10" r="R162">
        <v>369</v>
      </c>
      <c t="s" s="10" r="S162">
        <v>65</v>
      </c>
      <c s="10" r="T162">
        <v>0</v>
      </c>
      <c s="10" r="U162">
        <v>1</v>
      </c>
      <c s="10" r="V162">
        <v>4</v>
      </c>
      <c s="10" r="W162">
        <v>0</v>
      </c>
    </row>
    <row r="163">
      <c s="10" r="A163">
        <v>681</v>
      </c>
      <c s="40" r="B163">
        <v>41637</v>
      </c>
      <c s="71" r="C163">
        <v>0.652777777777778</v>
      </c>
      <c s="68" r="D163">
        <f>506+799</f>
        <v>1305</v>
      </c>
      <c t="s" s="68" r="E163">
        <v>139</v>
      </c>
      <c t="s" s="10" r="F163">
        <v>329</v>
      </c>
      <c s="16" r="G163">
        <v>0.91</v>
      </c>
      <c s="16" r="H163"/>
      <c s="42" r="I163">
        <f>363.76+751.81</f>
        <v>1115.57</v>
      </c>
      <c s="79" r="J163">
        <f>I163-SUMIF(Sellables!$A$2:$A$11482, $A163, Sellables!$E$2:$E$11482)</f>
        <v>824.37</v>
      </c>
      <c s="32" r="K163">
        <f>SUMIF(Sellables!$A$2:$A$11482, $A163, Sellables!$G$2:$G$11482)</f>
        <v>305.76</v>
      </c>
      <c s="14" r="L163">
        <f>J163+K163</f>
        <v>1130.13</v>
      </c>
      <c s="23" r="M163">
        <f>G163*D163</f>
        <v>1187.55</v>
      </c>
      <c s="70" r="N163">
        <f>L163-M163</f>
        <v>-57.4200000000001</v>
      </c>
      <c s="29" r="O163">
        <f> (L163/M163) - 1</f>
        <v>-0.048351648351648</v>
      </c>
      <c s="70" r="P163">
        <f>M163</f>
        <v>1187.55</v>
      </c>
      <c s="70" r="Q163">
        <f>L163/D163</f>
        <v>0.866</v>
      </c>
      <c t="s" s="10" r="R163">
        <v>295</v>
      </c>
      <c t="s" s="10" r="S163">
        <v>42</v>
      </c>
      <c s="10" r="T163">
        <v>0</v>
      </c>
      <c s="10" r="U163">
        <v>0</v>
      </c>
      <c s="10" r="V163">
        <v>2</v>
      </c>
      <c s="10" r="W163">
        <v>0</v>
      </c>
    </row>
    <row r="164">
      <c s="10" r="A164">
        <v>686</v>
      </c>
      <c s="40" r="B164">
        <v>41637</v>
      </c>
      <c s="71" r="C164">
        <v>0.927083333333333</v>
      </c>
      <c s="68" r="D164">
        <f>816+484</f>
        <v>1300</v>
      </c>
      <c t="s" s="68" r="E164">
        <v>335</v>
      </c>
      <c t="s" s="10" r="F164">
        <v>329</v>
      </c>
      <c s="16" r="G164">
        <v>1.35</v>
      </c>
      <c s="16" r="H164"/>
      <c s="42" r="I164">
        <f>800.08+405.34</f>
        <v>1205.42</v>
      </c>
      <c s="79" r="J164">
        <f>I164-SUMIF(Sellables!$A$2:$A$11482, $A164, Sellables!$E$2:$E$11482)</f>
        <v>764.95</v>
      </c>
      <c s="32" r="K164">
        <f>SUMIF(Sellables!$A$2:$A$11482, $A164, Sellables!$G$2:$G$11482)</f>
        <v>470.42196</v>
      </c>
      <c s="14" r="L164">
        <f>J164+K164</f>
        <v>1235.37196</v>
      </c>
      <c s="23" r="M164">
        <f>G164*D164</f>
        <v>1755</v>
      </c>
      <c s="70" r="N164">
        <f>L164-M164</f>
        <v>-519.62804</v>
      </c>
      <c s="29" r="O164">
        <f> (L164/M164) - 1</f>
        <v>-0.296084353276353</v>
      </c>
      <c s="70" r="P164">
        <f>M164</f>
        <v>1755</v>
      </c>
      <c s="70" r="Q164">
        <f>L164/D164</f>
        <v>0.950286123076923</v>
      </c>
      <c t="s" s="10" r="R164">
        <v>182</v>
      </c>
      <c t="s" s="10" r="S164">
        <v>42</v>
      </c>
      <c s="10" r="T164">
        <v>0</v>
      </c>
      <c s="10" r="U164">
        <v>0</v>
      </c>
      <c s="10" r="V164">
        <v>0</v>
      </c>
      <c s="10" r="W164">
        <v>0</v>
      </c>
    </row>
    <row r="165">
      <c s="10" r="A165">
        <v>689</v>
      </c>
      <c s="40" r="B165">
        <v>41638</v>
      </c>
      <c s="71" r="C165">
        <v>0.197916666666667</v>
      </c>
      <c s="68" r="D165">
        <v>1699</v>
      </c>
      <c t="s" s="68" r="E165">
        <v>56</v>
      </c>
      <c t="s" s="10" r="F165">
        <v>329</v>
      </c>
      <c s="16" r="G165">
        <v>0.71</v>
      </c>
      <c s="16" r="H165"/>
      <c s="42" r="I165">
        <f>1136+42.06</f>
        <v>1178.06</v>
      </c>
      <c s="79" r="J165">
        <f>I165-SUMIF(Sellables!$A$2:$A$11482, $A165, Sellables!$E$2:$E$11482)</f>
        <v>872.36</v>
      </c>
      <c s="32" r="K165">
        <f>SUMIF(Sellables!$A$2:$A$11482, $A165, Sellables!$G$2:$G$11482)</f>
        <v>330.156</v>
      </c>
      <c s="14" r="L165">
        <f>J165+K165</f>
        <v>1202.516</v>
      </c>
      <c s="23" r="M165">
        <f>G165*D165</f>
        <v>1206.29</v>
      </c>
      <c s="70" r="N165">
        <f>L165-M165</f>
        <v>-3.77400000000011</v>
      </c>
      <c s="29" r="O165">
        <f> (L165/M165) - 1</f>
        <v>-0.003128600916861</v>
      </c>
      <c s="70" r="P165">
        <f>M165</f>
        <v>1206.29</v>
      </c>
      <c s="70" r="Q165">
        <f>L165/D165</f>
        <v>0.707778693349029</v>
      </c>
      <c t="s" s="10" r="R165">
        <v>295</v>
      </c>
      <c t="s" s="10" r="S165">
        <v>42</v>
      </c>
      <c s="10" r="T165">
        <v>0</v>
      </c>
      <c s="10" r="U165">
        <v>1</v>
      </c>
      <c s="10" r="V165">
        <v>1</v>
      </c>
      <c s="10" r="W165">
        <v>1</v>
      </c>
    </row>
    <row r="166">
      <c s="10" r="A166">
        <v>690</v>
      </c>
      <c s="40" r="B166">
        <v>41638</v>
      </c>
      <c s="71" r="C166">
        <v>0.298611111111111</v>
      </c>
      <c s="68" r="D166">
        <v>42</v>
      </c>
      <c t="s" s="68" r="E166">
        <v>370</v>
      </c>
      <c t="s" s="10" r="F166">
        <v>329</v>
      </c>
      <c s="16" r="G166">
        <v>2.98</v>
      </c>
      <c s="16" r="H166"/>
      <c s="42" r="I166">
        <v>268.46</v>
      </c>
      <c s="79" r="J166">
        <f>I166-SUMIF(Sellables!$A$2:$A$11482, $A166, Sellables!$E$2:$E$11482)</f>
        <v>77.28</v>
      </c>
      <c s="32" r="K166">
        <f>SUMIF(Sellables!$A$2:$A$11482, $A166, Sellables!$G$2:$G$11482)</f>
        <v>204.18024</v>
      </c>
      <c s="14" r="L166">
        <f>J166+K166</f>
        <v>281.46024</v>
      </c>
      <c s="23" r="M166">
        <f>G166*D166</f>
        <v>125.16</v>
      </c>
      <c s="70" r="N166">
        <f>L166-M166</f>
        <v>156.30024</v>
      </c>
      <c s="29" r="O166">
        <f> (L166/M166) - 1</f>
        <v>1.24880345158198</v>
      </c>
      <c s="70" r="P166">
        <f>M166</f>
        <v>125.16</v>
      </c>
      <c s="70" r="Q166">
        <f>L166/D166</f>
        <v>6.70143428571429</v>
      </c>
      <c t="s" s="10" r="R166">
        <v>295</v>
      </c>
      <c t="s" s="10" r="S166">
        <v>42</v>
      </c>
      <c s="10" r="T166">
        <v>0</v>
      </c>
      <c s="10" r="U166">
        <v>0</v>
      </c>
      <c s="10" r="V166">
        <v>0</v>
      </c>
      <c s="10" r="W166">
        <v>0</v>
      </c>
    </row>
    <row r="167">
      <c s="10" r="A167">
        <v>691</v>
      </c>
      <c s="40" r="B167">
        <v>41638</v>
      </c>
      <c s="71" r="C167">
        <v>0.307638888888889</v>
      </c>
      <c s="68" r="D167">
        <v>46</v>
      </c>
      <c t="s" s="68" r="E167">
        <v>336</v>
      </c>
      <c t="s" s="10" r="F167">
        <v>329</v>
      </c>
      <c s="16" r="G167">
        <v>2.6</v>
      </c>
      <c s="16" r="H167"/>
      <c s="42" r="I167">
        <v>168.82</v>
      </c>
      <c s="79" r="J167">
        <f>I167-SUMIF(Sellables!$A$2:$A$11482, $A167, Sellables!$E$2:$E$11482)</f>
        <v>104.86</v>
      </c>
      <c s="32" r="K167">
        <f>SUMIF(Sellables!$A$2:$A$11482, $A167, Sellables!$G$2:$G$11482)</f>
        <v>68.30928</v>
      </c>
      <c s="14" r="L167">
        <f>J167+K167</f>
        <v>173.16928</v>
      </c>
      <c s="23" r="M167">
        <f>G167*D167</f>
        <v>119.6</v>
      </c>
      <c s="70" r="N167">
        <f>L167-M167</f>
        <v>53.56928</v>
      </c>
      <c s="29" r="O167">
        <f> (L167/M167) - 1</f>
        <v>0.447903678929766</v>
      </c>
      <c s="70" r="P167">
        <f>M167</f>
        <v>119.6</v>
      </c>
      <c s="70" r="Q167">
        <f>L167/D167</f>
        <v>3.76454956521739</v>
      </c>
      <c t="s" s="10" r="R167">
        <v>295</v>
      </c>
      <c t="s" s="10" r="S167">
        <v>42</v>
      </c>
      <c s="10" r="T167">
        <v>0</v>
      </c>
      <c s="10" r="U167">
        <v>0</v>
      </c>
      <c s="10" r="V167">
        <v>0</v>
      </c>
      <c s="10" r="W167">
        <v>0</v>
      </c>
    </row>
    <row r="168">
      <c s="10" r="A168">
        <v>692</v>
      </c>
      <c s="40" r="B168">
        <v>41638</v>
      </c>
      <c s="71" r="C168">
        <v>0.309722222222222</v>
      </c>
      <c s="68" r="D168">
        <v>59</v>
      </c>
      <c t="s" s="68" r="E168">
        <v>371</v>
      </c>
      <c t="s" s="10" r="F168">
        <v>329</v>
      </c>
      <c s="16" r="G168">
        <v>0.7</v>
      </c>
      <c s="16" r="H168"/>
      <c s="42" r="I168">
        <v>47.17</v>
      </c>
      <c s="79" r="J168">
        <f>I168-SUMIF(Sellables!$A$2:$A$11482, $A168, Sellables!$E$2:$E$11482)</f>
        <v>25.51</v>
      </c>
      <c s="32" r="K168">
        <f>SUMIF(Sellables!$A$2:$A$11482, $A168, Sellables!$G$2:$G$11482)</f>
        <v>23.13288</v>
      </c>
      <c s="14" r="L168">
        <f>J168+K168</f>
        <v>48.64288</v>
      </c>
      <c s="23" r="M168">
        <f>G168*D168</f>
        <v>41.3</v>
      </c>
      <c s="70" r="N168">
        <f>L168-M168</f>
        <v>7.34288000000001</v>
      </c>
      <c s="29" r="O168">
        <f> (L168/M168) - 1</f>
        <v>0.177793704600484</v>
      </c>
      <c s="70" r="P168">
        <f>M168</f>
        <v>41.3</v>
      </c>
      <c s="70" r="Q168">
        <f>L168/D168</f>
        <v>0.824455593220339</v>
      </c>
      <c t="s" s="10" r="R168">
        <v>295</v>
      </c>
      <c t="s" s="10" r="S168">
        <v>42</v>
      </c>
      <c s="10" r="T168">
        <v>0</v>
      </c>
      <c s="10" r="U168">
        <v>0</v>
      </c>
      <c s="10" r="V168">
        <v>0</v>
      </c>
      <c s="10" r="W168">
        <v>0</v>
      </c>
    </row>
    <row r="169">
      <c s="10" r="A169">
        <v>693</v>
      </c>
      <c s="40" r="B169">
        <v>41638</v>
      </c>
      <c s="71" r="C169">
        <v>0.307638888888889</v>
      </c>
      <c s="68" r="D169">
        <v>12</v>
      </c>
      <c t="s" s="68" r="E169">
        <v>334</v>
      </c>
      <c t="s" s="10" r="F169">
        <v>329</v>
      </c>
      <c s="16" r="G169">
        <v>2.5</v>
      </c>
      <c s="16" r="H169"/>
      <c s="42" r="I169">
        <v>55.1</v>
      </c>
      <c s="79" r="J169">
        <f>I169-SUMIF(Sellables!$A$2:$A$11482, $A169, Sellables!$E$2:$E$11482)</f>
        <v>38.5</v>
      </c>
      <c s="32" r="K169">
        <f>SUMIF(Sellables!$A$2:$A$11482, $A169, Sellables!$G$2:$G$11482)</f>
        <v>17.7288</v>
      </c>
      <c s="14" r="L169">
        <f>J169+K169</f>
        <v>56.2288</v>
      </c>
      <c s="23" r="M169">
        <f>G169*D169</f>
        <v>30</v>
      </c>
      <c s="70" r="N169">
        <f>L169-M169</f>
        <v>26.2288</v>
      </c>
      <c s="29" r="O169">
        <f> (L169/M169) - 1</f>
        <v>0.874293333333333</v>
      </c>
      <c s="70" r="P169">
        <f>M169</f>
        <v>30</v>
      </c>
      <c s="70" r="Q169">
        <f>L169/D169</f>
        <v>4.68573333333333</v>
      </c>
      <c t="s" s="10" r="R169">
        <v>295</v>
      </c>
      <c t="s" s="10" r="S169">
        <v>42</v>
      </c>
      <c s="10" r="T169">
        <v>0</v>
      </c>
      <c s="10" r="U169">
        <v>0</v>
      </c>
      <c s="10" r="V169">
        <v>0</v>
      </c>
      <c s="10" r="W169">
        <v>0</v>
      </c>
    </row>
    <row r="170">
      <c s="10" r="A170">
        <v>694</v>
      </c>
      <c s="40" r="B170">
        <v>41638</v>
      </c>
      <c s="71" r="C170">
        <v>0.555555555555556</v>
      </c>
      <c s="68" r="D170">
        <v>305</v>
      </c>
      <c t="s" s="68" r="E170">
        <v>335</v>
      </c>
      <c t="s" s="10" r="F170">
        <v>323</v>
      </c>
      <c s="16" r="G170">
        <v>1.35</v>
      </c>
      <c s="16" r="H170"/>
      <c s="42" r="I170">
        <v>307.3</v>
      </c>
      <c s="79" r="J170">
        <f>I170-SUMIF(Sellables!$A$2:$A$11482, $A170, Sellables!$E$2:$E$11482)</f>
        <v>276.61</v>
      </c>
      <c s="32" r="K170">
        <f>SUMIF(Sellables!$A$2:$A$11482, $A170, Sellables!$G$2:$G$11482)</f>
        <v>45.95652</v>
      </c>
      <c s="14" r="L170">
        <f>J170+K170</f>
        <v>322.56652</v>
      </c>
      <c s="23" r="M170">
        <f>G170*D170</f>
        <v>411.75</v>
      </c>
      <c s="70" r="N170">
        <f>L170-M170</f>
        <v>-89.18348</v>
      </c>
      <c s="29" r="O170">
        <f> (L170/M170) - 1</f>
        <v>-0.216596187006679</v>
      </c>
      <c s="70" r="P170">
        <f>M170</f>
        <v>411.75</v>
      </c>
      <c s="70" r="Q170">
        <f>L170/D170</f>
        <v>1.05759514754098</v>
      </c>
      <c t="s" s="10" r="R170">
        <v>295</v>
      </c>
      <c t="s" s="10" r="S170">
        <v>42</v>
      </c>
      <c s="10" r="T170">
        <v>0</v>
      </c>
      <c s="10" r="U170">
        <v>0</v>
      </c>
      <c s="10" r="V170">
        <v>0</v>
      </c>
      <c s="10" r="W170">
        <v>0</v>
      </c>
    </row>
    <row r="171">
      <c s="10" r="A171">
        <v>700</v>
      </c>
      <c s="40" r="B171">
        <v>41639</v>
      </c>
      <c s="71" r="C171">
        <v>0</v>
      </c>
      <c s="68" r="D171">
        <v>924</v>
      </c>
      <c t="s" s="68" r="E171">
        <v>98</v>
      </c>
      <c t="s" s="10" r="F171">
        <v>372</v>
      </c>
      <c s="16" r="G171">
        <v>0.61</v>
      </c>
      <c s="16" r="H171"/>
      <c s="42" r="I171">
        <v>473.03</v>
      </c>
      <c s="79" r="J171">
        <f>I171-SUMIF(Sellables!$A$2:$A$11482, $A171, Sellables!$E$2:$E$11482)</f>
        <v>362.15</v>
      </c>
      <c s="32" r="K171">
        <f>SUMIF(Sellables!$A$2:$A$11482, $A171, Sellables!$G$2:$G$11482)</f>
        <v>118.41984</v>
      </c>
      <c s="14" r="L171">
        <f>J171+K171</f>
        <v>480.56984</v>
      </c>
      <c s="23" r="M171">
        <f>G171*D171</f>
        <v>563.64</v>
      </c>
      <c s="70" r="N171">
        <f>L171-M171</f>
        <v>-83.07016</v>
      </c>
      <c s="29" r="O171">
        <f> (L171/M171) - 1</f>
        <v>-0.147381591086509</v>
      </c>
      <c s="70" r="P171">
        <f>M171</f>
        <v>563.64</v>
      </c>
      <c s="70" r="Q171">
        <f>L171/D171</f>
        <v>0.52009722943723</v>
      </c>
      <c t="s" s="10" r="R171">
        <v>295</v>
      </c>
      <c t="s" s="10" r="S171">
        <v>42</v>
      </c>
      <c s="10" r="T171">
        <v>0</v>
      </c>
      <c s="10" r="U171">
        <v>0</v>
      </c>
      <c s="10" r="V171">
        <v>0</v>
      </c>
      <c s="10" r="W171">
        <v>0</v>
      </c>
    </row>
    <row r="172">
      <c s="10" r="A172">
        <v>701</v>
      </c>
      <c s="40" r="B172">
        <v>41639</v>
      </c>
      <c s="71" r="C172">
        <v>0.041666666666667</v>
      </c>
      <c s="68" r="D172">
        <v>65</v>
      </c>
      <c t="s" s="68" r="E172">
        <v>189</v>
      </c>
      <c t="s" s="10" r="F172">
        <v>329</v>
      </c>
      <c s="16" r="G172">
        <v>0.76</v>
      </c>
      <c s="16" r="H172"/>
      <c s="42" r="I172">
        <v>42.16</v>
      </c>
      <c s="79" r="J172">
        <f>I172-SUMIF(Sellables!$A$2:$A$11482, $A172, Sellables!$E$2:$E$11482)</f>
        <v>29.71</v>
      </c>
      <c s="32" r="K172">
        <f>SUMIF(Sellables!$A$2:$A$11482, $A172, Sellables!$G$2:$G$11482)</f>
        <v>13.2966</v>
      </c>
      <c s="14" r="L172">
        <f>J172+K172</f>
        <v>43.0066</v>
      </c>
      <c s="23" r="M172">
        <f>G172*D172</f>
        <v>49.4</v>
      </c>
      <c s="70" r="N172">
        <f>L172-M172</f>
        <v>-6.39340000000001</v>
      </c>
      <c s="29" r="O172">
        <f> (L172/M172) - 1</f>
        <v>-0.129421052631579</v>
      </c>
      <c s="70" r="P172">
        <f>M172</f>
        <v>49.4</v>
      </c>
      <c s="70" r="Q172">
        <f>L172/D172</f>
        <v>0.66164</v>
      </c>
      <c t="s" s="10" r="R172">
        <v>295</v>
      </c>
      <c t="s" s="10" r="S172">
        <v>42</v>
      </c>
      <c s="10" r="T172">
        <v>0</v>
      </c>
      <c s="10" r="U172">
        <v>0</v>
      </c>
      <c s="10" r="V172">
        <v>0</v>
      </c>
      <c s="10" r="W172">
        <v>0</v>
      </c>
    </row>
    <row r="173">
      <c s="10" r="A173">
        <v>702</v>
      </c>
      <c s="40" r="B173">
        <v>41639</v>
      </c>
      <c s="71" r="C173">
        <v>0.052083333333333</v>
      </c>
      <c s="68" r="D173">
        <v>121</v>
      </c>
      <c t="s" s="68" r="E173">
        <v>325</v>
      </c>
      <c t="s" s="10" r="F173">
        <v>323</v>
      </c>
      <c s="16" r="G173">
        <v>1.8</v>
      </c>
      <c s="16" r="H173"/>
      <c s="42" r="I173">
        <v>177.96</v>
      </c>
      <c s="79" r="J173">
        <f>I173-SUMIF(Sellables!$A$2:$A$11482, $A173, Sellables!$E$2:$E$11482)</f>
        <v>153.2</v>
      </c>
      <c s="32" r="K173">
        <f>SUMIF(Sellables!$A$2:$A$11482, $A173, Sellables!$G$2:$G$11482)</f>
        <v>26.44368</v>
      </c>
      <c s="14" r="L173">
        <f>J173+K173</f>
        <v>179.64368</v>
      </c>
      <c s="23" r="M173">
        <f>G173*D173</f>
        <v>217.8</v>
      </c>
      <c s="70" r="N173">
        <f>L173-M173</f>
        <v>-38.15632</v>
      </c>
      <c s="29" r="O173">
        <f> (L173/M173) - 1</f>
        <v>-0.17518971533517</v>
      </c>
      <c s="70" r="P173">
        <f>M173</f>
        <v>217.8</v>
      </c>
      <c s="70" r="Q173">
        <f>L173/D173</f>
        <v>1.48465851239669</v>
      </c>
      <c t="s" s="10" r="R173">
        <v>295</v>
      </c>
      <c t="s" s="10" r="S173">
        <v>42</v>
      </c>
      <c s="10" r="T173">
        <v>0</v>
      </c>
      <c s="10" r="U173">
        <v>0</v>
      </c>
      <c s="10" r="V173">
        <v>0</v>
      </c>
      <c s="10" r="W173">
        <v>0</v>
      </c>
    </row>
    <row r="174">
      <c s="10" r="A174">
        <v>704</v>
      </c>
      <c s="40" r="B174">
        <v>41639</v>
      </c>
      <c s="71" r="C174">
        <v>0.541666666666667</v>
      </c>
      <c s="68" r="D174">
        <v>197</v>
      </c>
      <c t="s" s="68" r="E174">
        <v>352</v>
      </c>
      <c t="s" s="10" r="F174">
        <v>329</v>
      </c>
      <c s="16" r="G174">
        <v>6.7</v>
      </c>
      <c s="16" r="H174"/>
      <c s="42" r="I174">
        <v>1421.15</v>
      </c>
      <c s="79" r="J174">
        <f>I174-SUMIF(Sellables!$A$2:$A$11482, $A174, Sellables!$E$2:$E$11482)</f>
        <v>1037.28</v>
      </c>
      <c s="32" r="K174">
        <f>SUMIF(Sellables!$A$2:$A$11482, $A174, Sellables!$G$2:$G$11482)</f>
        <v>409.97316</v>
      </c>
      <c s="14" r="L174">
        <f>J174+K174</f>
        <v>1447.25316</v>
      </c>
      <c s="23" r="M174">
        <f>G174*D174</f>
        <v>1319.9</v>
      </c>
      <c s="70" r="N174">
        <f>L174-M174</f>
        <v>127.35316</v>
      </c>
      <c s="29" r="O174">
        <f> (L174/M174) - 1</f>
        <v>0.096486976286082</v>
      </c>
      <c s="70" r="P174">
        <f>M174</f>
        <v>1319.9</v>
      </c>
      <c s="70" r="Q174">
        <f>L174/D174</f>
        <v>7.34646274111675</v>
      </c>
      <c t="s" s="10" r="R174">
        <v>182</v>
      </c>
      <c t="s" s="10" r="S174">
        <v>42</v>
      </c>
      <c s="10" r="T174">
        <v>0</v>
      </c>
      <c s="10" r="U174">
        <v>0</v>
      </c>
      <c s="10" r="V174">
        <v>12</v>
      </c>
      <c s="10" r="W174">
        <v>0</v>
      </c>
    </row>
    <row r="175">
      <c s="10" r="A175">
        <v>705</v>
      </c>
      <c s="40" r="B175">
        <v>41639</v>
      </c>
      <c s="71" r="C175">
        <v>0.541666666666667</v>
      </c>
      <c s="68" r="D175">
        <v>76</v>
      </c>
      <c t="s" s="68" r="E175">
        <v>373</v>
      </c>
      <c t="s" s="10" r="F175">
        <v>329</v>
      </c>
      <c s="16" r="G175">
        <f>((31*0.042) + (29 * 0.066)) + 3</f>
        <v>6.216</v>
      </c>
      <c s="16" r="H175"/>
      <c s="42" r="I175">
        <v>599.67</v>
      </c>
      <c s="79" r="J175">
        <f>I175-SUMIF(Sellables!$A$2:$A$11482, $A175, Sellables!$E$2:$E$11482)</f>
        <v>349.67</v>
      </c>
      <c s="32" r="K175">
        <f>SUMIF(Sellables!$A$2:$A$11482, $A175, Sellables!$G$2:$G$11482)</f>
        <v>267</v>
      </c>
      <c s="14" r="L175">
        <f>J175+K175</f>
        <v>616.67</v>
      </c>
      <c s="23" r="M175">
        <f>G175*D175</f>
        <v>472.416</v>
      </c>
      <c s="70" r="N175">
        <f>L175-M175</f>
        <v>144.254</v>
      </c>
      <c s="29" r="O175">
        <f> (L175/M175) - 1</f>
        <v>0.305353756011651</v>
      </c>
      <c s="70" r="P175">
        <f>M175</f>
        <v>472.416</v>
      </c>
      <c s="70" r="Q175">
        <f>L175/D175</f>
        <v>8.11407894736842</v>
      </c>
      <c t="s" s="10" r="R175">
        <v>182</v>
      </c>
      <c t="s" s="10" r="S175">
        <v>42</v>
      </c>
      <c s="10" r="T175">
        <v>0</v>
      </c>
      <c s="10" r="U175">
        <v>0</v>
      </c>
      <c s="10" r="V175">
        <v>0</v>
      </c>
      <c s="10" r="W175">
        <v>1</v>
      </c>
    </row>
    <row r="176">
      <c s="10" r="A176">
        <v>706</v>
      </c>
      <c s="40" r="B176">
        <v>41639</v>
      </c>
      <c s="71" r="C176">
        <v>0.572916666666667</v>
      </c>
      <c s="68" r="D176">
        <v>20</v>
      </c>
      <c t="s" s="68" r="E176">
        <v>374</v>
      </c>
      <c t="s" s="10" r="F176">
        <v>323</v>
      </c>
      <c s="16" r="G176">
        <v>2.2</v>
      </c>
      <c s="16" r="H176"/>
      <c s="42" r="I176">
        <v>27.29</v>
      </c>
      <c s="79" r="J176">
        <f>I176-SUMIF(Sellables!$A$2:$A$11482, $A176, Sellables!$E$2:$E$11482)</f>
        <v>6.5</v>
      </c>
      <c s="32" r="K176">
        <f>SUMIF(Sellables!$A$2:$A$11482, $A176, Sellables!$G$2:$G$11482)</f>
        <v>27.93172</v>
      </c>
      <c s="14" r="L176">
        <f>J176+K176</f>
        <v>34.43172</v>
      </c>
      <c s="23" r="M176">
        <f>G176*D176</f>
        <v>44</v>
      </c>
      <c s="70" r="N176">
        <f>L176-M176</f>
        <v>-9.56828</v>
      </c>
      <c s="29" r="O176">
        <f> (L176/M176) - 1</f>
        <v>-0.217460909090909</v>
      </c>
      <c s="70" r="P176">
        <f>M176</f>
        <v>44</v>
      </c>
      <c s="70" r="Q176">
        <f>L176/D176</f>
        <v>1.721586</v>
      </c>
      <c t="s" s="10" r="R176">
        <v>182</v>
      </c>
      <c t="s" s="10" r="S176">
        <v>42</v>
      </c>
      <c s="10" r="T176">
        <v>0</v>
      </c>
      <c s="10" r="U176">
        <v>0</v>
      </c>
      <c s="10" r="V176">
        <v>0</v>
      </c>
      <c s="10" r="W176">
        <v>0</v>
      </c>
    </row>
    <row r="177">
      <c s="10" r="A177">
        <v>707</v>
      </c>
      <c s="40" r="B177">
        <v>41639</v>
      </c>
      <c s="71" r="C177">
        <v>0.583333333333333</v>
      </c>
      <c s="68" r="D177">
        <v>14</v>
      </c>
      <c t="s" s="68" r="E177">
        <v>375</v>
      </c>
      <c t="s" s="10" r="F177">
        <v>323</v>
      </c>
      <c s="16" r="G177">
        <v>2.2</v>
      </c>
      <c s="16" r="H177"/>
      <c s="42" r="I177">
        <v>16.29</v>
      </c>
      <c s="79" r="J177">
        <f>I177-SUMIF(Sellables!$A$2:$A$11482, $A177, Sellables!$E$2:$E$11482)</f>
        <v>5.6</v>
      </c>
      <c s="32" r="K177">
        <f>SUMIF(Sellables!$A$2:$A$11482, $A177, Sellables!$G$2:$G$11482)</f>
        <v>15.97685</v>
      </c>
      <c s="14" r="L177">
        <f>J177+K177</f>
        <v>21.57685</v>
      </c>
      <c s="23" r="M177">
        <f>G177*D177</f>
        <v>30.8</v>
      </c>
      <c s="70" r="N177">
        <f>L177-M177</f>
        <v>-9.22315000000001</v>
      </c>
      <c s="29" r="O177">
        <f> (L177/M177) - 1</f>
        <v>-0.299452922077922</v>
      </c>
      <c s="70" r="P177">
        <f>M177</f>
        <v>30.8</v>
      </c>
      <c s="70" r="Q177">
        <f>L177/D177</f>
        <v>1.54120357142857</v>
      </c>
      <c t="s" s="10" r="R177">
        <v>182</v>
      </c>
      <c t="s" s="10" r="S177">
        <v>42</v>
      </c>
      <c s="10" r="T177">
        <v>0</v>
      </c>
      <c s="10" r="U177">
        <v>0</v>
      </c>
      <c s="10" r="V177">
        <v>0</v>
      </c>
      <c s="10" r="W177">
        <v>0</v>
      </c>
    </row>
    <row r="178">
      <c s="10" r="A178">
        <v>708</v>
      </c>
      <c s="40" r="B178">
        <v>41639</v>
      </c>
      <c s="71" r="C178">
        <v>0.583333333333333</v>
      </c>
      <c s="68" r="D178">
        <v>24</v>
      </c>
      <c t="s" s="68" r="E178">
        <v>376</v>
      </c>
      <c t="s" s="10" r="F178">
        <v>323</v>
      </c>
      <c s="16" r="G178">
        <v>2.2</v>
      </c>
      <c s="16" r="H178"/>
      <c s="42" r="I178">
        <v>25.38</v>
      </c>
      <c s="79" r="J178">
        <f>I178-SUMIF(Sellables!$A$2:$A$11482, $A178, Sellables!$E$2:$E$11482)</f>
        <v>6.4</v>
      </c>
      <c s="32" r="K178">
        <f>SUMIF(Sellables!$A$2:$A$11482, $A178, Sellables!$G$2:$G$11482)</f>
        <v>29.4262</v>
      </c>
      <c s="14" r="L178">
        <f>J178+K178</f>
        <v>35.8262</v>
      </c>
      <c s="23" r="M178">
        <f>G178*D178</f>
        <v>52.8</v>
      </c>
      <c s="70" r="N178">
        <f>L178-M178</f>
        <v>-16.9738</v>
      </c>
      <c s="29" r="O178">
        <f> (L178/M178) - 1</f>
        <v>-0.321473484848485</v>
      </c>
      <c s="70" r="P178">
        <f>M178</f>
        <v>52.8</v>
      </c>
      <c s="70" r="Q178">
        <f>L178/D178</f>
        <v>1.49275833333333</v>
      </c>
      <c t="s" s="10" r="R178">
        <v>182</v>
      </c>
      <c t="s" s="10" r="S178">
        <v>42</v>
      </c>
      <c s="10" r="T178">
        <v>0</v>
      </c>
      <c s="10" r="U178">
        <v>0</v>
      </c>
      <c s="10" r="V178">
        <v>0</v>
      </c>
      <c s="10" r="W178">
        <v>0</v>
      </c>
    </row>
    <row r="179">
      <c s="10" r="A179">
        <v>709</v>
      </c>
      <c s="40" r="B179">
        <v>41639</v>
      </c>
      <c s="71" r="C179">
        <v>0.59375</v>
      </c>
      <c s="68" r="D179">
        <v>67</v>
      </c>
      <c t="s" s="68" r="E179">
        <v>377</v>
      </c>
      <c t="s" s="10" r="F179">
        <v>323</v>
      </c>
      <c s="16" r="G179">
        <f>(((1+(0.6*1.3))+2.5)+0.1)+0.37</f>
        <v>4.75</v>
      </c>
      <c s="16" r="H179"/>
      <c s="42" r="I179">
        <f>235.71+33.17</f>
        <v>268.88</v>
      </c>
      <c s="79" r="J179">
        <f>I179-SUMIF(Sellables!$A$2:$A$11482, $A179, Sellables!$E$2:$E$11482)</f>
        <v>34.5</v>
      </c>
      <c s="32" r="K179">
        <f>SUMIF(Sellables!$A$2:$A$11482, $A179, Sellables!$G$2:$G$11482)</f>
        <v>541.97689</v>
      </c>
      <c s="14" r="L179">
        <f>J179+K179</f>
        <v>576.47689</v>
      </c>
      <c s="23" r="M179">
        <f>G179*D179</f>
        <v>318.25</v>
      </c>
      <c s="70" r="N179">
        <f>L179-M179</f>
        <v>258.22689</v>
      </c>
      <c s="29" r="O179">
        <f> (L179/M179) - 1</f>
        <v>0.811396355066772</v>
      </c>
      <c s="70" r="P179">
        <f>M179</f>
        <v>318.25</v>
      </c>
      <c s="70" r="Q179">
        <f>L179/D179</f>
        <v>8.60413268656716</v>
      </c>
      <c t="s" s="10" r="R179">
        <v>182</v>
      </c>
      <c t="s" s="10" r="S179">
        <v>42</v>
      </c>
      <c s="10" r="T179">
        <v>0</v>
      </c>
      <c s="10" r="U179">
        <v>0</v>
      </c>
      <c s="10" r="V179">
        <v>1</v>
      </c>
      <c s="10" r="W179">
        <v>0</v>
      </c>
    </row>
    <row r="180">
      <c s="10" r="A180">
        <v>710</v>
      </c>
      <c s="40" r="B180">
        <v>41639</v>
      </c>
      <c s="71" r="C180">
        <v>0.604166666666667</v>
      </c>
      <c s="68" r="D180">
        <v>48</v>
      </c>
      <c t="s" s="68" r="E180">
        <v>378</v>
      </c>
      <c t="s" s="10" r="F180">
        <v>323</v>
      </c>
      <c s="16" r="G180">
        <f>(((1+(0.6*1.3))+2.5)+0.1)+0.37</f>
        <v>4.75</v>
      </c>
      <c s="16" r="H180"/>
      <c s="42" r="I180">
        <v>235.71</v>
      </c>
      <c s="79" r="J180">
        <f>I180-SUMIF(Sellables!$A$2:$A$11482, $A180, Sellables!$E$2:$E$11482)</f>
        <v>235.71</v>
      </c>
      <c s="32" r="K180">
        <f>SUMIF(Sellables!$A$2:$A$11482, $A180, Sellables!$G$2:$G$11482)</f>
        <v>0</v>
      </c>
      <c s="14" r="L180">
        <f>J180+K180</f>
        <v>235.71</v>
      </c>
      <c s="23" r="M180">
        <f>G180*D180</f>
        <v>228</v>
      </c>
      <c s="70" r="N180">
        <f>L180-M180</f>
        <v>7.71000000000001</v>
      </c>
      <c s="29" r="O180">
        <f> (L180/M180) - 1</f>
        <v>0.033815789473684</v>
      </c>
      <c s="70" r="P180">
        <f>M180</f>
        <v>228</v>
      </c>
      <c s="70" r="Q180">
        <f>L180/D180</f>
        <v>4.910625</v>
      </c>
      <c t="s" s="10" r="R180">
        <v>182</v>
      </c>
      <c t="s" s="10" r="S180">
        <v>42</v>
      </c>
      <c s="10" r="T180">
        <v>-18</v>
      </c>
      <c s="10" r="U180">
        <v>0</v>
      </c>
      <c s="10" r="V180">
        <v>1</v>
      </c>
      <c s="10" r="W180">
        <v>0</v>
      </c>
    </row>
    <row r="181">
      <c s="10" r="A181">
        <v>716</v>
      </c>
      <c s="40" r="B181">
        <v>41639</v>
      </c>
      <c s="71" r="C181">
        <v>0.979166666666667</v>
      </c>
      <c s="68" r="D181">
        <v>999</v>
      </c>
      <c t="s" s="68" r="E181">
        <v>56</v>
      </c>
      <c t="s" s="10" r="F181">
        <v>329</v>
      </c>
      <c s="16" r="G181">
        <v>0.71</v>
      </c>
      <c s="16" r="H181"/>
      <c s="42" r="I181">
        <v>1054.93</v>
      </c>
      <c s="79" r="J181">
        <f>I181-SUMIF(Sellables!$A$2:$A$11482, $A181, Sellables!$E$2:$E$11482)</f>
        <v>856.63</v>
      </c>
      <c s="32" r="K181">
        <f>SUMIF(Sellables!$A$2:$A$11482, $A181, Sellables!$G$2:$G$11482)</f>
        <v>214.46145</v>
      </c>
      <c s="14" r="L181">
        <f>J181+K181</f>
        <v>1071.09145</v>
      </c>
      <c s="23" r="M181">
        <f>G181*D181</f>
        <v>709.29</v>
      </c>
      <c s="70" r="N181">
        <f>L181-M181</f>
        <v>361.80145</v>
      </c>
      <c s="29" r="O181">
        <f> (L181/M181) - 1</f>
        <v>0.510089596638893</v>
      </c>
      <c s="70" r="P181">
        <f>M181</f>
        <v>709.29</v>
      </c>
      <c s="70" r="Q181">
        <f>L181/D181</f>
        <v>1.07216361361361</v>
      </c>
      <c t="s" s="10" r="R181">
        <v>295</v>
      </c>
      <c t="s" s="10" r="S181">
        <v>42</v>
      </c>
      <c s="10" r="T181">
        <v>0</v>
      </c>
      <c s="10" r="U181">
        <v>0</v>
      </c>
      <c s="10" r="V181">
        <v>2</v>
      </c>
      <c s="10" r="W181">
        <v>1</v>
      </c>
    </row>
    <row r="182">
      <c s="10" r="A182">
        <v>717</v>
      </c>
      <c s="40" r="B182">
        <v>41639</v>
      </c>
      <c s="71" r="C182">
        <v>0.989583333333333</v>
      </c>
      <c s="68" r="D182">
        <v>68</v>
      </c>
      <c t="s" s="68" r="E182">
        <v>352</v>
      </c>
      <c t="s" s="10" r="F182">
        <v>329</v>
      </c>
      <c s="16" r="G182">
        <v>6.7</v>
      </c>
      <c s="16" r="H182"/>
      <c s="42" r="I182">
        <v>237.45</v>
      </c>
      <c s="79" r="J182">
        <f>I182-SUMIF(Sellables!$A$2:$A$11482, $A182, Sellables!$E$2:$E$11482)</f>
        <v>-440.98</v>
      </c>
      <c s="32" r="K182">
        <f>SUMIF(Sellables!$A$2:$A$11482, $A182, Sellables!$G$2:$G$11482)</f>
        <v>680.909105</v>
      </c>
      <c s="14" r="L182">
        <f>J182+K182</f>
        <v>239.929105</v>
      </c>
      <c s="23" r="M182">
        <f>G182*D182</f>
        <v>455.6</v>
      </c>
      <c s="70" r="N182">
        <f>L182-M182</f>
        <v>-215.670895</v>
      </c>
      <c s="29" r="O182">
        <f> (L182/M182) - 1</f>
        <v>-0.473377732660228</v>
      </c>
      <c s="70" r="P182">
        <f>M182</f>
        <v>455.6</v>
      </c>
      <c s="70" r="Q182">
        <f>L182/D182</f>
        <v>3.52836919117647</v>
      </c>
      <c t="s" s="10" r="R182">
        <v>295</v>
      </c>
      <c t="s" s="10" r="S182">
        <v>42</v>
      </c>
      <c s="10" r="T182">
        <v>0</v>
      </c>
      <c s="10" r="U182">
        <v>0</v>
      </c>
      <c s="10" r="V182">
        <v>0</v>
      </c>
      <c s="10" r="W182">
        <v>0</v>
      </c>
    </row>
    <row r="183">
      <c s="10" r="A183">
        <v>718</v>
      </c>
      <c s="40" r="B183">
        <v>41639</v>
      </c>
      <c s="71" r="C183">
        <v>0.996527777777778</v>
      </c>
      <c s="68" r="D183">
        <v>150</v>
      </c>
      <c t="s" s="68" r="E183">
        <v>335</v>
      </c>
      <c t="s" s="10" r="F183">
        <v>323</v>
      </c>
      <c s="16" r="G183">
        <v>1.35</v>
      </c>
      <c s="16" r="H183"/>
      <c s="42" r="I183">
        <v>148.25</v>
      </c>
      <c s="79" r="J183">
        <f>I183-SUMIF(Sellables!$A$2:$A$11482, $A183, Sellables!$E$2:$E$11482)</f>
        <v>134.65</v>
      </c>
      <c s="32" r="K183">
        <f>SUMIF(Sellables!$A$2:$A$11482, $A183, Sellables!$G$2:$G$11482)</f>
        <v>14.48001</v>
      </c>
      <c s="14" r="L183">
        <f>J183+K183</f>
        <v>149.13001</v>
      </c>
      <c s="23" r="M183">
        <f>G183*D183</f>
        <v>202.5</v>
      </c>
      <c s="70" r="N183">
        <f>L183-M183</f>
        <v>-53.36999</v>
      </c>
      <c s="29" r="O183">
        <f> (L183/M183) - 1</f>
        <v>-0.26355550617284</v>
      </c>
      <c s="70" r="P183">
        <f>M183</f>
        <v>202.5</v>
      </c>
      <c s="70" r="Q183">
        <f>L183/D183</f>
        <v>0.994200066666667</v>
      </c>
      <c t="s" s="10" r="R183">
        <v>295</v>
      </c>
      <c t="s" s="10" r="S183">
        <v>42</v>
      </c>
      <c s="10" r="T183">
        <v>0</v>
      </c>
      <c s="10" r="U183">
        <v>0</v>
      </c>
      <c s="10" r="V183">
        <v>0</v>
      </c>
      <c s="10" r="W183">
        <v>0</v>
      </c>
    </row>
    <row r="184">
      <c s="10" r="A184">
        <v>719</v>
      </c>
      <c s="40" r="B184">
        <v>41640</v>
      </c>
      <c s="71" r="C184">
        <v>0.024305555555556</v>
      </c>
      <c s="68" r="D184">
        <v>94</v>
      </c>
      <c t="s" s="68" r="E184">
        <v>245</v>
      </c>
      <c t="s" s="10" r="F184">
        <v>329</v>
      </c>
      <c s="16" r="G184">
        <v>0.61</v>
      </c>
      <c s="16" r="H184"/>
      <c s="42" r="I184">
        <v>39.69</v>
      </c>
      <c s="79" r="J184">
        <f>I184-SUMIF(Sellables!$A$2:$A$11482, $A184, Sellables!$E$2:$E$11482)</f>
        <v>13.43</v>
      </c>
      <c s="32" r="K184">
        <f>SUMIF(Sellables!$A$2:$A$11482, $A184, Sellables!$G$2:$G$11482)</f>
        <v>27.95826</v>
      </c>
      <c s="14" r="L184">
        <f>J184+K184</f>
        <v>41.38826</v>
      </c>
      <c s="23" r="M184">
        <f>G184*D184</f>
        <v>57.34</v>
      </c>
      <c s="70" r="N184">
        <f>L184-M184</f>
        <v>-15.95174</v>
      </c>
      <c s="29" r="O184">
        <f> (L184/M184) - 1</f>
        <v>-0.278195674921521</v>
      </c>
      <c s="70" r="P184">
        <f>M184</f>
        <v>57.34</v>
      </c>
      <c s="70" r="Q184">
        <f>L184/D184</f>
        <v>0.440300638297872</v>
      </c>
      <c t="s" s="10" r="R184">
        <v>295</v>
      </c>
      <c t="s" s="10" r="S184">
        <v>42</v>
      </c>
      <c s="10" r="T184">
        <v>0</v>
      </c>
      <c s="10" r="U184">
        <v>0</v>
      </c>
      <c s="10" r="V184">
        <v>0</v>
      </c>
      <c s="10" r="W184">
        <v>0</v>
      </c>
    </row>
    <row r="185">
      <c s="10" r="A185">
        <v>723</v>
      </c>
      <c s="40" r="B185">
        <v>41640</v>
      </c>
      <c s="71" r="C185">
        <v>0.197916666666667</v>
      </c>
      <c s="68" r="D185">
        <v>50</v>
      </c>
      <c t="s" s="68" r="E185">
        <v>362</v>
      </c>
      <c t="s" s="10" r="F185">
        <v>323</v>
      </c>
      <c s="16" r="G185">
        <v>2.1</v>
      </c>
      <c s="16" r="H185"/>
      <c s="42" r="I185">
        <v>83.51</v>
      </c>
      <c s="79" r="J185">
        <f>I185-SUMIF(Sellables!$A$2:$A$11482, $A185, Sellables!$E$2:$E$11482)</f>
        <v>22.2</v>
      </c>
      <c s="32" r="K185">
        <f>SUMIF(Sellables!$A$2:$A$11482, $A185, Sellables!$G$2:$G$11482)</f>
        <v>91.34315</v>
      </c>
      <c s="14" r="L185">
        <f>J185+K185</f>
        <v>113.54315</v>
      </c>
      <c s="23" r="M185">
        <f>G185*D185</f>
        <v>105</v>
      </c>
      <c s="70" r="N185">
        <f>L185-M185</f>
        <v>8.54315000000001</v>
      </c>
      <c s="29" r="O185">
        <f> (L185/M185) - 1</f>
        <v>0.081363333333333</v>
      </c>
      <c s="70" r="P185">
        <f>M185</f>
        <v>105</v>
      </c>
      <c s="70" r="Q185">
        <f>L185/D185</f>
        <v>2.270863</v>
      </c>
      <c t="s" s="10" r="R185">
        <v>182</v>
      </c>
      <c t="s" s="10" r="S185">
        <v>42</v>
      </c>
      <c s="10" r="T185">
        <v>0</v>
      </c>
      <c s="10" r="U185">
        <v>0</v>
      </c>
      <c s="10" r="V185">
        <v>0</v>
      </c>
      <c s="10" r="W185">
        <v>0</v>
      </c>
    </row>
    <row r="186">
      <c s="10" r="A186">
        <v>724</v>
      </c>
      <c s="40" r="B186">
        <v>41640</v>
      </c>
      <c s="71" r="C186">
        <v>0.204861111111111</v>
      </c>
      <c s="68" r="D186">
        <v>50</v>
      </c>
      <c t="s" s="68" r="E186">
        <v>353</v>
      </c>
      <c t="s" s="10" r="F186">
        <v>323</v>
      </c>
      <c s="16" r="G186">
        <v>2.1</v>
      </c>
      <c s="16" r="H186"/>
      <c s="42" r="I186">
        <v>162.14</v>
      </c>
      <c s="79" r="J186">
        <f>I186-SUMIF(Sellables!$A$2:$A$11482, $A186, Sellables!$E$2:$E$11482)</f>
        <v>15.8</v>
      </c>
      <c s="32" r="K186">
        <f>SUMIF(Sellables!$A$2:$A$11482, $A186, Sellables!$G$2:$G$11482)</f>
        <v>191.6681</v>
      </c>
      <c s="14" r="L186">
        <f>J186+K186</f>
        <v>207.4681</v>
      </c>
      <c s="23" r="M186">
        <f>G186*D186</f>
        <v>105</v>
      </c>
      <c s="70" r="N186">
        <f>L186-M186</f>
        <v>102.4681</v>
      </c>
      <c s="29" r="O186">
        <f> (L186/M186) - 1</f>
        <v>0.975886666666667</v>
      </c>
      <c s="70" r="P186">
        <f>M186</f>
        <v>105</v>
      </c>
      <c s="70" r="Q186">
        <f>L186/D186</f>
        <v>4.149362</v>
      </c>
      <c t="s" s="10" r="R186">
        <v>182</v>
      </c>
      <c t="s" s="10" r="S186">
        <v>42</v>
      </c>
      <c s="10" r="T186">
        <v>0</v>
      </c>
      <c s="10" r="U186">
        <v>0</v>
      </c>
      <c s="10" r="V186">
        <v>1</v>
      </c>
      <c s="10" r="W186">
        <v>0</v>
      </c>
    </row>
    <row r="187">
      <c s="10" r="A187">
        <v>725</v>
      </c>
      <c s="40" r="B187">
        <v>41640</v>
      </c>
      <c s="71" r="C187">
        <v>0.210416666666667</v>
      </c>
      <c s="68" r="D187">
        <v>60</v>
      </c>
      <c t="s" s="68" r="E187">
        <v>366</v>
      </c>
      <c t="s" s="10" r="F187">
        <v>323</v>
      </c>
      <c s="16" r="G187">
        <v>2.1</v>
      </c>
      <c s="16" r="H187"/>
      <c s="42" r="I187">
        <v>162.14</v>
      </c>
      <c s="79" r="J187">
        <f>I187-SUMIF(Sellables!$A$2:$A$11482, $A187, Sellables!$E$2:$E$11482)</f>
        <v>100.13</v>
      </c>
      <c s="32" r="K187">
        <f>SUMIF(Sellables!$A$2:$A$11482, $A187, Sellables!$G$2:$G$11482)</f>
        <v>98.63308</v>
      </c>
      <c s="14" r="L187">
        <f>J187+K187</f>
        <v>198.76308</v>
      </c>
      <c s="23" r="M187">
        <f>G187*D187</f>
        <v>126</v>
      </c>
      <c s="70" r="N187">
        <f>L187-M187</f>
        <v>72.76308</v>
      </c>
      <c s="29" r="O187">
        <f> (L187/M187) - 1</f>
        <v>0.577484761904762</v>
      </c>
      <c s="70" r="P187">
        <f>M187</f>
        <v>126</v>
      </c>
      <c s="70" r="Q187">
        <f>L187/D187</f>
        <v>3.312718</v>
      </c>
      <c t="s" s="10" r="R187">
        <v>182</v>
      </c>
      <c t="s" s="10" r="S187">
        <v>42</v>
      </c>
      <c s="10" r="T187">
        <v>0</v>
      </c>
      <c s="10" r="U187">
        <v>0</v>
      </c>
      <c s="10" r="V187">
        <v>0</v>
      </c>
      <c s="10" r="W187">
        <v>0</v>
      </c>
    </row>
    <row r="188">
      <c s="10" r="A188">
        <v>726</v>
      </c>
      <c s="40" r="B188">
        <v>41640</v>
      </c>
      <c s="71" r="C188">
        <v>0.213194444444444</v>
      </c>
      <c s="68" r="D188">
        <v>42</v>
      </c>
      <c t="s" s="68" r="E188">
        <v>379</v>
      </c>
      <c t="s" s="10" r="F188">
        <v>329</v>
      </c>
      <c s="16" r="G188">
        <f>(0.39*3)+0.06</f>
        <v>1.23</v>
      </c>
      <c s="16" r="H188"/>
      <c s="42" r="I188">
        <v>48.03</v>
      </c>
      <c s="79" r="J188">
        <f>I188-SUMIF(Sellables!$A$2:$A$11482, $A188, Sellables!$E$2:$E$11482)</f>
        <v>25.2</v>
      </c>
      <c s="32" r="K188">
        <f>SUMIF(Sellables!$A$2:$A$11482, $A188, Sellables!$G$2:$G$11482)</f>
        <v>24.31016</v>
      </c>
      <c s="14" r="L188">
        <f>J188+K188</f>
        <v>49.51016</v>
      </c>
      <c s="23" r="M188">
        <f>G188*D188</f>
        <v>51.66</v>
      </c>
      <c s="70" r="N188">
        <f>L188-M188</f>
        <v>-2.14983999999999</v>
      </c>
      <c s="29" r="O188">
        <f> (L188/M188) - 1</f>
        <v>-0.041615176151761</v>
      </c>
      <c s="70" r="P188">
        <f>M188</f>
        <v>51.66</v>
      </c>
      <c s="70" r="Q188">
        <f>L188/D188</f>
        <v>1.17881333333333</v>
      </c>
      <c t="s" s="10" r="R188">
        <v>182</v>
      </c>
      <c t="s" s="10" r="S188">
        <v>42</v>
      </c>
      <c s="10" r="T188">
        <v>0</v>
      </c>
      <c s="10" r="U188">
        <v>0</v>
      </c>
      <c s="10" r="V188">
        <v>0</v>
      </c>
      <c s="10" r="W188">
        <v>0</v>
      </c>
    </row>
    <row r="189">
      <c s="10" r="A189">
        <v>727</v>
      </c>
      <c s="40" r="B189">
        <v>41640</v>
      </c>
      <c s="71" r="C189">
        <v>0.21875</v>
      </c>
      <c s="68" r="D189">
        <v>30</v>
      </c>
      <c t="s" s="68" r="E189">
        <v>380</v>
      </c>
      <c t="s" s="10" r="F189">
        <v>323</v>
      </c>
      <c s="16" r="G189">
        <f>(((250*0.03)+3)+0.05)+0.1</f>
        <v>10.65</v>
      </c>
      <c s="16" r="H189">
        <f>296.43+432.19</f>
        <v>728.62</v>
      </c>
      <c s="42" r="I189">
        <v>1097.76</v>
      </c>
      <c s="32" r="J189">
        <f>I189-SUMIF(Sellables!$A$2:$A$11482, $A189, Sellables!$E$2:$E$11482)</f>
        <v>726.69</v>
      </c>
      <c s="32" r="K189">
        <f>SUMIF(Sellables!$A$2:$A$11482, $A189, Sellables!$G$2:$G$11482)</f>
        <v>425.321605</v>
      </c>
      <c s="14" r="L189">
        <f>(J189+K189)-H189</f>
        <v>423.391605</v>
      </c>
      <c s="23" r="M189">
        <f>G189*D189</f>
        <v>319.5</v>
      </c>
      <c s="70" r="N189">
        <f>L189-M189</f>
        <v>103.891605</v>
      </c>
      <c s="29" r="O189">
        <f> (L189/M189) - 1</f>
        <v>0.325169342723005</v>
      </c>
      <c s="70" r="P189">
        <f>M189</f>
        <v>319.5</v>
      </c>
      <c s="70" r="Q189">
        <f>L189/D189</f>
        <v>14.1130535</v>
      </c>
      <c t="s" s="10" r="R189">
        <v>182</v>
      </c>
      <c t="s" s="10" r="S189">
        <v>42</v>
      </c>
      <c s="10" r="T189">
        <v>0</v>
      </c>
      <c s="10" r="U189">
        <v>0</v>
      </c>
      <c s="10" r="V189">
        <v>0</v>
      </c>
      <c s="10" r="W189">
        <v>0</v>
      </c>
    </row>
    <row r="190">
      <c s="10" r="A190">
        <v>731</v>
      </c>
      <c s="40" r="B190">
        <v>41640</v>
      </c>
      <c s="71" r="C190">
        <v>0.645833333333333</v>
      </c>
      <c s="68" r="D190">
        <v>1500</v>
      </c>
      <c t="s" s="68" r="E190">
        <v>139</v>
      </c>
      <c t="s" s="10" r="F190">
        <v>329</v>
      </c>
      <c s="16" r="G190">
        <v>0.91</v>
      </c>
      <c s="16" r="H190">
        <v>0</v>
      </c>
      <c s="42" r="I190">
        <v>1259.85</v>
      </c>
      <c s="32" r="J190">
        <f>I190-SUMIF(Sellables!$A$2:$A$11482, $A190, Sellables!$E$2:$E$11482)</f>
        <v>903.85</v>
      </c>
      <c s="32" r="K190">
        <f>SUMIF(Sellables!$A$2:$A$11482, $A190, Sellables!$G$2:$G$11482)</f>
        <v>377.004</v>
      </c>
      <c s="14" r="L190">
        <f>(J190+K190)-H190</f>
        <v>1280.854</v>
      </c>
      <c s="23" r="M190">
        <f>G190*D190</f>
        <v>1365</v>
      </c>
      <c s="70" r="N190">
        <f>L190-M190</f>
        <v>-84.1460000000002</v>
      </c>
      <c s="29" r="O190">
        <f> (L190/M190) - 1</f>
        <v>-0.061645421245421</v>
      </c>
      <c s="70" r="P190">
        <f>M190</f>
        <v>1365</v>
      </c>
      <c s="70" r="Q190">
        <f>L190/D190</f>
        <v>0.853902666666667</v>
      </c>
      <c t="s" s="10" r="R190">
        <v>295</v>
      </c>
      <c t="s" s="10" r="S190">
        <v>42</v>
      </c>
      <c s="10" r="T190">
        <v>0</v>
      </c>
      <c s="10" r="U190">
        <v>0</v>
      </c>
      <c s="10" r="V190">
        <v>1</v>
      </c>
      <c s="10" r="W190">
        <v>0</v>
      </c>
    </row>
    <row r="191">
      <c s="10" r="A191">
        <v>732</v>
      </c>
      <c s="40" r="B191">
        <v>41640</v>
      </c>
      <c s="71" r="C191">
        <v>0.739583333333333</v>
      </c>
      <c s="68" r="D191">
        <v>587</v>
      </c>
      <c t="s" s="68" r="E191">
        <v>352</v>
      </c>
      <c t="s" s="10" r="F191">
        <v>329</v>
      </c>
      <c s="16" r="G191">
        <v>6.7</v>
      </c>
      <c s="16" r="H191">
        <v>0</v>
      </c>
      <c s="42" r="I191">
        <v>6353.14</v>
      </c>
      <c s="32" r="J191">
        <f>I191-SUMIF(Sellables!$A$2:$A$11482, $A191, Sellables!$E$2:$E$11482)</f>
        <v>2139.57</v>
      </c>
      <c s="32" r="K191">
        <f>SUMIF(Sellables!$A$2:$A$11482, $A191, Sellables!$G$2:$G$11482)</f>
        <v>4273.091615</v>
      </c>
      <c s="14" r="L191">
        <f>(J191+K191)-H191</f>
        <v>6412.661615</v>
      </c>
      <c s="23" r="M191">
        <f>G191*D191</f>
        <v>3932.9</v>
      </c>
      <c s="70" r="N191">
        <f>L191-M191</f>
        <v>2479.761615</v>
      </c>
      <c s="29" r="O191">
        <f> (L191/M191) - 1</f>
        <v>0.630517331994203</v>
      </c>
      <c s="70" r="P191">
        <f>M191</f>
        <v>3932.9</v>
      </c>
      <c s="70" r="Q191">
        <f>L191/D191</f>
        <v>10.9244661243612</v>
      </c>
      <c t="s" s="10" r="R191">
        <v>182</v>
      </c>
      <c t="s" s="10" r="S191">
        <v>42</v>
      </c>
      <c s="10" r="T191">
        <v>0</v>
      </c>
      <c s="10" r="U191">
        <v>0</v>
      </c>
      <c s="10" r="V191">
        <v>23</v>
      </c>
      <c s="10" r="W191">
        <v>3</v>
      </c>
    </row>
    <row r="192">
      <c s="10" r="A192">
        <v>733</v>
      </c>
      <c s="40" r="B192">
        <v>41640</v>
      </c>
      <c s="71" r="C192">
        <v>0.753472222222222</v>
      </c>
      <c s="68" r="D192">
        <v>43</v>
      </c>
      <c t="s" s="68" r="E192">
        <v>381</v>
      </c>
      <c t="s" s="10" r="F192">
        <v>329</v>
      </c>
      <c s="16" r="G192">
        <f>((0.96*2)+1.2)+0.72</f>
        <v>3.84</v>
      </c>
      <c s="16" r="H192">
        <v>0</v>
      </c>
      <c s="42" r="I192">
        <v>61.22</v>
      </c>
      <c s="32" r="J192">
        <f>I192-SUMIF(Sellables!$A$2:$A$11482, $A192, Sellables!$E$2:$E$11482)</f>
        <v>60.52</v>
      </c>
      <c s="32" r="K192">
        <f>SUMIF(Sellables!$A$2:$A$11482, $A192, Sellables!$G$2:$G$11482)</f>
        <v>0.7455</v>
      </c>
      <c s="14" r="L192">
        <f>(J192+K192)-H192</f>
        <v>61.2655</v>
      </c>
      <c s="23" r="M192">
        <f>G192*D192</f>
        <v>165.12</v>
      </c>
      <c s="70" r="N192">
        <f>L192-M192</f>
        <v>-103.8545</v>
      </c>
      <c s="29" r="O192">
        <f> (L192/M192) - 1</f>
        <v>-0.628963783914729</v>
      </c>
      <c s="70" r="P192">
        <f>M192</f>
        <v>165.12</v>
      </c>
      <c s="70" r="Q192">
        <f>L192/D192</f>
        <v>1.42477906976744</v>
      </c>
      <c t="s" s="10" r="R192">
        <v>182</v>
      </c>
      <c t="s" s="10" r="S192">
        <v>42</v>
      </c>
      <c s="10" r="T192">
        <v>0</v>
      </c>
      <c s="10" r="U192">
        <v>0</v>
      </c>
      <c s="10" r="V192">
        <v>0</v>
      </c>
      <c s="10" r="W192">
        <v>0</v>
      </c>
    </row>
    <row r="193">
      <c s="10" r="A193">
        <v>734</v>
      </c>
      <c s="40" r="B193">
        <v>41640</v>
      </c>
      <c s="71" r="C193">
        <v>0.756944444444444</v>
      </c>
      <c s="68" r="D193">
        <v>25</v>
      </c>
      <c t="s" s="68" r="E193">
        <v>382</v>
      </c>
      <c t="s" s="10" r="F193">
        <v>372</v>
      </c>
      <c s="16" r="G193">
        <f>((1.5+2.4)+3.6)+3</f>
        <v>10.5</v>
      </c>
      <c s="16" r="H193">
        <v>0</v>
      </c>
      <c s="42" r="I193">
        <v>169.41</v>
      </c>
      <c s="32" r="J193">
        <f>I193-SUMIF(Sellables!$A$2:$A$11482, $A193, Sellables!$E$2:$E$11482)</f>
        <v>24.55</v>
      </c>
      <c s="32" r="K193">
        <f>SUMIF(Sellables!$A$2:$A$11482, $A193, Sellables!$G$2:$G$11482)</f>
        <v>156.42735</v>
      </c>
      <c s="14" r="L193">
        <f>(J193+K193)-H193</f>
        <v>180.97735</v>
      </c>
      <c s="23" r="M193">
        <f>G193*D193</f>
        <v>262.5</v>
      </c>
      <c s="70" r="N193">
        <f>L193-M193</f>
        <v>-81.52265</v>
      </c>
      <c s="29" r="O193">
        <f> (L193/M193) - 1</f>
        <v>-0.310562476190476</v>
      </c>
      <c s="70" r="P193">
        <f>M193</f>
        <v>262.5</v>
      </c>
      <c s="70" r="Q193">
        <f>L193/D193</f>
        <v>7.239094</v>
      </c>
      <c t="s" s="10" r="R193">
        <v>182</v>
      </c>
      <c t="s" s="10" r="S193">
        <v>42</v>
      </c>
      <c s="10" r="T193">
        <v>0</v>
      </c>
      <c s="10" r="U193">
        <v>0</v>
      </c>
      <c s="10" r="V193">
        <v>0</v>
      </c>
      <c s="10" r="W193">
        <v>0</v>
      </c>
    </row>
    <row r="194">
      <c s="10" r="A194">
        <v>735</v>
      </c>
      <c s="40" r="B194">
        <v>41640</v>
      </c>
      <c s="71" r="C194">
        <v>0.770833333333333</v>
      </c>
      <c s="68" r="D194">
        <v>140</v>
      </c>
      <c t="s" s="68" r="E194">
        <v>133</v>
      </c>
      <c t="s" s="10" r="F194">
        <v>323</v>
      </c>
      <c s="16" r="G194">
        <v>0.31</v>
      </c>
      <c s="16" r="H194">
        <v>0</v>
      </c>
      <c s="42" r="I194">
        <v>32.51</v>
      </c>
      <c s="32" r="J194">
        <f>I194-SUMIF(Sellables!$A$2:$A$11482, $A194, Sellables!$E$2:$E$11482)</f>
        <v>25.35</v>
      </c>
      <c s="32" r="K194">
        <f>SUMIF(Sellables!$A$2:$A$11482, $A194, Sellables!$G$2:$G$11482)</f>
        <v>7.6254</v>
      </c>
      <c s="14" r="L194">
        <f>(J194+K194)-H194</f>
        <v>32.9754</v>
      </c>
      <c s="23" r="M194">
        <f>G194*D194</f>
        <v>43.4</v>
      </c>
      <c s="70" r="N194">
        <f>L194-M194</f>
        <v>-10.4246</v>
      </c>
      <c s="29" r="O194">
        <f> (L194/M194) - 1</f>
        <v>-0.240198156682028</v>
      </c>
      <c s="70" r="P194">
        <f>M194</f>
        <v>43.4</v>
      </c>
      <c s="70" r="Q194">
        <f>L194/D194</f>
        <v>0.235538571428571</v>
      </c>
      <c t="s" s="10" r="R194">
        <v>182</v>
      </c>
      <c t="s" s="10" r="S194">
        <v>42</v>
      </c>
      <c s="10" r="T194">
        <v>0</v>
      </c>
      <c s="10" r="U194">
        <v>0</v>
      </c>
      <c s="10" r="V194">
        <v>0</v>
      </c>
      <c s="10" r="W194">
        <v>0</v>
      </c>
    </row>
    <row r="195">
      <c s="10" r="A195">
        <v>739</v>
      </c>
      <c s="40" r="B195">
        <v>41640</v>
      </c>
      <c s="71" r="C195">
        <v>0.923611111111111</v>
      </c>
      <c s="68" r="D195">
        <v>15</v>
      </c>
      <c t="s" s="68" r="E195">
        <v>383</v>
      </c>
      <c t="s" s="10" r="F195">
        <v>323</v>
      </c>
      <c s="16" r="G195">
        <v>1.9</v>
      </c>
      <c s="16" r="H195">
        <v>0</v>
      </c>
      <c s="42" r="I195">
        <v>21.49</v>
      </c>
      <c s="32" r="J195">
        <f>I195-SUMIF(Sellables!$A$2:$A$11482, $A195, Sellables!$E$2:$E$11482)</f>
        <v>6.7</v>
      </c>
      <c s="32" r="K195">
        <f>SUMIF(Sellables!$A$2:$A$11482, $A195, Sellables!$G$2:$G$11482)</f>
        <v>21.65693</v>
      </c>
      <c s="14" r="L195">
        <f>(J195+K195)-H195</f>
        <v>28.35693</v>
      </c>
      <c s="23" r="M195">
        <f>G195*D195</f>
        <v>28.5</v>
      </c>
      <c s="70" r="N195">
        <f>L195-M195</f>
        <v>-0.143070000000002</v>
      </c>
      <c s="29" r="O195">
        <f> (L195/M195) - 1</f>
        <v>-0.00502</v>
      </c>
      <c s="70" r="P195">
        <f>M195</f>
        <v>28.5</v>
      </c>
      <c s="70" r="Q195">
        <f>L195/D195</f>
        <v>1.890462</v>
      </c>
      <c t="s" s="10" r="R195">
        <v>182</v>
      </c>
      <c t="s" s="10" r="S195">
        <v>42</v>
      </c>
      <c s="10" r="T195">
        <v>0</v>
      </c>
      <c s="10" r="U195">
        <v>0</v>
      </c>
      <c s="10" r="V195">
        <v>0</v>
      </c>
      <c s="10" r="W195">
        <v>0</v>
      </c>
    </row>
    <row r="196">
      <c s="10" r="A196">
        <v>740</v>
      </c>
      <c s="40" r="B196">
        <v>41640</v>
      </c>
      <c s="71" r="C196">
        <v>0.927083333333333</v>
      </c>
      <c s="68" r="D196">
        <v>57</v>
      </c>
      <c t="s" s="68" r="E196">
        <v>353</v>
      </c>
      <c t="s" s="10" r="F196">
        <v>323</v>
      </c>
      <c s="16" r="G196">
        <v>2.1</v>
      </c>
      <c s="16" r="H196">
        <v>0</v>
      </c>
      <c s="42" r="I196">
        <v>83.66</v>
      </c>
      <c s="32" r="J196">
        <f>I196-SUMIF(Sellables!$A$2:$A$11482, $A196, Sellables!$E$2:$E$11482)</f>
        <v>24</v>
      </c>
      <c s="32" r="K196">
        <f>SUMIF(Sellables!$A$2:$A$11482, $A196, Sellables!$G$2:$G$11482)</f>
        <v>89.5859</v>
      </c>
      <c s="14" r="L196">
        <f>(J196+K196)-H196</f>
        <v>113.5859</v>
      </c>
      <c s="23" r="M196">
        <f>G196*D196</f>
        <v>119.7</v>
      </c>
      <c s="70" r="N196">
        <f>L196-M196</f>
        <v>-6.11409999999999</v>
      </c>
      <c s="29" r="O196">
        <f> (L196/M196) - 1</f>
        <v>-0.051078529657477</v>
      </c>
      <c s="70" r="P196">
        <f>M196</f>
        <v>119.7</v>
      </c>
      <c s="70" r="Q196">
        <f>L196/D196</f>
        <v>1.9927350877193</v>
      </c>
      <c t="s" s="10" r="R196">
        <v>182</v>
      </c>
      <c t="s" s="10" r="S196">
        <v>42</v>
      </c>
      <c s="10" r="T196">
        <v>0</v>
      </c>
      <c s="10" r="U196">
        <v>0</v>
      </c>
      <c s="10" r="V196">
        <v>0</v>
      </c>
      <c s="10" r="W196">
        <v>0</v>
      </c>
    </row>
    <row r="197">
      <c s="10" r="A197">
        <v>741</v>
      </c>
      <c s="40" r="B197">
        <v>41640</v>
      </c>
      <c s="71" r="C197">
        <v>0.934027777777778</v>
      </c>
      <c s="68" r="D197">
        <v>1146</v>
      </c>
      <c t="s" s="68" r="E197">
        <v>56</v>
      </c>
      <c t="s" s="10" r="F197">
        <v>329</v>
      </c>
      <c s="16" r="G197">
        <v>0.71</v>
      </c>
      <c s="16" r="H197">
        <v>0</v>
      </c>
      <c s="42" r="I197">
        <f>403.01+261.33</f>
        <v>664.34</v>
      </c>
      <c s="79" r="J197">
        <f>I197-SUMIF(Sellables!$A$2:$A$11482, $A197, Sellables!$E$2:$E$11482)</f>
        <v>458.84</v>
      </c>
      <c s="32" r="K197">
        <f>SUMIF(Sellables!$A$2:$A$11482, $A197, Sellables!$G$2:$G$11482)</f>
        <v>214.7475</v>
      </c>
      <c s="14" r="L197">
        <f>J197+K197</f>
        <v>673.5875</v>
      </c>
      <c s="23" r="M197">
        <f>G197*D197</f>
        <v>813.66</v>
      </c>
      <c s="70" r="N197">
        <f>L197-M197</f>
        <v>-140.0725</v>
      </c>
      <c s="29" r="O197">
        <f> (L197/M197) - 1</f>
        <v>-0.17215114421257</v>
      </c>
      <c s="70" r="P197">
        <f>M197</f>
        <v>813.66</v>
      </c>
      <c s="70" r="Q197">
        <f>L197/D197</f>
        <v>0.587772687609075</v>
      </c>
      <c t="s" s="10" r="R197">
        <v>182</v>
      </c>
      <c t="s" s="10" r="S197">
        <v>42</v>
      </c>
      <c s="10" r="T197">
        <v>0</v>
      </c>
      <c s="10" r="U197">
        <v>0</v>
      </c>
      <c s="10" r="V197">
        <v>0</v>
      </c>
      <c s="10" r="W197">
        <v>0</v>
      </c>
    </row>
    <row r="198">
      <c s="10" r="A198">
        <v>742</v>
      </c>
      <c s="40" r="B198">
        <v>41641</v>
      </c>
      <c s="71" r="C198">
        <v>0.375</v>
      </c>
      <c s="68" r="D198">
        <v>296</v>
      </c>
      <c t="s" s="68" r="E198">
        <v>133</v>
      </c>
      <c t="s" s="10" r="F198">
        <v>329</v>
      </c>
      <c s="16" r="G198">
        <v>0.31</v>
      </c>
      <c s="16" r="H198">
        <v>0</v>
      </c>
      <c s="42" r="I198">
        <v>96.53</v>
      </c>
      <c s="79" r="J198">
        <f>I198-SUMIF(Sellables!$A$2:$A$11482, $A198, Sellables!$E$2:$E$11482)</f>
        <v>55.63</v>
      </c>
      <c s="32" r="K198">
        <f>SUMIF(Sellables!$A$2:$A$11482, $A198, Sellables!$G$2:$G$11482)</f>
        <v>43.5585</v>
      </c>
      <c s="14" r="L198">
        <f>J198+K198</f>
        <v>99.1885</v>
      </c>
      <c s="23" r="M198">
        <f>G198*D198</f>
        <v>91.76</v>
      </c>
      <c s="70" r="N198">
        <f>L198-M198</f>
        <v>7.4285</v>
      </c>
      <c s="29" r="O198">
        <f> (L198/M198) - 1</f>
        <v>0.080955754141238</v>
      </c>
      <c s="70" r="P198">
        <f>M198</f>
        <v>91.76</v>
      </c>
      <c s="70" r="Q198">
        <f>L198/D198</f>
        <v>0.335096283783784</v>
      </c>
      <c t="s" s="10" r="R198">
        <v>182</v>
      </c>
      <c t="s" s="10" r="S198">
        <v>42</v>
      </c>
      <c s="10" r="T198">
        <v>0</v>
      </c>
      <c s="10" r="U198">
        <v>0</v>
      </c>
      <c s="10" r="V198">
        <v>0</v>
      </c>
      <c s="10" r="W198">
        <v>0</v>
      </c>
    </row>
    <row r="199">
      <c s="10" r="A199">
        <v>743</v>
      </c>
      <c s="40" r="B199">
        <v>41641</v>
      </c>
      <c s="71" r="C199">
        <v>0.409722222222222</v>
      </c>
      <c s="68" r="D199">
        <v>958</v>
      </c>
      <c t="s" s="68" r="E199">
        <v>68</v>
      </c>
      <c t="s" s="10" r="F199">
        <v>329</v>
      </c>
      <c s="16" r="G199">
        <v>1.05</v>
      </c>
      <c s="16" r="H199">
        <v>0</v>
      </c>
      <c s="42" r="I199">
        <v>1876.24</v>
      </c>
      <c s="79" r="J199">
        <f>I199-SUMIF(Sellables!$A$2:$A$11482, $A199, Sellables!$E$2:$E$11482)</f>
        <v>1152.9</v>
      </c>
      <c s="32" r="K199">
        <f>SUMIF(Sellables!$A$2:$A$11482, $A199, Sellables!$G$2:$G$11482)</f>
        <v>744.63702</v>
      </c>
      <c s="14" r="L199">
        <f>J199+K199</f>
        <v>1897.53702</v>
      </c>
      <c s="23" r="M199">
        <f>G199*D199</f>
        <v>1005.9</v>
      </c>
      <c s="70" r="N199">
        <f>L199-M199</f>
        <v>891.63702</v>
      </c>
      <c s="29" r="O199">
        <f> (L199/M199) - 1</f>
        <v>0.886407217417238</v>
      </c>
      <c s="70" r="P199">
        <f>M199</f>
        <v>1005.9</v>
      </c>
      <c s="70" r="Q199">
        <f>L199/D199</f>
        <v>1.9807275782881</v>
      </c>
      <c t="s" s="10" r="R199">
        <v>182</v>
      </c>
      <c t="s" s="10" r="S199">
        <v>42</v>
      </c>
      <c s="10" r="T199">
        <v>0</v>
      </c>
      <c s="10" r="U199">
        <v>1</v>
      </c>
      <c s="10" r="V199">
        <v>1</v>
      </c>
      <c s="10" r="W199">
        <v>1</v>
      </c>
    </row>
    <row r="200">
      <c s="10" r="A200">
        <v>744</v>
      </c>
      <c s="40" r="B200">
        <v>41641</v>
      </c>
      <c s="71" r="C200">
        <v>0.444444444444444</v>
      </c>
      <c s="68" r="D200">
        <v>47</v>
      </c>
      <c t="s" s="68" r="E200">
        <v>176</v>
      </c>
      <c t="s" s="10" r="F200">
        <v>323</v>
      </c>
      <c s="16" r="G200">
        <v>1.77</v>
      </c>
      <c s="16" r="H200">
        <v>0</v>
      </c>
      <c s="42" r="I200">
        <v>58.4</v>
      </c>
      <c s="79" r="J200">
        <f>I200-SUMIF(Sellables!$A$2:$A$11482, $A200, Sellables!$E$2:$E$11482)</f>
        <v>58.4</v>
      </c>
      <c s="32" r="K200">
        <f>SUMIF(Sellables!$A$2:$A$11482, $A200, Sellables!$G$2:$G$11482)</f>
        <v>0</v>
      </c>
      <c s="14" r="L200">
        <f>J200+K200</f>
        <v>58.4</v>
      </c>
      <c s="23" r="M200">
        <f>G200*D200</f>
        <v>83.19</v>
      </c>
      <c s="70" r="N200">
        <f>L200-M200</f>
        <v>-24.79</v>
      </c>
      <c s="29" r="O200">
        <f> (L200/M200) - 1</f>
        <v>-0.297992547181152</v>
      </c>
      <c s="70" r="P200">
        <f>M200</f>
        <v>83.19</v>
      </c>
      <c s="70" r="Q200">
        <f>L200/D200</f>
        <v>1.24255319148936</v>
      </c>
      <c t="s" s="10" r="R200">
        <v>182</v>
      </c>
      <c t="s" s="10" r="S200">
        <v>42</v>
      </c>
      <c s="10" r="T200">
        <v>0</v>
      </c>
      <c s="10" r="U200">
        <v>0</v>
      </c>
      <c s="10" r="V200">
        <v>0</v>
      </c>
      <c s="10" r="W200">
        <v>0</v>
      </c>
    </row>
    <row r="201">
      <c s="10" r="A201">
        <v>745</v>
      </c>
      <c s="40" r="B201">
        <v>41641</v>
      </c>
      <c s="71" r="C201">
        <v>0.454861111111111</v>
      </c>
      <c s="68" r="D201">
        <v>276</v>
      </c>
      <c t="s" s="68" r="E201">
        <v>352</v>
      </c>
      <c t="s" s="10" r="F201">
        <v>329</v>
      </c>
      <c s="16" r="G201">
        <v>6.7</v>
      </c>
      <c s="16" r="H201">
        <v>0</v>
      </c>
      <c s="42" r="I201">
        <f>193.81+1135.46</f>
        <v>1329.27</v>
      </c>
      <c s="32" r="J201">
        <f>I201-SUMIF(Sellables!$A$2:$A$11482, $A201, Sellables!$E$2:$E$11482)</f>
        <v>965.93</v>
      </c>
      <c s="32" r="K201">
        <f>SUMIF(Sellables!$A$2:$A$11482, $A201, Sellables!$G$2:$G$11482)</f>
        <v>387.17307</v>
      </c>
      <c s="14" r="L201">
        <f>(J201+K201)-H201</f>
        <v>1353.10307</v>
      </c>
      <c s="23" r="M201">
        <f>G201*D201</f>
        <v>1849.2</v>
      </c>
      <c s="70" r="N201">
        <f>L201-M201</f>
        <v>-496.09693</v>
      </c>
      <c s="29" r="O201">
        <f> (L201/M201) - 1</f>
        <v>-0.268276514168289</v>
      </c>
      <c s="70" r="P201">
        <f>M201</f>
        <v>1849.2</v>
      </c>
      <c s="70" r="Q201">
        <f>L201/D201</f>
        <v>4.90254735507246</v>
      </c>
      <c t="s" s="10" r="R201">
        <v>182</v>
      </c>
      <c t="s" s="10" r="S201">
        <v>42</v>
      </c>
      <c s="10" r="T201">
        <v>0</v>
      </c>
      <c s="10" r="U201">
        <v>0</v>
      </c>
      <c s="10" r="V201">
        <v>10</v>
      </c>
      <c s="10" r="W201">
        <v>0</v>
      </c>
    </row>
    <row r="202">
      <c s="10" r="A202">
        <v>746</v>
      </c>
      <c s="40" r="B202">
        <v>41641</v>
      </c>
      <c s="71" r="C202">
        <v>0.458333333333333</v>
      </c>
      <c s="68" r="D202">
        <v>637</v>
      </c>
      <c t="s" s="68" r="E202">
        <v>348</v>
      </c>
      <c t="s" s="10" r="F202">
        <v>329</v>
      </c>
      <c s="16" r="G202">
        <v>0.61</v>
      </c>
      <c s="16" r="H202">
        <v>0</v>
      </c>
      <c s="42" r="I202">
        <v>303.23</v>
      </c>
      <c s="32" r="J202">
        <f>I202-SUMIF(Sellables!$A$2:$A$11482, $A202, Sellables!$E$2:$E$11482)</f>
        <v>240.39</v>
      </c>
      <c s="32" r="K202">
        <f>SUMIF(Sellables!$A$2:$A$11482, $A202, Sellables!$G$2:$G$11482)</f>
        <v>67.11312</v>
      </c>
      <c s="14" r="L202">
        <f>(J202+K202)-H202</f>
        <v>307.50312</v>
      </c>
      <c s="23" r="M202">
        <f>G202*D202</f>
        <v>388.57</v>
      </c>
      <c s="70" r="N202">
        <f>L202-M202</f>
        <v>-81.06688</v>
      </c>
      <c s="29" r="O202">
        <f> (L202/M202) - 1</f>
        <v>-0.208628767017526</v>
      </c>
      <c s="70" r="P202">
        <f>M202</f>
        <v>388.57</v>
      </c>
      <c s="70" r="Q202">
        <f>L202/D202</f>
        <v>0.482736452119309</v>
      </c>
      <c t="s" s="10" r="R202">
        <v>333</v>
      </c>
      <c t="s" s="10" r="S202">
        <v>42</v>
      </c>
      <c s="10" r="T202">
        <v>0</v>
      </c>
      <c s="10" r="U202">
        <v>0</v>
      </c>
      <c s="10" r="V202">
        <v>0</v>
      </c>
      <c s="10" r="W202">
        <v>0</v>
      </c>
    </row>
    <row r="203">
      <c s="10" r="A203">
        <v>747</v>
      </c>
      <c s="40" r="B203">
        <v>41641</v>
      </c>
      <c s="71" r="C203">
        <v>0.5</v>
      </c>
      <c s="68" r="D203">
        <v>19</v>
      </c>
      <c t="s" s="68" r="E203">
        <v>384</v>
      </c>
      <c t="s" s="10" r="F203">
        <v>323</v>
      </c>
      <c s="16" r="G203">
        <v>0.61</v>
      </c>
      <c s="16" r="H203">
        <v>0</v>
      </c>
      <c s="42" r="I203">
        <v>4.68</v>
      </c>
      <c s="32" r="J203">
        <f>I203-SUMIF(Sellables!$A$2:$A$11482, $A203, Sellables!$E$2:$E$11482)</f>
        <v>2.97</v>
      </c>
      <c s="32" r="K203">
        <f>SUMIF(Sellables!$A$2:$A$11482, $A203, Sellables!$G$2:$G$11482)</f>
        <v>1.82352</v>
      </c>
      <c s="14" r="L203">
        <f>(J203+K203)-H203</f>
        <v>4.79352</v>
      </c>
      <c s="23" r="M203">
        <f>G203*D203</f>
        <v>11.59</v>
      </c>
      <c s="70" r="N203">
        <f>L203-M203</f>
        <v>-6.79648</v>
      </c>
      <c s="29" r="O203">
        <f> (L203/M203) - 1</f>
        <v>-0.586408973252804</v>
      </c>
      <c s="70" r="P203">
        <f>M203</f>
        <v>11.59</v>
      </c>
      <c s="70" r="Q203">
        <f>L203/D203</f>
        <v>0.252290526315789</v>
      </c>
      <c t="s" s="10" r="R203">
        <v>333</v>
      </c>
      <c t="s" s="10" r="S203">
        <v>42</v>
      </c>
      <c s="10" r="T203">
        <v>0</v>
      </c>
      <c s="10" r="U203">
        <v>0</v>
      </c>
      <c s="10" r="V203">
        <v>0</v>
      </c>
      <c s="10" r="W203">
        <v>0</v>
      </c>
    </row>
    <row r="204">
      <c s="10" r="A204">
        <v>748</v>
      </c>
      <c s="40" r="B204">
        <v>41641</v>
      </c>
      <c s="71" r="C204">
        <v>0.53125</v>
      </c>
      <c s="68" r="D204">
        <v>225</v>
      </c>
      <c t="s" s="68" r="E204">
        <v>385</v>
      </c>
      <c t="s" s="10" r="F204">
        <v>323</v>
      </c>
      <c s="16" r="G204">
        <v>0.16</v>
      </c>
      <c s="16" r="H204">
        <v>0</v>
      </c>
      <c s="42" r="I204">
        <v>25.86</v>
      </c>
      <c s="32" r="J204">
        <f>I204-SUMIF(Sellables!$A$2:$A$11482, $A204, Sellables!$E$2:$E$11482)</f>
        <v>16.81</v>
      </c>
      <c s="32" r="K204">
        <f>SUMIF(Sellables!$A$2:$A$11482, $A204, Sellables!$G$2:$G$11482)</f>
        <v>9.63825</v>
      </c>
      <c s="14" r="L204">
        <f>(J204+K204)-H204</f>
        <v>26.44825</v>
      </c>
      <c s="23" r="M204">
        <f>G204*D204</f>
        <v>36</v>
      </c>
      <c s="70" r="N204">
        <f>L204-M204</f>
        <v>-9.55175</v>
      </c>
      <c s="29" r="O204">
        <f> (L204/M204) - 1</f>
        <v>-0.265326388888889</v>
      </c>
      <c s="70" r="P204">
        <f>M204</f>
        <v>36</v>
      </c>
      <c s="70" r="Q204">
        <f>L204/D204</f>
        <v>0.117547777777778</v>
      </c>
      <c t="s" s="10" r="R204">
        <v>333</v>
      </c>
      <c t="s" s="10" r="S204">
        <v>42</v>
      </c>
      <c s="10" r="T204">
        <v>0</v>
      </c>
      <c s="10" r="U204">
        <v>0</v>
      </c>
      <c s="10" r="V204">
        <v>0</v>
      </c>
      <c s="10" r="W204">
        <v>0</v>
      </c>
    </row>
    <row r="205">
      <c s="10" r="A205">
        <v>749</v>
      </c>
      <c s="40" r="B205">
        <v>41641</v>
      </c>
      <c s="71" r="C205">
        <v>0.53125</v>
      </c>
      <c s="68" r="D205">
        <v>118</v>
      </c>
      <c t="s" s="68" r="E205">
        <v>386</v>
      </c>
      <c t="s" s="10" r="F205">
        <v>329</v>
      </c>
      <c s="16" r="G205">
        <v>8.6</v>
      </c>
      <c s="16" r="H205">
        <v>0</v>
      </c>
      <c s="42" r="I205">
        <v>1015.76</v>
      </c>
      <c s="32" r="J205">
        <f>I205-SUMIF(Sellables!$A$2:$A$11482, $A205, Sellables!$E$2:$E$11482)</f>
        <v>159.92</v>
      </c>
      <c s="32" r="K205">
        <f>SUMIF(Sellables!$A$2:$A$11482, $A205, Sellables!$G$2:$G$11482)</f>
        <v>935.5573</v>
      </c>
      <c s="14" r="L205">
        <f>(J205+K205)-H205</f>
        <v>1095.4773</v>
      </c>
      <c s="23" r="M205">
        <f>G205*D205</f>
        <v>1014.8</v>
      </c>
      <c s="70" r="N205">
        <f>L205-M205</f>
        <v>80.6773000000001</v>
      </c>
      <c s="29" r="O205">
        <f> (L205/M205) - 1</f>
        <v>0.079500689791092</v>
      </c>
      <c s="70" r="P205">
        <f>M205</f>
        <v>1014.8</v>
      </c>
      <c s="70" r="Q205">
        <f>L205/D205</f>
        <v>9.28370593220339</v>
      </c>
      <c t="s" s="10" r="R205">
        <v>182</v>
      </c>
      <c t="s" s="10" r="S205">
        <v>42</v>
      </c>
      <c s="10" r="T205">
        <v>0</v>
      </c>
      <c s="10" r="U205">
        <v>0</v>
      </c>
      <c s="10" r="V205">
        <v>10</v>
      </c>
      <c s="10" r="W205">
        <v>0</v>
      </c>
    </row>
    <row r="206">
      <c s="10" r="A206">
        <v>750</v>
      </c>
      <c s="40" r="B206">
        <v>41641</v>
      </c>
      <c s="71" r="C206">
        <v>0.569444444444444</v>
      </c>
      <c s="68" r="D206">
        <v>76</v>
      </c>
      <c t="s" s="68" r="E206">
        <v>129</v>
      </c>
      <c t="s" s="10" r="F206">
        <v>323</v>
      </c>
      <c s="16" r="G206">
        <v>0.88</v>
      </c>
      <c s="16" r="H206">
        <v>0</v>
      </c>
      <c s="42" r="I206">
        <v>49.35</v>
      </c>
      <c s="32" r="J206">
        <f>I206-SUMIF(Sellables!$A$2:$A$11482, $A206, Sellables!$E$2:$E$11482)</f>
        <v>39.14</v>
      </c>
      <c s="32" r="K206">
        <f>SUMIF(Sellables!$A$2:$A$11482, $A206, Sellables!$G$2:$G$11482)</f>
        <v>10.87365</v>
      </c>
      <c s="14" r="L206">
        <f>(J206+K206)-H206</f>
        <v>50.01365</v>
      </c>
      <c s="23" r="M206">
        <f>G206*D206</f>
        <v>66.88</v>
      </c>
      <c s="70" r="N206">
        <f>L206-M206</f>
        <v>-16.86635</v>
      </c>
      <c s="29" r="O206">
        <f> (L206/M206) - 1</f>
        <v>-0.252188247607655</v>
      </c>
      <c s="70" r="P206">
        <f>M206</f>
        <v>66.88</v>
      </c>
      <c s="70" r="Q206">
        <f>L206/D206</f>
        <v>0.658074342105263</v>
      </c>
      <c t="s" s="10" r="R206">
        <v>182</v>
      </c>
      <c t="s" s="10" r="S206">
        <v>42</v>
      </c>
      <c s="10" r="T206">
        <v>0</v>
      </c>
      <c s="10" r="U206">
        <v>0</v>
      </c>
      <c s="10" r="V206">
        <v>0</v>
      </c>
      <c s="10" r="W206">
        <v>0</v>
      </c>
    </row>
    <row r="207">
      <c s="10" r="A207">
        <v>756</v>
      </c>
      <c s="40" r="B207">
        <v>41641</v>
      </c>
      <c s="71" r="C207">
        <v>0.9375</v>
      </c>
      <c s="68" r="D207">
        <v>11</v>
      </c>
      <c t="s" s="68" r="E207">
        <v>387</v>
      </c>
      <c t="s" s="10" r="F207">
        <v>323</v>
      </c>
      <c s="16" r="G207">
        <v>2.1</v>
      </c>
      <c s="16" r="H207">
        <v>0</v>
      </c>
      <c s="42" r="I207">
        <v>19.77</v>
      </c>
      <c s="32" r="J207">
        <f>I207-SUMIF(Sellables!$A$2:$A$11482, $A207, Sellables!$E$2:$E$11482)</f>
        <v>0.199999999999999</v>
      </c>
      <c s="32" r="K207">
        <f>SUMIF(Sellables!$A$2:$A$11482, $A207, Sellables!$G$2:$G$11482)</f>
        <v>29.98205</v>
      </c>
      <c s="14" r="L207">
        <f>(J207+K207)-H207</f>
        <v>30.18205</v>
      </c>
      <c s="23" r="M207">
        <f>G207*D207</f>
        <v>23.1</v>
      </c>
      <c s="70" r="N207">
        <f>L207-M207</f>
        <v>7.08205</v>
      </c>
      <c s="29" r="O207">
        <f> (L207/M207) - 1</f>
        <v>0.306582251082251</v>
      </c>
      <c s="70" r="P207">
        <f>M207</f>
        <v>23.1</v>
      </c>
      <c s="70" r="Q207">
        <f>L207/D207</f>
        <v>2.74382272727273</v>
      </c>
      <c t="s" s="10" r="R207">
        <v>182</v>
      </c>
      <c t="s" s="10" r="S207">
        <v>42</v>
      </c>
      <c s="10" r="T207">
        <v>0</v>
      </c>
      <c s="10" r="U207">
        <v>0</v>
      </c>
      <c s="10" r="V207">
        <v>0</v>
      </c>
      <c s="10" r="W207">
        <v>0</v>
      </c>
    </row>
    <row r="208">
      <c s="10" r="A208">
        <v>757</v>
      </c>
      <c s="40" r="B208">
        <v>41642</v>
      </c>
      <c s="71" r="C208">
        <v>0.819444444444444</v>
      </c>
      <c s="68" r="D208">
        <v>49</v>
      </c>
      <c t="s" s="68" r="E208">
        <v>386</v>
      </c>
      <c t="s" s="10" r="F208">
        <v>329</v>
      </c>
      <c s="16" r="G208">
        <v>8.6</v>
      </c>
      <c s="16" r="H208">
        <v>0</v>
      </c>
      <c s="42" r="I208">
        <v>217.69</v>
      </c>
      <c s="32" r="J208">
        <f>I208-SUMIF(Sellables!$A$2:$A$11482, $A208, Sellables!$E$2:$E$11482)</f>
        <v>113.24</v>
      </c>
      <c s="32" r="K208">
        <f>SUMIF(Sellables!$A$2:$A$11482, $A208, Sellables!$G$2:$G$11482)</f>
        <v>111.23925</v>
      </c>
      <c s="14" r="L208">
        <f>(J208+K208)-H208</f>
        <v>224.47925</v>
      </c>
      <c s="23" r="M208">
        <f>G208*D208</f>
        <v>421.4</v>
      </c>
      <c s="70" r="N208">
        <f>L208-M208</f>
        <v>-196.92075</v>
      </c>
      <c s="29" r="O208">
        <f> (L208/M208) - 1</f>
        <v>-0.467301257712387</v>
      </c>
      <c s="70" r="P208">
        <f>M208</f>
        <v>421.4</v>
      </c>
      <c s="70" r="Q208">
        <f>L208/D208</f>
        <v>4.58120918367347</v>
      </c>
      <c t="s" s="10" r="R208">
        <v>182</v>
      </c>
      <c t="s" s="10" r="S208">
        <v>42</v>
      </c>
      <c s="10" r="T208">
        <v>0</v>
      </c>
      <c s="10" r="U208">
        <v>0</v>
      </c>
      <c s="10" r="V208">
        <v>0</v>
      </c>
      <c s="10" r="W208">
        <v>0</v>
      </c>
    </row>
    <row r="209">
      <c s="10" r="A209">
        <v>759</v>
      </c>
      <c s="40" r="B209">
        <v>41642</v>
      </c>
      <c s="71" r="C209">
        <v>0.881944444444444</v>
      </c>
      <c s="68" r="D209">
        <v>283</v>
      </c>
      <c t="s" s="68" r="E209">
        <v>352</v>
      </c>
      <c t="s" s="10" r="F209">
        <v>329</v>
      </c>
      <c s="16" r="G209">
        <v>6.7</v>
      </c>
      <c s="16" r="H209">
        <v>0</v>
      </c>
      <c s="42" r="I209">
        <v>1350.1</v>
      </c>
      <c s="32" r="J209">
        <f>I209-SUMIF(Sellables!$A$2:$A$11482, $A209, Sellables!$E$2:$E$11482)</f>
        <v>1085.63</v>
      </c>
      <c s="32" r="K209">
        <f>SUMIF(Sellables!$A$2:$A$11482, $A209, Sellables!$G$2:$G$11482)</f>
        <v>281.66055</v>
      </c>
      <c s="14" r="L209">
        <f>(J209+K209)-H209</f>
        <v>1367.29055</v>
      </c>
      <c s="23" r="M209">
        <f>G209*D209</f>
        <v>1896.1</v>
      </c>
      <c s="70" r="N209">
        <f>L209-M209</f>
        <v>-528.80945</v>
      </c>
      <c s="29" r="O209">
        <f> (L209/M209) - 1</f>
        <v>-0.278893228205264</v>
      </c>
      <c s="70" r="P209">
        <f>M209</f>
        <v>1896.1</v>
      </c>
      <c s="70" r="Q209">
        <f>L209/D209</f>
        <v>4.83141537102474</v>
      </c>
      <c t="s" s="10" r="R209">
        <v>295</v>
      </c>
      <c t="s" s="10" r="S209">
        <v>42</v>
      </c>
      <c s="10" r="T209">
        <v>0</v>
      </c>
      <c s="10" r="U209">
        <v>0</v>
      </c>
      <c s="10" r="V209">
        <v>16</v>
      </c>
      <c s="10" r="W209">
        <v>0</v>
      </c>
    </row>
    <row r="210">
      <c s="10" r="A210">
        <v>760</v>
      </c>
      <c s="40" r="B210">
        <v>41642</v>
      </c>
      <c s="71" r="C210">
        <v>0.926388888888889</v>
      </c>
      <c s="68" r="D210">
        <v>117</v>
      </c>
      <c t="s" s="68" r="E210">
        <v>386</v>
      </c>
      <c t="s" s="10" r="F210">
        <v>329</v>
      </c>
      <c s="16" r="G210">
        <v>8.6</v>
      </c>
      <c s="16" r="H210">
        <v>0</v>
      </c>
      <c s="42" r="I210">
        <v>793.75</v>
      </c>
      <c s="32" r="J210">
        <f>I210-SUMIF(Sellables!$A$2:$A$11482, $A210, Sellables!$E$2:$E$11482)</f>
        <v>93.18</v>
      </c>
      <c s="32" r="K210">
        <f>SUMIF(Sellables!$A$2:$A$11482, $A210, Sellables!$G$2:$G$11482)</f>
        <v>748.7626</v>
      </c>
      <c s="14" r="L210">
        <f>(J210+K210)-H210</f>
        <v>841.9426</v>
      </c>
      <c s="23" r="M210">
        <f>G210*D210</f>
        <v>1006.2</v>
      </c>
      <c s="70" r="N210">
        <f>L210-M210</f>
        <v>-164.2574</v>
      </c>
      <c s="29" r="O210">
        <f> (L210/M210) - 1</f>
        <v>-0.163245279268535</v>
      </c>
      <c s="70" r="P210">
        <f>M210</f>
        <v>1006.2</v>
      </c>
      <c s="70" r="Q210">
        <f>L210/D210</f>
        <v>7.1960905982906</v>
      </c>
      <c t="s" s="10" r="R210">
        <v>182</v>
      </c>
      <c t="s" s="10" r="S210">
        <v>42</v>
      </c>
      <c s="10" r="T210">
        <v>0</v>
      </c>
      <c s="10" r="U210">
        <v>0</v>
      </c>
      <c s="10" r="V210">
        <v>8</v>
      </c>
      <c s="10" r="W210">
        <v>0</v>
      </c>
    </row>
    <row r="211">
      <c s="10" r="A211">
        <v>762</v>
      </c>
      <c s="40" r="B211">
        <v>41643</v>
      </c>
      <c s="71" r="C211">
        <v>0.503472222222222</v>
      </c>
      <c s="68" r="D211">
        <v>1104</v>
      </c>
      <c t="s" s="68" r="E211">
        <v>56</v>
      </c>
      <c t="s" s="10" r="F211">
        <v>329</v>
      </c>
      <c s="16" r="G211">
        <v>0.71</v>
      </c>
      <c s="16" r="H211">
        <v>0</v>
      </c>
      <c s="42" r="I211">
        <v>578.46</v>
      </c>
      <c s="79" r="J211">
        <f>I211-SUMIF(Sellables!$A$2:$A$11482, $A211, Sellables!$E$2:$E$11482)</f>
        <v>423.36</v>
      </c>
      <c s="32" r="K211">
        <f>SUMIF(Sellables!$A$2:$A$11482, $A211, Sellables!$G$2:$G$11482)</f>
        <v>164.17335</v>
      </c>
      <c s="14" r="L211">
        <f>J211+K211</f>
        <v>587.53335</v>
      </c>
      <c s="23" r="M211">
        <f>G211*D211</f>
        <v>783.84</v>
      </c>
      <c s="70" r="N211">
        <f>L211-M211</f>
        <v>-196.30665</v>
      </c>
      <c s="29" r="O211">
        <f> (L211/M211) - 1</f>
        <v>-0.250442245866503</v>
      </c>
      <c s="70" r="P211">
        <f>M211</f>
        <v>783.84</v>
      </c>
      <c s="70" r="Q211">
        <f>L211/D211</f>
        <v>0.532186005434783</v>
      </c>
      <c t="s" s="10" r="R211">
        <v>182</v>
      </c>
      <c t="s" s="10" r="S211">
        <v>42</v>
      </c>
      <c s="10" r="T211">
        <v>0</v>
      </c>
      <c s="10" r="U211">
        <v>0</v>
      </c>
      <c s="10" r="V211">
        <v>0</v>
      </c>
      <c s="10" r="W211">
        <v>0</v>
      </c>
    </row>
    <row r="212">
      <c s="10" r="A212">
        <v>763</v>
      </c>
      <c s="40" r="B212">
        <v>41643</v>
      </c>
      <c s="71" r="C212">
        <v>0.569444444444444</v>
      </c>
      <c s="68" r="D212">
        <v>4</v>
      </c>
      <c t="s" s="68" r="E212">
        <v>380</v>
      </c>
      <c t="s" s="10" r="F212">
        <v>323</v>
      </c>
      <c s="16" r="G212">
        <v>10.3</v>
      </c>
      <c s="16" r="H212">
        <v>24000</v>
      </c>
      <c s="42" r="I212">
        <v>340</v>
      </c>
      <c s="79" r="J212">
        <f>I212-SUMIF(Sellables!$A$2:$A$11482, $A212, Sellables!$E$2:$E$11482)</f>
        <v>20</v>
      </c>
      <c s="32" r="K212">
        <f>SUMIF(Sellables!$A$2:$A$11482, $A212, Sellables!$G$2:$G$11482)</f>
        <v>357.984</v>
      </c>
      <c s="14" r="L212">
        <f>(J212+K212)-(0.01*H212)</f>
        <v>137.984</v>
      </c>
      <c s="23" r="M212">
        <f>G212*D212</f>
        <v>41.2</v>
      </c>
      <c s="70" r="N212">
        <f>L212-M212</f>
        <v>96.784</v>
      </c>
      <c s="29" r="O212">
        <f> (L212/M212) - 1</f>
        <v>2.34912621359223</v>
      </c>
      <c s="70" r="P212">
        <f>M212</f>
        <v>41.2</v>
      </c>
      <c s="70" r="Q212">
        <f>L212/D212</f>
        <v>34.496</v>
      </c>
      <c t="s" s="10" r="R212">
        <v>295</v>
      </c>
      <c t="s" s="10" r="S212">
        <v>42</v>
      </c>
      <c s="10" r="T212">
        <v>0</v>
      </c>
      <c s="10" r="U212">
        <v>0</v>
      </c>
      <c s="10" r="V212">
        <v>0</v>
      </c>
      <c s="10" r="W212">
        <v>0</v>
      </c>
    </row>
    <row r="213">
      <c s="10" r="A213">
        <v>767</v>
      </c>
      <c s="40" r="B213">
        <v>41643</v>
      </c>
      <c s="71" r="C213">
        <v>0.833333333333333</v>
      </c>
      <c s="68" r="D213">
        <v>142</v>
      </c>
      <c t="s" s="68" r="E213">
        <v>335</v>
      </c>
      <c t="s" s="10" r="F213">
        <v>323</v>
      </c>
      <c s="16" r="G213">
        <v>1.35</v>
      </c>
      <c s="16" r="H213">
        <v>0</v>
      </c>
      <c s="42" r="I213">
        <v>208.08</v>
      </c>
      <c s="79" r="J213">
        <f>I213-SUMIF(Sellables!$A$2:$A$11482, $A213, Sellables!$E$2:$E$11482)</f>
        <v>173.96</v>
      </c>
      <c s="32" r="K213">
        <f>SUMIF(Sellables!$A$2:$A$11482, $A213, Sellables!$G$2:$G$11482)</f>
        <v>58.57045</v>
      </c>
      <c s="14" r="L213">
        <f>(J213+K213)-(0.01*H213)</f>
        <v>232.53045</v>
      </c>
      <c s="23" r="M213">
        <f>G213*D213</f>
        <v>191.7</v>
      </c>
      <c s="70" r="N213">
        <f>L213-M213</f>
        <v>40.83045</v>
      </c>
      <c s="29" r="O213">
        <f> (L213/M213) - 1</f>
        <v>0.212991392801252</v>
      </c>
      <c s="70" r="P213">
        <f>M213</f>
        <v>191.7</v>
      </c>
      <c s="70" r="Q213">
        <f>L213/D213</f>
        <v>1.63753838028169</v>
      </c>
      <c t="s" s="10" r="R213">
        <v>299</v>
      </c>
      <c t="s" s="10" r="S213">
        <v>65</v>
      </c>
      <c s="10" r="T213">
        <v>0</v>
      </c>
      <c s="10" r="U213">
        <v>0</v>
      </c>
      <c s="10" r="V213">
        <v>0</v>
      </c>
      <c s="10" r="W213">
        <v>0</v>
      </c>
    </row>
    <row r="214">
      <c s="10" r="A214">
        <v>771</v>
      </c>
      <c s="40" r="B214">
        <v>41644</v>
      </c>
      <c s="71" r="C214">
        <v>0.041666666666667</v>
      </c>
      <c s="68" r="D214">
        <v>1667</v>
      </c>
      <c t="s" s="68" r="E214">
        <v>56</v>
      </c>
      <c t="s" s="10" r="F214">
        <v>329</v>
      </c>
      <c s="16" r="G214">
        <v>0.71</v>
      </c>
      <c s="16" r="H214">
        <v>0</v>
      </c>
      <c s="42" r="I214">
        <v>1052.29</v>
      </c>
      <c s="79" r="J214">
        <f>I214-SUMIF(Sellables!$A$2:$A$11482, $A214, Sellables!$E$2:$E$11482)</f>
        <v>713.59</v>
      </c>
      <c s="32" r="K214">
        <f>SUMIF(Sellables!$A$2:$A$11482, $A214, Sellables!$G$2:$G$11482)</f>
        <v>350.99481</v>
      </c>
      <c s="14" r="L214">
        <f>(J214+K214)-(0.01*H214)</f>
        <v>1064.58481</v>
      </c>
      <c s="23" r="M214">
        <f>G214*D214</f>
        <v>1183.57</v>
      </c>
      <c s="70" r="N214">
        <f>L214-M214</f>
        <v>-118.98519</v>
      </c>
      <c s="29" r="O214">
        <f> (L214/M214) - 1</f>
        <v>-0.100530758637005</v>
      </c>
      <c s="70" r="P214">
        <f>M214</f>
        <v>1183.57</v>
      </c>
      <c s="70" r="Q214">
        <f>L214/D214</f>
        <v>0.638623161367726</v>
      </c>
      <c t="s" s="10" r="R214">
        <v>182</v>
      </c>
      <c t="s" s="10" r="S214">
        <v>42</v>
      </c>
      <c s="10" r="T214">
        <v>0</v>
      </c>
      <c s="10" r="U214">
        <v>0</v>
      </c>
      <c s="10" r="V214">
        <v>0</v>
      </c>
      <c s="10" r="W214">
        <v>0</v>
      </c>
    </row>
    <row r="215">
      <c s="10" r="A215">
        <v>772</v>
      </c>
      <c s="40" r="B215">
        <v>41644</v>
      </c>
      <c s="71" r="C215">
        <v>0.538194444444444</v>
      </c>
      <c s="68" r="D215">
        <v>83</v>
      </c>
      <c t="s" s="68" r="E215">
        <v>362</v>
      </c>
      <c t="s" s="10" r="F215">
        <v>323</v>
      </c>
      <c s="16" r="G215">
        <v>2.1</v>
      </c>
      <c s="16" r="H215">
        <v>0</v>
      </c>
      <c s="42" r="I215">
        <f>38.7+122.76</f>
        <v>161.46</v>
      </c>
      <c s="79" r="J215">
        <f>I215-SUMIF(Sellables!$A$2:$A$11482, $A215, Sellables!$E$2:$E$11482)</f>
        <v>26.8</v>
      </c>
      <c s="32" r="K215">
        <f>SUMIF(Sellables!$A$2:$A$11482, $A215, Sellables!$G$2:$G$11482)</f>
        <v>181.5249</v>
      </c>
      <c s="14" r="L215">
        <f>(J215+K215)-(0.01*H215)</f>
        <v>208.3249</v>
      </c>
      <c s="23" r="M215">
        <f>G215*D215</f>
        <v>174.3</v>
      </c>
      <c s="70" r="N215">
        <f>L215-M215</f>
        <v>34.0249</v>
      </c>
      <c s="29" r="O215">
        <f> (L215/M215) - 1</f>
        <v>0.195208835341365</v>
      </c>
      <c s="70" r="P215">
        <f>M215</f>
        <v>174.3</v>
      </c>
      <c s="70" r="Q215">
        <f>L215/D215</f>
        <v>2.50993855421687</v>
      </c>
      <c t="s" s="10" r="R215">
        <v>295</v>
      </c>
      <c t="s" s="10" r="S215">
        <v>42</v>
      </c>
      <c s="10" r="T215">
        <v>0</v>
      </c>
      <c s="10" r="U215">
        <v>0</v>
      </c>
      <c s="10" r="V215">
        <v>1</v>
      </c>
      <c s="10" r="W215">
        <v>0</v>
      </c>
    </row>
    <row r="216">
      <c s="10" r="A216">
        <v>773</v>
      </c>
      <c s="40" r="B216">
        <v>41644</v>
      </c>
      <c s="71" r="C216">
        <v>0.541666666666667</v>
      </c>
      <c s="68" r="D216">
        <v>78</v>
      </c>
      <c t="s" s="68" r="E216">
        <v>387</v>
      </c>
      <c t="s" s="10" r="F216">
        <v>323</v>
      </c>
      <c s="16" r="G216">
        <v>2.1</v>
      </c>
      <c s="16" r="H216">
        <v>0</v>
      </c>
      <c s="42" r="I216">
        <v>120.92</v>
      </c>
      <c s="79" r="J216">
        <f>I216-SUMIF(Sellables!$A$2:$A$11482, $A216, Sellables!$E$2:$E$11482)</f>
        <v>20.5</v>
      </c>
      <c s="32" r="K216">
        <f>SUMIF(Sellables!$A$2:$A$11482, $A216, Sellables!$G$2:$G$11482)</f>
        <v>148.6473</v>
      </c>
      <c s="14" r="L216">
        <f>(J216+K216)-(0.01*H216)</f>
        <v>169.1473</v>
      </c>
      <c s="23" r="M216">
        <f>G216*D216</f>
        <v>163.8</v>
      </c>
      <c s="70" r="N216">
        <f>L216-M216</f>
        <v>5.34729999999999</v>
      </c>
      <c s="29" r="O216">
        <f> (L216/M216) - 1</f>
        <v>0.032645299145299</v>
      </c>
      <c s="70" r="P216">
        <f>M216</f>
        <v>163.8</v>
      </c>
      <c s="70" r="Q216">
        <f>L216/D216</f>
        <v>2.16855512820513</v>
      </c>
      <c t="s" s="10" r="R216">
        <v>295</v>
      </c>
      <c t="s" s="10" r="S216">
        <v>42</v>
      </c>
      <c s="10" r="T216">
        <v>0</v>
      </c>
      <c s="10" r="U216">
        <v>0</v>
      </c>
      <c s="10" r="V216">
        <v>0</v>
      </c>
      <c s="10" r="W216">
        <v>0</v>
      </c>
    </row>
    <row r="217">
      <c s="10" r="A217">
        <v>774</v>
      </c>
      <c s="40" r="B217">
        <v>41644</v>
      </c>
      <c s="71" r="C217">
        <v>0.548611111111111</v>
      </c>
      <c s="68" r="D217">
        <v>54</v>
      </c>
      <c t="s" s="68" r="E217">
        <v>366</v>
      </c>
      <c t="s" s="10" r="F217">
        <v>323</v>
      </c>
      <c s="16" r="G217">
        <v>2.1</v>
      </c>
      <c s="16" r="H217">
        <v>0</v>
      </c>
      <c s="42" r="I217">
        <v>70.35</v>
      </c>
      <c s="79" r="J217">
        <f>I217-SUMIF(Sellables!$A$2:$A$11482, $A217, Sellables!$E$2:$E$11482)</f>
        <v>14.7</v>
      </c>
      <c s="32" r="K217">
        <f>SUMIF(Sellables!$A$2:$A$11482, $A217, Sellables!$G$2:$G$11482)</f>
        <v>83.68725</v>
      </c>
      <c s="14" r="L217">
        <f>(J217+K217)-(0.01*H217)</f>
        <v>98.38725</v>
      </c>
      <c s="23" r="M217">
        <f>G217*D217</f>
        <v>113.4</v>
      </c>
      <c s="70" r="N217">
        <f>L217-M217</f>
        <v>-15.01275</v>
      </c>
      <c s="29" r="O217">
        <f> (L217/M217) - 1</f>
        <v>-0.132387566137566</v>
      </c>
      <c s="70" r="P217">
        <f>M217</f>
        <v>113.4</v>
      </c>
      <c s="70" r="Q217">
        <f>L217/D217</f>
        <v>1.82198611111111</v>
      </c>
      <c t="s" s="10" r="R217">
        <v>295</v>
      </c>
      <c t="s" s="10" r="S217">
        <v>42</v>
      </c>
      <c s="10" r="T217">
        <v>0</v>
      </c>
      <c s="10" r="U217">
        <v>0</v>
      </c>
      <c s="10" r="V217">
        <v>0</v>
      </c>
      <c s="10" r="W217">
        <v>0</v>
      </c>
    </row>
    <row r="218">
      <c s="10" r="A218">
        <v>778</v>
      </c>
      <c s="40" r="B218">
        <v>41644</v>
      </c>
      <c s="71" r="C218">
        <v>0.729166666666667</v>
      </c>
      <c s="68" r="D218">
        <v>2248</v>
      </c>
      <c t="s" s="68" r="E218">
        <v>139</v>
      </c>
      <c t="s" s="10" r="F218">
        <v>329</v>
      </c>
      <c s="16" r="G218">
        <v>0.91</v>
      </c>
      <c s="16" r="H218">
        <v>0</v>
      </c>
      <c s="42" r="I218">
        <v>2329.08</v>
      </c>
      <c s="79" r="J218">
        <f>I218-SUMIF(Sellables!$A$2:$A$11482, $A218, Sellables!$E$2:$E$11482)</f>
        <v>1773.08</v>
      </c>
      <c s="32" r="K218">
        <f>SUMIF(Sellables!$A$2:$A$11482, $A218, Sellables!$G$2:$G$11482)</f>
        <v>567.0088</v>
      </c>
      <c s="14" r="L218">
        <f>(J218+K218)-(0.01*H218)</f>
        <v>2340.0888</v>
      </c>
      <c s="23" r="M218">
        <f>G218*D218</f>
        <v>2045.68</v>
      </c>
      <c s="70" r="N218">
        <f>L218-M218</f>
        <v>294.4088</v>
      </c>
      <c s="29" r="O218">
        <f> (L218/M218) - 1</f>
        <v>0.143917328223378</v>
      </c>
      <c s="70" r="P218">
        <f>M218</f>
        <v>2045.68</v>
      </c>
      <c s="70" r="Q218">
        <f>L218/D218</f>
        <v>1.04096476868327</v>
      </c>
      <c t="s" s="10" r="R218">
        <v>333</v>
      </c>
      <c t="s" s="10" r="S218">
        <v>42</v>
      </c>
      <c s="10" r="T218">
        <v>0</v>
      </c>
      <c s="10" r="U218">
        <v>0</v>
      </c>
      <c s="10" r="V218">
        <v>3</v>
      </c>
      <c s="10" r="W218">
        <v>1</v>
      </c>
    </row>
    <row r="219">
      <c s="10" r="A219">
        <v>780</v>
      </c>
      <c s="40" r="B219">
        <v>41645</v>
      </c>
      <c s="71" r="C219">
        <v>0.583333333333333</v>
      </c>
      <c s="68" r="D219">
        <v>985</v>
      </c>
      <c t="s" s="68" r="E219">
        <v>98</v>
      </c>
      <c t="s" s="10" r="F219">
        <v>329</v>
      </c>
      <c s="16" r="G219">
        <v>0.61</v>
      </c>
      <c s="16" r="H219">
        <v>0</v>
      </c>
      <c s="42" r="I219">
        <v>707.25</v>
      </c>
      <c s="79" r="J219">
        <f>I219-SUMIF(Sellables!$A$2:$A$11482, $A219, Sellables!$E$2:$E$11482)</f>
        <v>442.11</v>
      </c>
      <c s="32" r="K219">
        <f>SUMIF(Sellables!$A$2:$A$11482, $A219, Sellables!$G$2:$G$11482)</f>
        <v>282.3741</v>
      </c>
      <c s="14" r="L219">
        <f>(J219+K219)-(0.01*H219)</f>
        <v>724.4841</v>
      </c>
      <c s="23" r="M219">
        <f>G219*D219</f>
        <v>600.85</v>
      </c>
      <c s="70" r="N219">
        <f>L219-M219</f>
        <v>123.6341</v>
      </c>
      <c s="29" r="O219">
        <f> (L219/M219) - 1</f>
        <v>0.205765332445702</v>
      </c>
      <c s="70" r="P219">
        <f>M219</f>
        <v>600.85</v>
      </c>
      <c s="70" r="Q219">
        <f>L219/D219</f>
        <v>0.735516852791878</v>
      </c>
      <c t="s" s="10" r="R219">
        <v>200</v>
      </c>
      <c t="s" s="10" r="S219">
        <v>42</v>
      </c>
      <c s="10" r="T219">
        <v>0</v>
      </c>
      <c s="10" r="U219">
        <v>0</v>
      </c>
      <c s="10" r="V219">
        <v>2</v>
      </c>
      <c s="10" r="W219">
        <v>0</v>
      </c>
    </row>
    <row r="220">
      <c s="10" r="A220">
        <v>781</v>
      </c>
      <c s="40" r="B220">
        <v>41645</v>
      </c>
      <c s="71" r="C220">
        <v>0.583333333333333</v>
      </c>
      <c s="10" r="D220">
        <v>470</v>
      </c>
      <c t="s" s="10" r="E220">
        <v>133</v>
      </c>
      <c t="s" s="10" r="F220">
        <v>329</v>
      </c>
      <c s="16" r="G220">
        <v>0.31</v>
      </c>
      <c s="16" r="H220">
        <v>0</v>
      </c>
      <c s="42" r="I220">
        <v>120.24</v>
      </c>
      <c s="79" r="J220">
        <f>I220-SUMIF(Sellables!$A$2:$A$11482, $A220, Sellables!$E$2:$E$11482)</f>
        <v>89.95</v>
      </c>
      <c s="32" r="K220">
        <f>SUMIF(Sellables!$A$2:$A$11482, $A220, Sellables!$G$2:$G$11482)</f>
        <v>32.25885</v>
      </c>
      <c s="14" r="L220">
        <f>(J220+K220)-(0.01*H220)</f>
        <v>122.20885</v>
      </c>
      <c s="23" r="M220">
        <f>G220*D220</f>
        <v>145.7</v>
      </c>
      <c s="70" r="N220">
        <f>L220-M220</f>
        <v>-23.49115</v>
      </c>
      <c s="29" r="O220">
        <f> (L220/M220) - 1</f>
        <v>-0.161229581331503</v>
      </c>
      <c s="70" r="P220">
        <f>M220</f>
        <v>145.7</v>
      </c>
      <c s="70" r="Q220">
        <f>L220/D220</f>
        <v>0.260018829787234</v>
      </c>
      <c t="s" s="10" r="R220">
        <v>200</v>
      </c>
      <c t="s" s="10" r="S220">
        <v>42</v>
      </c>
      <c s="10" r="T220">
        <v>0</v>
      </c>
      <c s="10" r="U220">
        <v>0</v>
      </c>
      <c s="10" r="V220">
        <v>0</v>
      </c>
      <c s="10" r="W220">
        <v>0</v>
      </c>
    </row>
    <row r="221">
      <c s="10" r="A221">
        <v>783</v>
      </c>
      <c s="40" r="B221">
        <v>41645</v>
      </c>
      <c s="71" r="C221">
        <v>0.958333333333333</v>
      </c>
      <c s="10" r="D221">
        <v>82</v>
      </c>
      <c t="s" s="10" r="E221">
        <v>352</v>
      </c>
      <c t="s" s="10" r="F221">
        <v>329</v>
      </c>
      <c s="16" r="G221">
        <v>6.7</v>
      </c>
      <c s="16" r="H221">
        <v>0</v>
      </c>
      <c s="42" r="I221">
        <v>530.07</v>
      </c>
      <c s="79" r="J221">
        <f>I221-SUMIF(Sellables!$A$2:$A$11482, $A221, Sellables!$E$2:$E$11482)</f>
        <v>352.36</v>
      </c>
      <c s="32" r="K221">
        <f>SUMIF(Sellables!$A$2:$A$11482, $A221, Sellables!$G$2:$G$11482)</f>
        <v>189.79428</v>
      </c>
      <c s="14" r="L221">
        <f>(J221+K221)-(0.01*H221)</f>
        <v>542.15428</v>
      </c>
      <c s="23" r="M221">
        <f>G221*D221</f>
        <v>549.4</v>
      </c>
      <c s="70" r="N221">
        <f>L221-M221</f>
        <v>-7.24572000000001</v>
      </c>
      <c s="29" r="O221">
        <f> (L221/M221) - 1</f>
        <v>-0.013188423734984</v>
      </c>
      <c s="70" r="P221">
        <f>M221</f>
        <v>549.4</v>
      </c>
      <c s="70" r="Q221">
        <f>L221/D221</f>
        <v>6.61163756097561</v>
      </c>
      <c t="s" s="10" r="R221">
        <v>182</v>
      </c>
      <c t="s" s="10" r="S221">
        <v>42</v>
      </c>
      <c s="10" r="T221">
        <v>0</v>
      </c>
      <c s="10" r="U221">
        <v>0</v>
      </c>
      <c s="10" r="V221">
        <v>6</v>
      </c>
      <c s="10" r="W221">
        <v>0</v>
      </c>
    </row>
    <row r="222">
      <c s="10" r="A222">
        <v>784</v>
      </c>
      <c s="40" r="B222">
        <v>41646</v>
      </c>
      <c s="71" r="C222">
        <v>0.583333333333333</v>
      </c>
      <c s="10" r="D222">
        <v>919</v>
      </c>
      <c t="s" s="10" r="E222">
        <v>56</v>
      </c>
      <c t="s" s="10" r="F222">
        <v>329</v>
      </c>
      <c s="16" r="G222">
        <v>0.71</v>
      </c>
      <c s="16" r="H222">
        <v>0</v>
      </c>
      <c s="42" r="I222">
        <v>419</v>
      </c>
      <c s="79" r="J222">
        <f>I222-SUMIF(Sellables!$A$2:$A$11482, $A222, Sellables!$E$2:$E$11482)</f>
        <v>272</v>
      </c>
      <c s="32" r="K222">
        <f>SUMIF(Sellables!$A$2:$A$11482, $A222, Sellables!$G$2:$G$11482)</f>
        <v>157.6281</v>
      </c>
      <c s="14" r="L222">
        <f>(J222+K222)-(0.01*H222)</f>
        <v>429.6281</v>
      </c>
      <c s="23" r="M222">
        <f>G222*D222</f>
        <v>652.49</v>
      </c>
      <c s="70" r="N222">
        <f>L222-M222</f>
        <v>-222.8619</v>
      </c>
      <c s="29" r="O222">
        <f> (L222/M222) - 1</f>
        <v>-0.341556039173014</v>
      </c>
      <c s="70" r="P222">
        <f>M222</f>
        <v>652.49</v>
      </c>
      <c s="70" r="Q222">
        <f>L222/D222</f>
        <v>0.46749521218716</v>
      </c>
      <c t="s" s="10" r="R222">
        <v>200</v>
      </c>
      <c t="s" s="10" r="S222">
        <v>42</v>
      </c>
      <c s="10" r="T222">
        <v>0</v>
      </c>
      <c s="10" r="U222">
        <v>0</v>
      </c>
      <c s="10" r="V222">
        <v>0</v>
      </c>
      <c s="10" r="W222">
        <v>0</v>
      </c>
    </row>
    <row r="223">
      <c s="10" r="A223">
        <v>788</v>
      </c>
      <c s="40" r="B223">
        <v>41646</v>
      </c>
      <c s="71" r="C223">
        <v>0.902777777777778</v>
      </c>
      <c s="10" r="D223">
        <v>29</v>
      </c>
      <c t="s" s="10" r="E223">
        <v>388</v>
      </c>
      <c t="s" s="10" r="F223">
        <v>323</v>
      </c>
      <c s="16" r="G223">
        <v>27.01</v>
      </c>
      <c s="16" r="H223">
        <v>0</v>
      </c>
      <c s="42" r="I223">
        <v>570.19</v>
      </c>
      <c s="79" r="J223">
        <f>I223-SUMIF(Sellables!$A$2:$A$11482, $A223, Sellables!$E$2:$E$11482)</f>
        <v>115.33</v>
      </c>
      <c s="32" r="K223">
        <f>SUMIF(Sellables!$A$2:$A$11482, $A223, Sellables!$G$2:$G$11482)</f>
        <v>1170.4582</v>
      </c>
      <c s="14" r="L223">
        <f>(J223+K223)-(0.01*H223)</f>
        <v>1285.7882</v>
      </c>
      <c s="23" r="M223">
        <f>G223*D223</f>
        <v>783.29</v>
      </c>
      <c s="70" r="N223">
        <f>L223-M223</f>
        <v>502.4982</v>
      </c>
      <c s="29" r="O223">
        <f> (L223/M223) - 1</f>
        <v>0.641522552311404</v>
      </c>
      <c s="70" r="P223">
        <f>M223</f>
        <v>783.29</v>
      </c>
      <c s="70" r="Q223">
        <f>L223/D223</f>
        <v>44.337524137931</v>
      </c>
      <c t="s" s="10" r="R223">
        <v>299</v>
      </c>
      <c t="s" s="10" r="S223">
        <v>65</v>
      </c>
      <c s="10" r="T223">
        <v>0</v>
      </c>
      <c s="10" r="U223">
        <v>0</v>
      </c>
      <c s="10" r="V223">
        <v>1</v>
      </c>
      <c s="10" r="W223">
        <v>0</v>
      </c>
    </row>
    <row r="224">
      <c s="10" r="A224">
        <v>789</v>
      </c>
      <c s="40" r="B224">
        <v>41646</v>
      </c>
      <c s="71" r="C224">
        <v>0.916666666666667</v>
      </c>
      <c s="10" r="D224">
        <v>2</v>
      </c>
      <c t="s" s="10" r="E224">
        <v>389</v>
      </c>
      <c t="s" s="10" r="F224">
        <v>323</v>
      </c>
      <c s="16" r="G224">
        <v>27.01</v>
      </c>
      <c s="16" r="H224">
        <v>0</v>
      </c>
      <c s="42" r="I224">
        <v>31.26</v>
      </c>
      <c s="79" r="J224">
        <f>I224-SUMIF(Sellables!$A$2:$A$11482, $A224, Sellables!$E$2:$E$11482)</f>
        <v>0</v>
      </c>
      <c s="32" r="K224">
        <f>SUMIF(Sellables!$A$2:$A$11482, $A224, Sellables!$G$2:$G$11482)</f>
        <v>43.498</v>
      </c>
      <c s="14" r="L224">
        <f>(J224+K224)-(0.01*H224)</f>
        <v>43.498</v>
      </c>
      <c s="23" r="M224">
        <f>G224*D224</f>
        <v>54.02</v>
      </c>
      <c s="70" r="N224">
        <f>L224-M224</f>
        <v>-10.522</v>
      </c>
      <c s="29" r="O224">
        <f> (L224/M224) - 1</f>
        <v>-0.194779711218067</v>
      </c>
      <c s="70" r="P224">
        <f>M224</f>
        <v>54.02</v>
      </c>
      <c s="70" r="Q224">
        <f>L224/D224</f>
        <v>21.749</v>
      </c>
      <c t="s" s="10" r="R224">
        <v>299</v>
      </c>
      <c t="s" s="10" r="S224">
        <v>65</v>
      </c>
      <c s="10" r="T224">
        <v>0</v>
      </c>
      <c s="10" r="U224">
        <v>0</v>
      </c>
      <c s="10" r="V224">
        <v>0</v>
      </c>
      <c s="10" r="W224">
        <v>0</v>
      </c>
    </row>
    <row r="225">
      <c s="10" r="A225">
        <v>790</v>
      </c>
      <c s="40" r="B225">
        <v>41646</v>
      </c>
      <c s="71" r="C225">
        <v>0.9375</v>
      </c>
      <c s="10" r="D225">
        <v>88</v>
      </c>
      <c t="s" s="10" r="E225">
        <v>390</v>
      </c>
      <c t="s" s="10" r="F225">
        <v>323</v>
      </c>
      <c s="16" r="G225">
        <v>0.137</v>
      </c>
      <c s="16" r="H225">
        <v>0</v>
      </c>
      <c s="42" r="I225">
        <v>8.22</v>
      </c>
      <c s="79" r="J225">
        <f>I225-SUMIF(Sellables!$A$2:$A$11482, $A225, Sellables!$E$2:$E$11482)</f>
        <v>2.0449</v>
      </c>
      <c s="32" r="K225">
        <f>SUMIF(Sellables!$A$2:$A$11482, $A225, Sellables!$G$2:$G$11482)</f>
        <v>10.143858</v>
      </c>
      <c s="14" r="L225">
        <f>(J225+K225)-(0.01*H225)</f>
        <v>12.188758</v>
      </c>
      <c s="23" r="M225">
        <f>G225*D225</f>
        <v>12.056</v>
      </c>
      <c s="70" r="N225">
        <f>L225-M225</f>
        <v>0.132757999999999</v>
      </c>
      <c s="29" r="O225">
        <f> (L225/M225) - 1</f>
        <v>0.011011778367618</v>
      </c>
      <c s="70" r="P225">
        <f>M225</f>
        <v>12.056</v>
      </c>
      <c s="70" r="Q225">
        <f>L225/D225</f>
        <v>0.138508613636364</v>
      </c>
      <c t="s" s="10" r="R225">
        <v>299</v>
      </c>
      <c t="s" s="10" r="S225">
        <v>65</v>
      </c>
      <c s="10" r="T225">
        <v>0</v>
      </c>
      <c s="10" r="U225">
        <v>0</v>
      </c>
      <c s="10" r="V225">
        <v>0</v>
      </c>
      <c s="10" r="W225">
        <v>0</v>
      </c>
    </row>
    <row r="226">
      <c s="10" r="A226">
        <v>792</v>
      </c>
      <c s="40" r="B226">
        <v>41647</v>
      </c>
      <c s="71" r="C226">
        <v>0.395833333333333</v>
      </c>
      <c s="10" r="D226">
        <v>640</v>
      </c>
      <c t="s" s="10" r="E226">
        <v>56</v>
      </c>
      <c t="s" s="10" r="F226">
        <v>323</v>
      </c>
      <c s="16" r="G226">
        <v>0.71</v>
      </c>
      <c s="16" r="H226">
        <v>0</v>
      </c>
      <c s="42" r="I226">
        <v>431.19</v>
      </c>
      <c s="79" r="J226">
        <f>I226-SUMIF(Sellables!$A$2:$A$11482, $A226, Sellables!$E$2:$E$11482)</f>
        <v>264.39</v>
      </c>
      <c s="32" r="K226">
        <f>SUMIF(Sellables!$A$2:$A$11482, $A226, Sellables!$G$2:$G$11482)</f>
        <v>175.14</v>
      </c>
      <c s="14" r="L226">
        <f>(J226+K226)-(0.01*H226)</f>
        <v>439.53</v>
      </c>
      <c s="23" r="M226">
        <f>G226*D226</f>
        <v>454.4</v>
      </c>
      <c s="70" r="N226">
        <f>L226-M226</f>
        <v>-14.87</v>
      </c>
      <c s="29" r="O226">
        <f> (L226/M226) - 1</f>
        <v>-0.032724471830986</v>
      </c>
      <c s="70" r="P226">
        <f>M226</f>
        <v>454.4</v>
      </c>
      <c s="70" r="Q226">
        <f>L226/D226</f>
        <v>0.686765625</v>
      </c>
      <c t="s" s="10" r="R226">
        <v>299</v>
      </c>
      <c t="s" s="10" r="S226">
        <v>65</v>
      </c>
      <c s="10" r="T226">
        <v>0</v>
      </c>
      <c s="10" r="U226">
        <v>0</v>
      </c>
      <c s="10" r="V226">
        <v>1</v>
      </c>
      <c s="10" r="W226">
        <v>0</v>
      </c>
    </row>
    <row r="227">
      <c s="10" r="A227">
        <v>793</v>
      </c>
      <c s="40" r="B227">
        <v>41647</v>
      </c>
      <c s="71" r="C227">
        <v>0.427083333333333</v>
      </c>
      <c s="10" r="D227">
        <v>1311</v>
      </c>
      <c t="s" s="10" r="E227">
        <v>390</v>
      </c>
      <c t="s" s="10" r="F227">
        <v>323</v>
      </c>
      <c s="16" r="G227">
        <v>0.137</v>
      </c>
      <c s="16" r="H227">
        <v>0</v>
      </c>
      <c s="42" r="I227">
        <v>146.49</v>
      </c>
      <c s="79" r="J227">
        <f>I227-SUMIF(Sellables!$A$2:$A$11482, $A227, Sellables!$E$2:$E$11482)</f>
        <v>27.0173</v>
      </c>
      <c s="32" r="K227">
        <f>SUMIF(Sellables!$A$2:$A$11482, $A227, Sellables!$G$2:$G$11482)</f>
        <v>172.62247</v>
      </c>
      <c s="14" r="L227">
        <f>(J227+K227)-(0.01*H227)</f>
        <v>199.63977</v>
      </c>
      <c s="23" r="M227">
        <f>G227*D227</f>
        <v>179.607</v>
      </c>
      <c s="70" r="N227">
        <f>L227-M227</f>
        <v>20.03277</v>
      </c>
      <c s="29" r="O227">
        <f> (L227/M227) - 1</f>
        <v>0.11153668843642</v>
      </c>
      <c s="70" r="P227">
        <f>M227</f>
        <v>179.607</v>
      </c>
      <c s="70" r="Q227">
        <f>L227/D227</f>
        <v>0.15228052631579</v>
      </c>
      <c t="s" s="10" r="R227">
        <v>299</v>
      </c>
      <c t="s" s="10" r="S227">
        <v>65</v>
      </c>
      <c s="10" r="T227">
        <v>0</v>
      </c>
      <c s="10" r="U227">
        <v>1</v>
      </c>
      <c s="10" r="V227">
        <v>0</v>
      </c>
      <c s="10" r="W227">
        <v>0</v>
      </c>
    </row>
    <row r="228">
      <c s="10" r="A228">
        <v>794</v>
      </c>
      <c s="40" r="B228">
        <v>41647</v>
      </c>
      <c s="71" r="C228">
        <v>0.5</v>
      </c>
      <c s="10" r="D228">
        <v>233</v>
      </c>
      <c t="s" s="10" r="E228">
        <v>391</v>
      </c>
      <c t="s" s="10" r="F228">
        <v>329</v>
      </c>
      <c s="16" r="G228">
        <v>1.8</v>
      </c>
      <c s="16" r="H228">
        <v>0</v>
      </c>
      <c s="42" r="I228">
        <v>346</v>
      </c>
      <c s="79" r="J228">
        <f>I228-SUMIF(Sellables!$A$2:$A$11482, $A228, Sellables!$E$2:$E$11482)</f>
        <v>251.3</v>
      </c>
      <c s="32" r="K228">
        <f>SUMIF(Sellables!$A$2:$A$11482, $A228, Sellables!$G$2:$G$11482)</f>
        <v>261.12892</v>
      </c>
      <c s="14" r="L228">
        <f>(J228+K228)-(0.01*H228)</f>
        <v>512.42892</v>
      </c>
      <c s="23" r="M228">
        <f>G228*D228</f>
        <v>419.4</v>
      </c>
      <c s="70" r="N228">
        <f>L228-M228</f>
        <v>93.02892</v>
      </c>
      <c s="29" r="O228">
        <f> (L228/M228) - 1</f>
        <v>0.221814306151645</v>
      </c>
      <c s="70" r="P228">
        <f>M228</f>
        <v>419.4</v>
      </c>
      <c s="70" r="Q228">
        <f>L228/D228</f>
        <v>2.19926575107296</v>
      </c>
      <c t="s" s="10" r="R228">
        <v>299</v>
      </c>
      <c t="s" s="10" r="S228">
        <v>65</v>
      </c>
      <c s="10" r="T228">
        <v>0</v>
      </c>
      <c s="10" r="U228">
        <v>0</v>
      </c>
      <c s="10" r="V228">
        <v>0</v>
      </c>
      <c s="10" r="W228">
        <v>0</v>
      </c>
    </row>
    <row r="229">
      <c s="10" r="A229">
        <v>795</v>
      </c>
      <c s="40" r="B229">
        <v>41647</v>
      </c>
      <c s="71" r="C229">
        <v>0.583333333333333</v>
      </c>
      <c s="10" r="D229">
        <v>51</v>
      </c>
      <c t="s" s="10" r="E229">
        <v>392</v>
      </c>
      <c t="s" s="10" r="F229">
        <v>329</v>
      </c>
      <c s="16" r="G229">
        <v>6.55</v>
      </c>
      <c s="16" r="H229">
        <v>0</v>
      </c>
      <c s="42" r="I229">
        <v>305.59</v>
      </c>
      <c s="79" r="J229">
        <f>I229-SUMIF(Sellables!$A$2:$A$11482, $A229, Sellables!$E$2:$E$11482)</f>
        <v>145.15</v>
      </c>
      <c s="32" r="K229">
        <f>SUMIF(Sellables!$A$2:$A$11482, $A229, Sellables!$G$2:$G$11482)</f>
        <v>190.51299</v>
      </c>
      <c s="14" r="L229">
        <f>(J229+K229)-(0.01*H229)</f>
        <v>335.66299</v>
      </c>
      <c s="23" r="M229">
        <f>G229*D229</f>
        <v>334.05</v>
      </c>
      <c s="70" r="N229">
        <f>L229-M229</f>
        <v>1.61298999999991</v>
      </c>
      <c s="29" r="O229">
        <f> (L229/M229) - 1</f>
        <v>0.00482858853465</v>
      </c>
      <c s="70" r="P229">
        <f>M229</f>
        <v>334.05</v>
      </c>
      <c s="70" r="Q229">
        <f>L229/D229</f>
        <v>6.58162725490196</v>
      </c>
      <c t="s" s="10" r="R229">
        <v>299</v>
      </c>
      <c t="s" s="10" r="S229">
        <v>65</v>
      </c>
      <c s="10" r="T229">
        <v>0</v>
      </c>
      <c s="10" r="U229">
        <v>0</v>
      </c>
      <c s="10" r="V229">
        <v>2</v>
      </c>
      <c s="10" r="W229">
        <v>0</v>
      </c>
    </row>
    <row r="230">
      <c s="10" r="A230">
        <v>796</v>
      </c>
      <c s="40" r="B230">
        <v>41647</v>
      </c>
      <c s="71" r="C230">
        <v>0.625</v>
      </c>
      <c s="10" r="D230">
        <v>371</v>
      </c>
      <c t="s" s="10" r="E230">
        <v>258</v>
      </c>
      <c t="s" s="10" r="F230">
        <v>323</v>
      </c>
      <c s="16" r="G230">
        <v>1.26</v>
      </c>
      <c s="16" r="H230">
        <v>0</v>
      </c>
      <c s="42" r="I230">
        <v>348.21</v>
      </c>
      <c s="79" r="J230">
        <f>I230-SUMIF(Sellables!$A$2:$A$11482, $A230, Sellables!$E$2:$E$11482)</f>
        <v>260.53</v>
      </c>
      <c s="32" r="K230">
        <f>SUMIF(Sellables!$A$2:$A$11482, $A230, Sellables!$G$2:$G$11482)</f>
        <v>93.64224</v>
      </c>
      <c s="14" r="L230">
        <f>(J230+K230)-(0.01*H230)</f>
        <v>354.17224</v>
      </c>
      <c s="23" r="M230">
        <f>G230*D230</f>
        <v>467.46</v>
      </c>
      <c s="70" r="N230">
        <f>L230-M230</f>
        <v>-113.28776</v>
      </c>
      <c s="29" r="O230">
        <f> (L230/M230) - 1</f>
        <v>-0.242347494972832</v>
      </c>
      <c s="70" r="P230">
        <f>M230</f>
        <v>467.46</v>
      </c>
      <c s="70" r="Q230">
        <f>L230/D230</f>
        <v>0.954642156334232</v>
      </c>
      <c t="s" s="10" r="R230">
        <v>299</v>
      </c>
      <c t="s" s="10" r="S230">
        <v>65</v>
      </c>
      <c s="10" r="T230">
        <v>0</v>
      </c>
      <c s="10" r="U230">
        <v>0</v>
      </c>
      <c s="10" r="V230">
        <v>2</v>
      </c>
      <c s="10" r="W230">
        <v>0</v>
      </c>
    </row>
    <row r="231">
      <c s="10" r="A231">
        <v>797</v>
      </c>
      <c s="40" r="B231">
        <v>41647</v>
      </c>
      <c s="71" r="C231">
        <v>0.645833333333333</v>
      </c>
      <c s="10" r="D231">
        <v>315</v>
      </c>
      <c t="s" s="10" r="E231">
        <v>327</v>
      </c>
      <c t="s" s="10" r="F231">
        <v>323</v>
      </c>
      <c s="16" r="G231">
        <v>0.24</v>
      </c>
      <c s="16" r="H231">
        <v>0</v>
      </c>
      <c s="42" r="I231">
        <v>71.58</v>
      </c>
      <c s="79" r="J231">
        <f>I231-SUMIF(Sellables!$A$2:$A$11482, $A231, Sellables!$E$2:$E$11482)</f>
        <v>14.42</v>
      </c>
      <c s="32" r="K231">
        <f>SUMIF(Sellables!$A$2:$A$11482, $A231, Sellables!$G$2:$G$11482)</f>
        <v>70.18608</v>
      </c>
      <c s="14" r="L231">
        <f>(J231+K231)-(0.01*H231)</f>
        <v>84.60608</v>
      </c>
      <c s="23" r="M231">
        <f>G231*D231</f>
        <v>75.6</v>
      </c>
      <c s="70" r="N231">
        <f>L231-M231</f>
        <v>9.00608000000001</v>
      </c>
      <c s="29" r="O231">
        <f> (L231/M231) - 1</f>
        <v>0.119128042328043</v>
      </c>
      <c s="70" r="P231">
        <f>M231</f>
        <v>75.6</v>
      </c>
      <c s="70" r="Q231">
        <f>L231/D231</f>
        <v>0.26859073015873</v>
      </c>
      <c t="s" s="10" r="R231">
        <v>299</v>
      </c>
      <c t="s" s="10" r="S231">
        <v>65</v>
      </c>
      <c s="10" r="T231">
        <v>0</v>
      </c>
      <c s="10" r="U231">
        <v>0</v>
      </c>
      <c s="10" r="V231">
        <v>0</v>
      </c>
      <c s="10" r="W231">
        <v>0</v>
      </c>
    </row>
    <row r="232">
      <c s="10" r="A232">
        <v>798</v>
      </c>
      <c s="40" r="B232">
        <v>41647</v>
      </c>
      <c s="71" r="C232">
        <v>0.666666666666667</v>
      </c>
      <c s="10" r="D232">
        <v>275</v>
      </c>
      <c t="s" s="10" r="E232">
        <v>385</v>
      </c>
      <c t="s" s="10" r="F232">
        <v>323</v>
      </c>
      <c s="16" r="G232">
        <v>0.13</v>
      </c>
      <c s="16" r="H232">
        <v>0</v>
      </c>
      <c s="42" r="I232">
        <v>39.19</v>
      </c>
      <c s="79" r="J232">
        <f>I232-SUMIF(Sellables!$A$2:$A$11482, $A232, Sellables!$E$2:$E$11482)</f>
        <v>24.18</v>
      </c>
      <c s="32" r="K232">
        <f>SUMIF(Sellables!$A$2:$A$11482, $A232, Sellables!$G$2:$G$11482)</f>
        <v>16.01046</v>
      </c>
      <c s="14" r="L232">
        <f>(J232+K232)-(0.01*H232)</f>
        <v>40.19046</v>
      </c>
      <c s="23" r="M232">
        <f>G232*D232</f>
        <v>35.75</v>
      </c>
      <c s="70" r="N232">
        <f>L232-M232</f>
        <v>4.44046</v>
      </c>
      <c s="29" r="O232">
        <f> (L232/M232) - 1</f>
        <v>0.124208671328671</v>
      </c>
      <c s="70" r="P232">
        <f>M232</f>
        <v>35.75</v>
      </c>
      <c s="70" r="Q232">
        <f>L232/D232</f>
        <v>0.146147127272727</v>
      </c>
      <c t="s" s="10" r="R232">
        <v>299</v>
      </c>
      <c t="s" s="10" r="S232">
        <v>65</v>
      </c>
      <c s="10" r="T232">
        <v>0</v>
      </c>
      <c s="10" r="U232">
        <v>0</v>
      </c>
      <c s="10" r="V232">
        <v>0</v>
      </c>
      <c s="10" r="W232">
        <v>0</v>
      </c>
    </row>
    <row r="233">
      <c s="10" r="A233">
        <v>801</v>
      </c>
      <c s="40" r="B233">
        <v>41647</v>
      </c>
      <c s="71" r="C233">
        <v>0.788194444444444</v>
      </c>
      <c s="10" r="D233">
        <v>28</v>
      </c>
      <c t="s" s="10" r="E233">
        <v>393</v>
      </c>
      <c t="s" s="10" r="F233">
        <v>323</v>
      </c>
      <c s="16" r="G233">
        <v>2.64</v>
      </c>
      <c s="16" r="H233">
        <v>0</v>
      </c>
      <c s="42" r="I233">
        <v>45.17</v>
      </c>
      <c s="79" r="J233">
        <f>I233-SUMIF(Sellables!$A$2:$A$11482, $A233, Sellables!$E$2:$E$11482)</f>
        <v>15.99</v>
      </c>
      <c s="32" r="K233">
        <f>SUMIF(Sellables!$A$2:$A$11482, $A233, Sellables!$G$2:$G$11482)</f>
        <v>34.73844</v>
      </c>
      <c s="14" r="L233">
        <f>(J233+K233)-(0.01*H233)</f>
        <v>50.72844</v>
      </c>
      <c s="23" r="M233">
        <f>G233*D233</f>
        <v>73.92</v>
      </c>
      <c s="70" r="N233">
        <f>L233-M233</f>
        <v>-23.19156</v>
      </c>
      <c s="29" r="O233">
        <f> (L233/M233) - 1</f>
        <v>-0.313738636363636</v>
      </c>
      <c s="70" r="P233">
        <f>M233</f>
        <v>73.92</v>
      </c>
      <c s="70" r="Q233">
        <f>L233/D233</f>
        <v>1.81173</v>
      </c>
      <c t="s" s="10" r="R233">
        <v>299</v>
      </c>
      <c t="s" s="10" r="S233">
        <v>65</v>
      </c>
      <c s="10" r="T233">
        <v>0</v>
      </c>
      <c s="10" r="U233">
        <v>0</v>
      </c>
      <c s="10" r="V233">
        <v>0</v>
      </c>
      <c s="10" r="W233">
        <v>0</v>
      </c>
    </row>
    <row r="234">
      <c s="10" r="A234">
        <v>803</v>
      </c>
      <c s="40" r="B234">
        <v>41647</v>
      </c>
      <c s="71" r="C234">
        <v>0.868055555555556</v>
      </c>
      <c s="10" r="D234">
        <v>61</v>
      </c>
      <c t="s" s="10" r="E234">
        <v>388</v>
      </c>
      <c t="s" s="10" r="F234">
        <v>323</v>
      </c>
      <c s="16" r="G234">
        <v>27.01</v>
      </c>
      <c s="16" r="H234">
        <v>0</v>
      </c>
      <c s="42" r="I234">
        <v>1635.13</v>
      </c>
      <c s="79" r="J234">
        <f>I234-SUMIF(Sellables!$A$2:$A$11482, $A234, Sellables!$E$2:$E$11482)</f>
        <v>1133.92</v>
      </c>
      <c s="32" r="K234">
        <f>SUMIF(Sellables!$A$2:$A$11482, $A234, Sellables!$G$2:$G$11482)</f>
        <v>869.97068</v>
      </c>
      <c s="14" r="L234">
        <f>(J234+K234)-(0.01*H234)</f>
        <v>2003.89068</v>
      </c>
      <c s="23" r="M234">
        <f>G234*D234</f>
        <v>1647.61</v>
      </c>
      <c s="70" r="N234">
        <f>L234-M234</f>
        <v>356.28068</v>
      </c>
      <c s="29" r="O234">
        <f> (L234/M234) - 1</f>
        <v>0.216240906525209</v>
      </c>
      <c s="70" r="P234">
        <f>M234</f>
        <v>1647.61</v>
      </c>
      <c s="70" r="Q234">
        <f>L234/D234</f>
        <v>32.8506668852459</v>
      </c>
      <c t="s" s="10" r="R234">
        <v>299</v>
      </c>
      <c t="s" s="10" r="S234">
        <v>65</v>
      </c>
      <c s="10" r="T234">
        <v>0</v>
      </c>
      <c s="10" r="U234">
        <v>0</v>
      </c>
      <c s="10" r="V234">
        <v>7</v>
      </c>
      <c s="10" r="W234">
        <v>0</v>
      </c>
    </row>
    <row r="235">
      <c s="10" r="A235">
        <v>806</v>
      </c>
      <c s="40" r="B235">
        <v>41647</v>
      </c>
      <c s="71" r="C235">
        <v>0.989583333333333</v>
      </c>
      <c s="10" r="D235">
        <v>88</v>
      </c>
      <c t="s" s="10" r="E235">
        <v>394</v>
      </c>
      <c t="s" s="10" r="F235">
        <v>323</v>
      </c>
      <c s="16" r="G235">
        <v>1.52</v>
      </c>
      <c s="16" r="H235">
        <v>0</v>
      </c>
      <c s="42" r="I235">
        <v>91.29</v>
      </c>
      <c s="79" r="J235">
        <f>I235-SUMIF(Sellables!$A$2:$A$11482, $A235, Sellables!$E$2:$E$11482)</f>
        <v>74.35</v>
      </c>
      <c s="32" r="K235">
        <f>SUMIF(Sellables!$A$2:$A$11482, $A235, Sellables!$G$2:$G$11482)</f>
        <v>18.08268</v>
      </c>
      <c s="14" r="L235">
        <f>(J235+K235)-(0.01*H235)</f>
        <v>92.43268</v>
      </c>
      <c s="23" r="M235">
        <f>G235*D235</f>
        <v>133.76</v>
      </c>
      <c s="70" r="N235">
        <f>L235-M235</f>
        <v>-41.32732</v>
      </c>
      <c s="29" r="O235">
        <f> (L235/M235) - 1</f>
        <v>-0.308966208133971</v>
      </c>
      <c s="70" r="P235">
        <f>M235</f>
        <v>133.76</v>
      </c>
      <c s="70" r="Q235">
        <f>L235/D235</f>
        <v>1.05037136363636</v>
      </c>
      <c t="s" s="10" r="R235">
        <v>299</v>
      </c>
      <c t="s" s="10" r="S235">
        <v>65</v>
      </c>
      <c s="10" r="T235">
        <v>0</v>
      </c>
      <c s="10" r="U235">
        <v>0</v>
      </c>
      <c s="10" r="V235">
        <v>0</v>
      </c>
      <c s="10" r="W235">
        <v>0</v>
      </c>
    </row>
    <row r="236">
      <c s="10" r="A236">
        <v>807</v>
      </c>
      <c s="40" r="B236">
        <v>41648</v>
      </c>
      <c s="71" r="C236">
        <v>0.583333333333333</v>
      </c>
      <c s="10" r="D236">
        <v>515</v>
      </c>
      <c t="s" s="10" r="E236">
        <v>56</v>
      </c>
      <c t="s" s="10" r="F236">
        <v>323</v>
      </c>
      <c s="16" r="G236">
        <v>0.71</v>
      </c>
      <c s="16" r="H236">
        <v>0</v>
      </c>
      <c s="42" r="I236">
        <v>360.29</v>
      </c>
      <c s="79" r="J236">
        <f>I236-SUMIF(Sellables!$A$2:$A$11482, $A236, Sellables!$E$2:$E$11482)</f>
        <v>267.89</v>
      </c>
      <c s="32" r="K236">
        <f>SUMIF(Sellables!$A$2:$A$11482, $A236, Sellables!$G$2:$G$11482)</f>
        <v>98.99736</v>
      </c>
      <c s="14" r="L236">
        <f>(J236+K236)-(0.01*H236)</f>
        <v>366.88736</v>
      </c>
      <c s="23" r="M236">
        <f>G236*D236</f>
        <v>365.65</v>
      </c>
      <c s="70" r="N236">
        <f>L236-M236</f>
        <v>1.23736000000008</v>
      </c>
      <c s="29" r="O236">
        <f> (L236/M236) - 1</f>
        <v>0.003384001093943</v>
      </c>
      <c s="70" r="P236">
        <f>M236</f>
        <v>365.65</v>
      </c>
      <c s="70" r="Q236">
        <f>L236/D236</f>
        <v>0.712402640776699</v>
      </c>
      <c t="s" s="10" r="R236">
        <v>299</v>
      </c>
      <c t="s" s="10" r="S236">
        <v>65</v>
      </c>
      <c s="10" r="T236">
        <v>0</v>
      </c>
      <c s="10" r="U236">
        <v>0</v>
      </c>
      <c s="10" r="V236">
        <v>1</v>
      </c>
      <c s="10" r="W236">
        <v>0</v>
      </c>
    </row>
    <row r="237">
      <c s="10" r="A237">
        <v>809</v>
      </c>
      <c s="40" r="B237">
        <v>41648</v>
      </c>
      <c s="71" r="C237">
        <v>0.826388888888889</v>
      </c>
      <c s="10" r="D237">
        <v>206</v>
      </c>
      <c t="s" s="10" r="E237">
        <v>385</v>
      </c>
      <c t="s" s="10" r="F237">
        <v>323</v>
      </c>
      <c s="16" r="G237">
        <v>0.16</v>
      </c>
      <c s="16" r="H237">
        <v>0</v>
      </c>
      <c s="42" r="I237">
        <v>22.42</v>
      </c>
      <c s="79" r="J237">
        <f>I237-SUMIF(Sellables!$A$2:$A$11482, $A237, Sellables!$E$2:$E$11482)</f>
        <v>1.74</v>
      </c>
      <c s="32" r="K237">
        <f>SUMIF(Sellables!$A$2:$A$11482, $A237, Sellables!$G$2:$G$11482)</f>
        <v>29.61465</v>
      </c>
      <c s="14" r="L237">
        <f>(J237+K237)-(0.01*H237)</f>
        <v>31.35465</v>
      </c>
      <c s="23" r="M237">
        <f>G237*D237</f>
        <v>32.96</v>
      </c>
      <c s="70" r="N237">
        <f>L237-M237</f>
        <v>-1.60535</v>
      </c>
      <c s="29" r="O237">
        <f> (L237/M237) - 1</f>
        <v>-0.048706007281553</v>
      </c>
      <c s="70" r="P237">
        <f>M237</f>
        <v>32.96</v>
      </c>
      <c s="70" r="Q237">
        <f>L237/D237</f>
        <v>0.152207038834951</v>
      </c>
      <c t="s" s="10" r="R237">
        <v>299</v>
      </c>
      <c t="s" s="10" r="S237">
        <v>65</v>
      </c>
      <c s="10" r="T237">
        <v>0</v>
      </c>
      <c s="10" r="U237">
        <v>0</v>
      </c>
      <c s="10" r="V237">
        <v>0</v>
      </c>
      <c s="10" r="W237">
        <v>0</v>
      </c>
    </row>
    <row r="238">
      <c s="10" r="A238">
        <v>810</v>
      </c>
      <c s="40" r="B238">
        <v>41648</v>
      </c>
      <c s="71" r="C238">
        <v>0.840277777777778</v>
      </c>
      <c s="10" r="D238">
        <v>57</v>
      </c>
      <c t="s" s="10" r="E238">
        <v>395</v>
      </c>
      <c t="s" s="10" r="F238">
        <v>323</v>
      </c>
      <c s="16" r="G238">
        <v>0.46</v>
      </c>
      <c s="16" r="H238">
        <v>0</v>
      </c>
      <c s="42" r="I238">
        <v>21.47</v>
      </c>
      <c s="32" r="J238">
        <f>I238-SUMIF(Sellables!$A$2:$A$11482, $A238, Sellables!$E$2:$E$11482)</f>
        <v>11.68</v>
      </c>
      <c s="32" r="K238">
        <f>SUMIF(Sellables!$A$2:$A$11482, $A238, Sellables!$G$2:$G$11482)</f>
        <v>10.43817</v>
      </c>
      <c s="14" r="L238">
        <f>(J238+K238)-(0.01*H238)</f>
        <v>22.11817</v>
      </c>
      <c s="23" r="M238">
        <f>G238*D238</f>
        <v>26.22</v>
      </c>
      <c s="70" r="N238">
        <f>L238-M238</f>
        <v>-4.10183</v>
      </c>
      <c s="29" r="O238">
        <f> (L238/M238) - 1</f>
        <v>-0.156438977879481</v>
      </c>
      <c s="70" r="P238">
        <f>M238</f>
        <v>26.22</v>
      </c>
      <c s="70" r="Q238">
        <f>L238/D238</f>
        <v>0.388038070175439</v>
      </c>
      <c t="s" s="10" r="R238">
        <v>299</v>
      </c>
      <c t="s" s="10" r="S238">
        <v>65</v>
      </c>
      <c s="10" r="T238">
        <v>0</v>
      </c>
      <c s="10" r="U238">
        <v>0</v>
      </c>
      <c s="10" r="V238">
        <v>0</v>
      </c>
      <c s="10" r="W238">
        <v>0</v>
      </c>
    </row>
    <row r="239">
      <c s="10" r="A239">
        <v>813</v>
      </c>
      <c s="40" r="B239">
        <v>41649</v>
      </c>
      <c s="71" r="C239">
        <v>0.583333333333333</v>
      </c>
      <c s="10" r="D239">
        <f>464+585</f>
        <v>1049</v>
      </c>
      <c t="s" s="10" r="E239">
        <v>56</v>
      </c>
      <c t="s" s="10" r="F239">
        <v>323</v>
      </c>
      <c s="16" r="G239">
        <v>0.71</v>
      </c>
      <c s="16" r="H239">
        <v>0</v>
      </c>
      <c s="42" r="I239">
        <f>246.63+457.01</f>
        <v>703.64</v>
      </c>
      <c s="32" r="J239">
        <f>I239-SUMIF(Sellables!$A$2:$A$11482, $A239, Sellables!$E$2:$E$11482)</f>
        <v>525.43</v>
      </c>
      <c s="32" r="K239">
        <f>SUMIF(Sellables!$A$2:$A$11482, $A239, Sellables!$G$2:$G$11482)</f>
        <v>212.29026</v>
      </c>
      <c s="14" r="L239">
        <f>(J239+K239)-(0.01*H239)</f>
        <v>737.72026</v>
      </c>
      <c s="23" r="M239">
        <f>G239*D239</f>
        <v>744.79</v>
      </c>
      <c s="70" r="N239">
        <f>L239-M239</f>
        <v>-7.06973999999991</v>
      </c>
      <c s="29" r="O239">
        <f> (L239/M239) - 1</f>
        <v>-0.009492259563098</v>
      </c>
      <c s="70" r="P239">
        <f>M239</f>
        <v>744.79</v>
      </c>
      <c s="70" r="Q239">
        <f>L239/D239</f>
        <v>0.7032604957102</v>
      </c>
      <c t="s" s="10" r="R239">
        <v>200</v>
      </c>
      <c t="s" s="10" r="S239">
        <v>65</v>
      </c>
      <c s="10" r="T239">
        <v>0</v>
      </c>
      <c s="10" r="U239">
        <v>0</v>
      </c>
      <c s="10" r="V239">
        <v>1</v>
      </c>
      <c s="10" r="W239">
        <v>0</v>
      </c>
    </row>
    <row r="240">
      <c s="10" r="A240">
        <v>814</v>
      </c>
      <c s="40" r="B240">
        <v>41649</v>
      </c>
      <c s="71" r="C240">
        <v>0.760416666666667</v>
      </c>
      <c s="10" r="D240">
        <v>851</v>
      </c>
      <c t="s" s="10" r="E240">
        <v>390</v>
      </c>
      <c t="s" s="10" r="F240">
        <v>323</v>
      </c>
      <c s="16" r="G240">
        <v>0.137</v>
      </c>
      <c s="16" r="H240">
        <v>0</v>
      </c>
      <c s="42" r="I240">
        <v>100.61</v>
      </c>
      <c s="79" r="J240">
        <f>I240-SUMIF(Sellables!$A$2:$A$11482, $A240, Sellables!$E$2:$E$11482)</f>
        <v>19.0003</v>
      </c>
      <c s="32" r="K240">
        <f>SUMIF(Sellables!$A$2:$A$11482, $A240, Sellables!$G$2:$G$11482)</f>
        <v>120.45353</v>
      </c>
      <c s="14" r="L240">
        <f>(J240+K240)-(0.01*H240)</f>
        <v>139.45383</v>
      </c>
      <c s="23" r="M240">
        <f>G240*D240</f>
        <v>116.587</v>
      </c>
      <c s="70" r="N240">
        <f>L240-M240</f>
        <v>22.86683</v>
      </c>
      <c s="29" r="O240">
        <f> (L240/M240) - 1</f>
        <v>0.196135332412704</v>
      </c>
      <c s="70" r="P240">
        <f>M240</f>
        <v>116.587</v>
      </c>
      <c s="70" r="Q240">
        <f>L240/D240</f>
        <v>0.16387054054054</v>
      </c>
      <c t="s" s="10" r="R240">
        <v>299</v>
      </c>
      <c t="s" s="10" r="S240">
        <v>65</v>
      </c>
      <c s="10" r="T240">
        <v>0</v>
      </c>
      <c s="10" r="U240">
        <v>1</v>
      </c>
      <c s="10" r="V240">
        <v>0</v>
      </c>
      <c s="10" r="W240">
        <v>0</v>
      </c>
    </row>
    <row r="241">
      <c s="10" r="A241">
        <v>821</v>
      </c>
      <c s="40" r="B241">
        <v>41650</v>
      </c>
      <c s="71" r="C241">
        <v>0.670138888888889</v>
      </c>
      <c s="10" r="D241">
        <v>1389</v>
      </c>
      <c t="s" s="10" r="E241">
        <v>56</v>
      </c>
      <c t="s" s="10" r="F241">
        <v>323</v>
      </c>
      <c s="16" r="G241">
        <v>0.71</v>
      </c>
      <c s="16" r="H241">
        <v>0</v>
      </c>
      <c s="42" r="I241">
        <v>1246.86</v>
      </c>
      <c s="79" r="J241">
        <f>I241-SUMIF(Sellables!$A$2:$A$11482, $A241, Sellables!$E$2:$E$11482)</f>
        <v>986.16</v>
      </c>
      <c s="32" r="K241">
        <f>SUMIF(Sellables!$A$2:$A$11482, $A241, Sellables!$G$2:$G$11482)</f>
        <v>260.7</v>
      </c>
      <c s="14" r="L241">
        <f>(J241+K241)-(0.01*H241)</f>
        <v>1246.86</v>
      </c>
      <c s="23" r="M241">
        <f>G241*D241</f>
        <v>986.19</v>
      </c>
      <c s="70" r="N241">
        <f>L241-M241</f>
        <v>260.67</v>
      </c>
      <c s="29" r="O241">
        <f> (L241/M241) - 1</f>
        <v>0.264320262829678</v>
      </c>
      <c s="70" r="P241">
        <f>M241</f>
        <v>986.19</v>
      </c>
      <c s="70" r="Q241">
        <f>L241/D241</f>
        <v>0.897667386609071</v>
      </c>
      <c t="s" s="10" r="R241">
        <v>299</v>
      </c>
      <c t="s" s="10" r="S241">
        <v>65</v>
      </c>
      <c s="10" r="T241">
        <v>0</v>
      </c>
      <c s="10" r="U241">
        <v>1</v>
      </c>
      <c s="10" r="V241">
        <v>4</v>
      </c>
      <c s="10" r="W241">
        <v>0</v>
      </c>
    </row>
    <row r="242">
      <c s="10" r="A242">
        <v>822</v>
      </c>
      <c s="40" r="B242">
        <v>41650</v>
      </c>
      <c s="71" r="C242">
        <v>0.754861111111111</v>
      </c>
      <c s="68" r="D242">
        <v>18</v>
      </c>
      <c t="s" s="68" r="E242">
        <v>386</v>
      </c>
      <c t="s" s="10" r="F242">
        <v>329</v>
      </c>
      <c s="16" r="G242">
        <v>8.6</v>
      </c>
      <c s="16" r="H242">
        <v>0</v>
      </c>
      <c s="42" r="I242">
        <v>6.2</v>
      </c>
      <c s="32" r="J242">
        <f>I242-SUMIF(Sellables!$A$2:$A$11482, $A242, Sellables!$E$2:$E$11482)</f>
        <v>6.2</v>
      </c>
      <c s="32" r="K242">
        <f>SUMIF(Sellables!$A$2:$A$11482, $A242, Sellables!$G$2:$G$11482)</f>
        <v>0</v>
      </c>
      <c s="14" r="L242">
        <f>(J242+K242)-H242</f>
        <v>6.2</v>
      </c>
      <c s="23" r="M242">
        <f>G242*D242</f>
        <v>154.8</v>
      </c>
      <c s="70" r="N242">
        <f>L242-M242</f>
        <v>-148.6</v>
      </c>
      <c s="29" r="O242">
        <f> (L242/M242) - 1</f>
        <v>-0.959948320413437</v>
      </c>
      <c s="70" r="P242">
        <f>M242</f>
        <v>154.8</v>
      </c>
      <c s="70" r="Q242">
        <f>L242/D242</f>
        <v>0.344444444444444</v>
      </c>
      <c t="s" s="10" r="R242">
        <v>299</v>
      </c>
      <c t="s" s="10" r="S242">
        <v>65</v>
      </c>
      <c s="10" r="T242">
        <v>0</v>
      </c>
      <c s="10" r="U242">
        <v>0</v>
      </c>
      <c s="10" r="V242">
        <v>0</v>
      </c>
      <c s="10" r="W242">
        <v>0</v>
      </c>
    </row>
    <row r="243">
      <c s="10" r="A243">
        <v>824</v>
      </c>
      <c s="40" r="B243">
        <v>41650</v>
      </c>
      <c s="71" r="C243">
        <v>0.847222222222222</v>
      </c>
      <c s="10" r="D243">
        <v>765</v>
      </c>
      <c t="s" s="10" r="E243">
        <v>56</v>
      </c>
      <c t="s" s="10" r="F243">
        <v>323</v>
      </c>
      <c s="16" r="G243">
        <v>0.71</v>
      </c>
      <c s="16" r="H243">
        <v>0</v>
      </c>
      <c s="42" r="I243">
        <v>462.26</v>
      </c>
      <c s="79" r="J243">
        <f>I243-SUMIF(Sellables!$A$2:$A$11482, $A243, Sellables!$E$2:$E$11482)</f>
        <v>315.26</v>
      </c>
      <c s="32" r="K243">
        <f>SUMIF(Sellables!$A$2:$A$11482, $A243, Sellables!$G$2:$G$11482)</f>
        <v>156.996</v>
      </c>
      <c s="14" r="L243">
        <f>(J243+K243)-(0.01*H243)</f>
        <v>472.256</v>
      </c>
      <c s="23" r="M243">
        <f>G243*D243</f>
        <v>543.15</v>
      </c>
      <c s="70" r="N243">
        <f>L243-M243</f>
        <v>-70.894</v>
      </c>
      <c s="29" r="O243">
        <f> (L243/M243) - 1</f>
        <v>-0.130523796373009</v>
      </c>
      <c s="70" r="P243">
        <f>M243</f>
        <v>543.15</v>
      </c>
      <c s="70" r="Q243">
        <f>L243/D243</f>
        <v>0.617328104575163</v>
      </c>
      <c t="s" s="10" r="R243">
        <v>299</v>
      </c>
      <c t="s" s="10" r="S243">
        <v>65</v>
      </c>
      <c s="10" r="T243">
        <v>0</v>
      </c>
      <c s="10" r="U243">
        <v>0</v>
      </c>
      <c s="10" r="V243">
        <v>1</v>
      </c>
      <c s="10" r="W243">
        <v>0</v>
      </c>
    </row>
    <row r="244">
      <c s="10" r="A244">
        <v>826</v>
      </c>
      <c s="40" r="B244">
        <v>41650</v>
      </c>
      <c s="71" r="C244">
        <v>0.972222222222222</v>
      </c>
      <c s="10" r="D244">
        <v>131</v>
      </c>
      <c t="s" s="10" r="E244">
        <v>98</v>
      </c>
      <c t="s" s="10" r="F244">
        <v>323</v>
      </c>
      <c s="16" r="G244">
        <v>0.61</v>
      </c>
      <c s="16" r="H244">
        <v>0</v>
      </c>
      <c s="42" r="I244">
        <v>61.11</v>
      </c>
      <c s="79" r="J244">
        <f>I244-SUMIF(Sellables!$A$2:$A$11482, $A244, Sellables!$E$2:$E$11482)</f>
        <v>49.25</v>
      </c>
      <c s="32" r="K244">
        <f>SUMIF(Sellables!$A$2:$A$11482, $A244, Sellables!$G$2:$G$11482)</f>
        <v>12.66648</v>
      </c>
      <c s="14" r="L244">
        <f>(J244+K244)-(0.01*H244)</f>
        <v>61.91648</v>
      </c>
      <c s="23" r="M244">
        <f>G244*D244</f>
        <v>79.91</v>
      </c>
      <c s="70" r="N244">
        <f>L244-M244</f>
        <v>-17.99352</v>
      </c>
      <c s="29" r="O244">
        <f> (L244/M244) - 1</f>
        <v>-0.225172318858716</v>
      </c>
      <c s="70" r="P244">
        <f>M244</f>
        <v>79.91</v>
      </c>
      <c s="70" r="Q244">
        <f>L244/D244</f>
        <v>0.472644885496183</v>
      </c>
      <c t="s" s="10" r="R244">
        <v>299</v>
      </c>
      <c t="s" s="10" r="S244">
        <v>65</v>
      </c>
      <c s="10" r="T244">
        <v>0</v>
      </c>
      <c s="10" r="U244">
        <v>0</v>
      </c>
      <c s="10" r="V244">
        <v>0</v>
      </c>
      <c s="10" r="W244">
        <v>0</v>
      </c>
    </row>
    <row r="245">
      <c s="10" r="A245">
        <v>829</v>
      </c>
      <c s="40" r="B245">
        <v>41651</v>
      </c>
      <c s="71" r="C245">
        <v>0.548611111111111</v>
      </c>
      <c s="10" r="D245">
        <v>119</v>
      </c>
      <c t="s" s="10" r="E245">
        <v>349</v>
      </c>
      <c t="s" s="10" r="F245">
        <v>323</v>
      </c>
      <c s="16" r="G245">
        <v>2.62</v>
      </c>
      <c s="16" r="H245">
        <v>0</v>
      </c>
      <c s="42" r="I245">
        <v>231.57</v>
      </c>
      <c s="79" r="J245">
        <f>I245-SUMIF(Sellables!$A$2:$A$11482, $A245, Sellables!$E$2:$E$11482)</f>
        <v>207.43</v>
      </c>
      <c s="32" r="K245">
        <f>SUMIF(Sellables!$A$2:$A$11482, $A245, Sellables!$G$2:$G$11482)</f>
        <v>25.78152</v>
      </c>
      <c s="14" r="L245">
        <f>(J245+K245)-(0.01*H245)</f>
        <v>233.21152</v>
      </c>
      <c s="23" r="M245">
        <f>G245*D245</f>
        <v>311.78</v>
      </c>
      <c s="70" r="N245">
        <f>L245-M245</f>
        <v>-78.56848</v>
      </c>
      <c s="29" r="O245">
        <f> (L245/M245) - 1</f>
        <v>-0.251999743408814</v>
      </c>
      <c s="70" r="P245">
        <f>M245</f>
        <v>311.78</v>
      </c>
      <c s="70" r="Q245">
        <f>L245/D245</f>
        <v>1.95976067226891</v>
      </c>
      <c t="s" s="10" r="R245">
        <v>299</v>
      </c>
      <c t="s" s="10" r="S245">
        <v>65</v>
      </c>
      <c s="10" r="T245">
        <v>0</v>
      </c>
      <c s="10" r="U245">
        <v>0</v>
      </c>
      <c s="10" r="V245">
        <v>0</v>
      </c>
      <c s="10" r="W245">
        <v>0</v>
      </c>
    </row>
    <row r="246">
      <c s="10" r="A246">
        <v>832</v>
      </c>
      <c s="40" r="B246">
        <v>41651</v>
      </c>
      <c s="71" r="C246">
        <v>0.659722222222222</v>
      </c>
      <c s="10" r="D246">
        <v>14</v>
      </c>
      <c t="s" s="10" r="E246">
        <v>396</v>
      </c>
      <c t="s" s="10" r="F246">
        <v>323</v>
      </c>
      <c s="16" r="G246">
        <v>2.1</v>
      </c>
      <c s="16" r="H246">
        <v>0</v>
      </c>
      <c s="42" r="I246">
        <v>84.79</v>
      </c>
      <c s="79" r="J246">
        <f>I246-SUMIF(Sellables!$A$2:$A$11482, $A246, Sellables!$E$2:$E$11482)</f>
        <v>8.2</v>
      </c>
      <c s="32" r="K246">
        <f>SUMIF(Sellables!$A$2:$A$11482, $A246, Sellables!$G$2:$G$11482)</f>
        <v>81.7852</v>
      </c>
      <c s="14" r="L246">
        <f>(J246+K246)-(0.01*H246)</f>
        <v>89.9852</v>
      </c>
      <c s="23" r="M246">
        <f>G246*D246</f>
        <v>29.4</v>
      </c>
      <c s="70" r="N246">
        <f>L246-M246</f>
        <v>60.5852</v>
      </c>
      <c s="29" r="O246">
        <f> (L246/M246) - 1</f>
        <v>2.06072108843537</v>
      </c>
      <c s="70" r="P246">
        <f>M246</f>
        <v>29.4</v>
      </c>
      <c s="70" r="Q246">
        <f>L246/D246</f>
        <v>6.42751428571429</v>
      </c>
      <c t="s" s="10" r="R246">
        <v>299</v>
      </c>
      <c t="s" s="10" r="S246">
        <v>65</v>
      </c>
      <c s="10" r="T246">
        <v>0</v>
      </c>
      <c s="10" r="U246">
        <v>0</v>
      </c>
      <c s="10" r="V246">
        <v>1</v>
      </c>
      <c s="10" r="W246">
        <v>0</v>
      </c>
    </row>
    <row r="247">
      <c s="10" r="A247">
        <v>833</v>
      </c>
      <c s="40" r="B247">
        <v>41651</v>
      </c>
      <c s="71" r="C247">
        <v>0.659722222222222</v>
      </c>
      <c s="10" r="D247">
        <v>9</v>
      </c>
      <c t="s" s="10" r="E247">
        <v>377</v>
      </c>
      <c t="s" s="10" r="F247">
        <v>323</v>
      </c>
      <c s="16" r="G247">
        <v>2.1</v>
      </c>
      <c s="16" r="H247">
        <v>0</v>
      </c>
      <c s="42" r="I247">
        <v>18.95</v>
      </c>
      <c s="79" r="J247">
        <f>I247-SUMIF(Sellables!$A$2:$A$11482, $A247, Sellables!$E$2:$E$11482)</f>
        <v>10.8</v>
      </c>
      <c s="32" r="K247">
        <f>SUMIF(Sellables!$A$2:$A$11482, $A247, Sellables!$G$2:$G$11482)</f>
        <v>33.56752</v>
      </c>
      <c s="14" r="L247">
        <f>(J247+K247)-(0.01*H247)</f>
        <v>44.36752</v>
      </c>
      <c s="23" r="M247">
        <f>G247*D247</f>
        <v>18.9</v>
      </c>
      <c s="70" r="N247">
        <f>L247-M247</f>
        <v>25.46752</v>
      </c>
      <c s="29" r="O247">
        <f> (L247/M247) - 1</f>
        <v>1.34748783068783</v>
      </c>
      <c s="70" r="P247">
        <f>M247</f>
        <v>18.9</v>
      </c>
      <c s="70" r="Q247">
        <f>L247/D247</f>
        <v>4.92972444444444</v>
      </c>
      <c t="s" s="10" r="R247">
        <v>299</v>
      </c>
      <c t="s" s="10" r="S247">
        <v>65</v>
      </c>
      <c s="10" r="T247">
        <v>0</v>
      </c>
      <c s="10" r="U247">
        <v>0</v>
      </c>
      <c s="10" r="V247">
        <v>1</v>
      </c>
      <c s="10" r="W247">
        <v>0</v>
      </c>
    </row>
    <row r="248">
      <c s="10" r="A248">
        <v>834</v>
      </c>
      <c s="40" r="B248">
        <v>41651</v>
      </c>
      <c s="71" r="C248">
        <v>0.659722222222222</v>
      </c>
      <c s="10" r="D248">
        <v>5</v>
      </c>
      <c t="s" s="10" r="E248">
        <v>380</v>
      </c>
      <c t="s" s="10" r="F248">
        <v>323</v>
      </c>
      <c s="16" r="G248">
        <v>10.65</v>
      </c>
      <c s="16" r="H248">
        <v>28254</v>
      </c>
      <c s="42" r="I248">
        <v>323.91</v>
      </c>
      <c s="79" r="J248">
        <f>I248-SUMIF(Sellables!$A$2:$A$11482, $A248, Sellables!$E$2:$E$11482)</f>
        <v>323.91</v>
      </c>
      <c s="32" r="K248">
        <f>SUMIF(Sellables!$A$2:$A$11482, $A248, Sellables!$G$2:$G$11482)</f>
        <v>0</v>
      </c>
      <c s="14" r="L248">
        <f>(J248+K248)-(0.01*H248)</f>
        <v>41.37</v>
      </c>
      <c s="23" r="M248">
        <f>G248*D248</f>
        <v>53.25</v>
      </c>
      <c s="70" r="N248">
        <f>L248-M248</f>
        <v>-11.88</v>
      </c>
      <c s="29" r="O248">
        <f> (L248/M248) - 1</f>
        <v>-0.223098591549296</v>
      </c>
      <c s="70" r="P248">
        <f>M248</f>
        <v>53.25</v>
      </c>
      <c s="70" r="Q248">
        <f>L248/D248</f>
        <v>8.274</v>
      </c>
      <c t="s" s="10" r="R248">
        <v>299</v>
      </c>
      <c t="s" s="10" r="S248">
        <v>65</v>
      </c>
      <c s="10" r="T248">
        <v>0</v>
      </c>
      <c s="10" r="U248">
        <v>0</v>
      </c>
      <c s="10" r="V248">
        <v>0</v>
      </c>
      <c s="10" r="W248">
        <v>0</v>
      </c>
    </row>
    <row r="249">
      <c s="10" r="A249">
        <v>838</v>
      </c>
      <c s="40" r="B249">
        <v>41651</v>
      </c>
      <c s="71" r="C249">
        <v>0.854166666666667</v>
      </c>
      <c s="10" r="D249">
        <v>74</v>
      </c>
      <c t="s" s="10" r="E249">
        <v>397</v>
      </c>
      <c t="s" s="10" r="F249">
        <v>323</v>
      </c>
      <c s="16" r="G249">
        <v>2.46</v>
      </c>
      <c s="16" r="H249">
        <v>0</v>
      </c>
      <c s="42" r="I249">
        <f>99.18+33.13</f>
        <v>132.31</v>
      </c>
      <c s="79" r="J249">
        <f>I249-SUMIF(Sellables!$A$2:$A$11482, $A249, Sellables!$E$2:$E$11482)</f>
        <v>100.64</v>
      </c>
      <c s="32" r="K249">
        <f>SUMIF(Sellables!$A$2:$A$11482, $A249, Sellables!$G$2:$G$11482)</f>
        <v>33.82356</v>
      </c>
      <c s="14" r="L249">
        <f>(J249+K249)-(0.01*H249)</f>
        <v>134.46356</v>
      </c>
      <c s="23" r="M249">
        <f>G249*D249</f>
        <v>182.04</v>
      </c>
      <c s="70" r="N249">
        <f>L249-M249</f>
        <v>-47.57644</v>
      </c>
      <c s="29" r="O249">
        <f> (L249/M249) - 1</f>
        <v>-0.261351571083278</v>
      </c>
      <c s="70" r="P249">
        <f>M249</f>
        <v>182.04</v>
      </c>
      <c s="70" r="Q249">
        <f>L249/D249</f>
        <v>1.81707513513514</v>
      </c>
      <c t="s" s="10" r="R249">
        <v>299</v>
      </c>
      <c t="s" s="10" r="S249">
        <v>65</v>
      </c>
      <c s="10" r="T249">
        <v>0</v>
      </c>
      <c s="10" r="U249">
        <v>0</v>
      </c>
      <c s="10" r="V249">
        <v>0</v>
      </c>
      <c s="10" r="W249">
        <v>0</v>
      </c>
    </row>
    <row r="250">
      <c s="10" r="A250">
        <v>841</v>
      </c>
      <c s="40" r="B250">
        <v>41652</v>
      </c>
      <c s="71" r="C250">
        <v>0.0625</v>
      </c>
      <c s="10" r="D250">
        <v>163</v>
      </c>
      <c t="s" s="10" r="E250">
        <v>326</v>
      </c>
      <c t="s" s="10" r="F250">
        <v>323</v>
      </c>
      <c s="16" r="G250">
        <v>0.76</v>
      </c>
      <c s="16" r="H250">
        <v>0</v>
      </c>
      <c s="42" r="I250">
        <v>113.83</v>
      </c>
      <c s="79" r="J250">
        <f>I250-SUMIF(Sellables!$A$2:$A$11482, $A250, Sellables!$E$2:$E$11482)</f>
        <v>94.13</v>
      </c>
      <c s="32" r="K250">
        <f>SUMIF(Sellables!$A$2:$A$11482, $A250, Sellables!$G$2:$G$11482)</f>
        <v>21.0396</v>
      </c>
      <c s="14" r="L250">
        <f>(J250+K250)-(0.01*H250)</f>
        <v>115.1696</v>
      </c>
      <c s="23" r="M250">
        <f>G250*D250</f>
        <v>123.88</v>
      </c>
      <c s="70" r="N250">
        <f>L250-M250</f>
        <v>-8.71039999999999</v>
      </c>
      <c s="29" r="O250">
        <f> (L250/M250) - 1</f>
        <v>-0.070313206328705</v>
      </c>
      <c s="70" r="P250">
        <f>M250</f>
        <v>123.88</v>
      </c>
      <c s="70" r="Q250">
        <f>L250/D250</f>
        <v>0.706561963190184</v>
      </c>
      <c t="s" s="10" r="R250">
        <v>299</v>
      </c>
      <c t="s" s="10" r="S250">
        <v>65</v>
      </c>
      <c s="10" r="T250">
        <v>0</v>
      </c>
      <c s="10" r="U250">
        <v>0</v>
      </c>
      <c s="10" r="V250">
        <v>0</v>
      </c>
      <c s="10" r="W250">
        <v>0</v>
      </c>
    </row>
    <row r="251">
      <c s="10" r="A251">
        <v>842</v>
      </c>
      <c s="40" r="B251">
        <v>41652</v>
      </c>
      <c s="71" r="C251">
        <v>0.076388888888889</v>
      </c>
      <c s="10" r="D251">
        <v>27</v>
      </c>
      <c t="s" s="10" r="E251">
        <v>258</v>
      </c>
      <c t="s" s="10" r="F251">
        <v>323</v>
      </c>
      <c s="16" r="G251">
        <v>1.21</v>
      </c>
      <c s="16" r="H251">
        <v>0</v>
      </c>
      <c s="42" r="I251">
        <v>20.89</v>
      </c>
      <c s="79" r="J251">
        <f>I251-SUMIF(Sellables!$A$2:$A$11482, $A251, Sellables!$E$2:$E$11482)</f>
        <v>15.59</v>
      </c>
      <c s="32" r="K251">
        <f>SUMIF(Sellables!$A$2:$A$11482, $A251, Sellables!$G$2:$G$11482)</f>
        <v>5.6604</v>
      </c>
      <c s="14" r="L251">
        <f>(J251+K251)-(0.01*H251)</f>
        <v>21.2504</v>
      </c>
      <c s="23" r="M251">
        <f>G251*D251</f>
        <v>32.67</v>
      </c>
      <c s="70" r="N251">
        <f>L251-M251</f>
        <v>-11.4196</v>
      </c>
      <c s="29" r="O251">
        <f> (L251/M251) - 1</f>
        <v>-0.349543924089379</v>
      </c>
      <c s="70" r="P251">
        <f>M251</f>
        <v>32.67</v>
      </c>
      <c s="70" r="Q251">
        <f>L251/D251</f>
        <v>0.787051851851852</v>
      </c>
      <c t="s" s="10" r="R251">
        <v>299</v>
      </c>
      <c t="s" s="10" r="S251">
        <v>65</v>
      </c>
      <c s="10" r="T251">
        <v>0</v>
      </c>
      <c s="10" r="U251">
        <v>0</v>
      </c>
      <c s="10" r="V251">
        <v>0</v>
      </c>
      <c s="10" r="W251">
        <v>0</v>
      </c>
    </row>
    <row r="252">
      <c s="10" r="A252">
        <v>843</v>
      </c>
      <c s="40" r="B252">
        <v>41652</v>
      </c>
      <c s="71" r="C252">
        <v>0.080555555555556</v>
      </c>
      <c s="10" r="D252">
        <v>7</v>
      </c>
      <c t="s" s="10" r="E252">
        <v>398</v>
      </c>
      <c t="s" s="10" r="F252">
        <v>323</v>
      </c>
      <c s="16" r="G252">
        <v>1.72</v>
      </c>
      <c s="16" r="H252">
        <v>0</v>
      </c>
      <c s="42" r="I252">
        <v>10.62</v>
      </c>
      <c s="79" r="J252">
        <f>I252-SUMIF(Sellables!$A$2:$A$11482, $A252, Sellables!$E$2:$E$11482)</f>
        <v>10.15</v>
      </c>
      <c s="32" r="K252">
        <f>SUMIF(Sellables!$A$2:$A$11482, $A252, Sellables!$G$2:$G$11482)</f>
        <v>0.50196</v>
      </c>
      <c s="14" r="L252">
        <f>(J252+K252)-(0.01*H252)</f>
        <v>10.65196</v>
      </c>
      <c s="23" r="M252">
        <f>G252*D252</f>
        <v>12.04</v>
      </c>
      <c s="70" r="N252">
        <f>L252-M252</f>
        <v>-1.38804</v>
      </c>
      <c s="29" r="O252">
        <f> (L252/M252) - 1</f>
        <v>-0.115285714285714</v>
      </c>
      <c s="70" r="P252">
        <f>M252</f>
        <v>12.04</v>
      </c>
      <c s="70" r="Q252">
        <f>L252/D252</f>
        <v>1.52170857142857</v>
      </c>
      <c t="s" s="10" r="R252">
        <v>299</v>
      </c>
      <c t="s" s="10" r="S252">
        <v>65</v>
      </c>
      <c s="10" r="T252">
        <v>0</v>
      </c>
      <c s="10" r="U252">
        <v>0</v>
      </c>
      <c s="10" r="V252">
        <v>0</v>
      </c>
      <c s="10" r="W252">
        <v>0</v>
      </c>
    </row>
    <row r="253">
      <c s="10" r="A253">
        <v>844</v>
      </c>
      <c s="40" r="B253">
        <v>41652</v>
      </c>
      <c s="71" r="C253">
        <v>0.081944444444444</v>
      </c>
      <c s="10" r="D253">
        <v>21</v>
      </c>
      <c t="s" s="10" r="E253">
        <v>399</v>
      </c>
      <c t="s" s="10" r="F253">
        <v>323</v>
      </c>
      <c s="16" r="G253">
        <v>1.21</v>
      </c>
      <c s="16" r="H253">
        <v>0</v>
      </c>
      <c s="42" r="I253">
        <v>14.35</v>
      </c>
      <c s="79" r="J253">
        <f>I253-SUMIF(Sellables!$A$2:$A$11482, $A253, Sellables!$E$2:$E$11482)</f>
        <v>8.23</v>
      </c>
      <c s="32" r="K253">
        <f>SUMIF(Sellables!$A$2:$A$11482, $A253, Sellables!$G$2:$G$11482)</f>
        <v>6.53616</v>
      </c>
      <c s="14" r="L253">
        <f>(J253+K253)-(0.01*H253)</f>
        <v>14.76616</v>
      </c>
      <c s="23" r="M253">
        <f>G253*D253</f>
        <v>25.41</v>
      </c>
      <c s="70" r="N253">
        <f>L253-M253</f>
        <v>-10.64384</v>
      </c>
      <c s="29" r="O253">
        <f> (L253/M253) - 1</f>
        <v>-0.418883903974813</v>
      </c>
      <c s="70" r="P253">
        <f>M253</f>
        <v>25.41</v>
      </c>
      <c s="70" r="Q253">
        <f>L253/D253</f>
        <v>0.703150476190476</v>
      </c>
      <c t="s" s="10" r="R253">
        <v>299</v>
      </c>
      <c t="s" s="10" r="S253">
        <v>65</v>
      </c>
      <c s="10" r="T253">
        <v>0</v>
      </c>
      <c s="10" r="U253">
        <v>0</v>
      </c>
      <c s="10" r="V253">
        <v>0</v>
      </c>
      <c s="10" r="W253">
        <v>0</v>
      </c>
    </row>
    <row r="254">
      <c s="10" r="A254">
        <v>845</v>
      </c>
      <c s="40" r="B254">
        <v>41652</v>
      </c>
      <c s="71" r="C254">
        <v>0.083333333333333</v>
      </c>
      <c s="10" r="D254">
        <v>15</v>
      </c>
      <c t="s" s="10" r="E254">
        <v>355</v>
      </c>
      <c t="s" s="10" r="F254">
        <v>323</v>
      </c>
      <c s="16" r="G254">
        <v>2.1</v>
      </c>
      <c s="16" r="H254">
        <v>0</v>
      </c>
      <c s="42" r="I254">
        <v>22.15</v>
      </c>
      <c s="79" r="J254">
        <f>I254-SUMIF(Sellables!$A$2:$A$11482, $A254, Sellables!$E$2:$E$11482)</f>
        <v>9</v>
      </c>
      <c s="32" r="K254">
        <f>SUMIF(Sellables!$A$2:$A$11482, $A254, Sellables!$G$2:$G$11482)</f>
        <v>14.0442</v>
      </c>
      <c s="14" r="L254">
        <f>(J254+K254)-(0.01*H254)</f>
        <v>23.0442</v>
      </c>
      <c s="23" r="M254">
        <f>G254*D254</f>
        <v>31.5</v>
      </c>
      <c s="70" r="N254">
        <f>L254-M254</f>
        <v>-8.4558</v>
      </c>
      <c s="29" r="O254">
        <f> (L254/M254) - 1</f>
        <v>-0.268438095238095</v>
      </c>
      <c s="70" r="P254">
        <f>M254</f>
        <v>31.5</v>
      </c>
      <c s="70" r="Q254">
        <f>L254/D254</f>
        <v>1.53628</v>
      </c>
      <c t="s" s="10" r="R254">
        <v>299</v>
      </c>
      <c t="s" s="10" r="S254">
        <v>65</v>
      </c>
      <c s="10" r="T254">
        <v>0</v>
      </c>
      <c s="10" r="U254">
        <v>0</v>
      </c>
      <c s="10" r="V254">
        <v>0</v>
      </c>
      <c s="10" r="W254">
        <v>0</v>
      </c>
    </row>
    <row r="255">
      <c s="10" r="A255">
        <v>846</v>
      </c>
      <c s="40" r="B255">
        <v>41652</v>
      </c>
      <c s="71" r="C255">
        <v>0.104166666666667</v>
      </c>
      <c s="10" r="D255">
        <v>32</v>
      </c>
      <c t="s" s="10" r="E255">
        <v>388</v>
      </c>
      <c t="s" s="10" r="F255">
        <v>323</v>
      </c>
      <c s="16" r="G255">
        <v>27.01</v>
      </c>
      <c s="16" r="H255">
        <v>0</v>
      </c>
      <c s="42" r="I255">
        <v>605.7</v>
      </c>
      <c s="79" r="J255">
        <f>I255-SUMIF(Sellables!$A$2:$A$11482, $A255, Sellables!$E$2:$E$11482)</f>
        <v>195.95</v>
      </c>
      <c s="32" r="K255">
        <f>SUMIF(Sellables!$A$2:$A$11482, $A255, Sellables!$G$2:$G$11482)</f>
        <v>690.6592</v>
      </c>
      <c s="14" r="L255">
        <f>(J255+K255)-(0.01*H255)</f>
        <v>886.6092</v>
      </c>
      <c s="23" r="M255">
        <f>G255*D255</f>
        <v>864.32</v>
      </c>
      <c s="70" r="N255">
        <f>L255-M255</f>
        <v>22.2892</v>
      </c>
      <c s="29" r="O255">
        <f> (L255/M255) - 1</f>
        <v>0.025788134024436</v>
      </c>
      <c s="70" r="P255">
        <f>M255</f>
        <v>864.32</v>
      </c>
      <c s="70" r="Q255">
        <f>L255/D255</f>
        <v>27.7065375</v>
      </c>
      <c t="s" s="10" r="R255">
        <v>299</v>
      </c>
      <c t="s" s="10" r="S255">
        <v>65</v>
      </c>
      <c s="10" r="T255">
        <v>0</v>
      </c>
      <c s="10" r="U255">
        <v>0</v>
      </c>
      <c s="10" r="V255">
        <v>0</v>
      </c>
      <c s="10" r="W255">
        <v>0</v>
      </c>
    </row>
    <row r="256">
      <c s="10" r="A256">
        <v>847</v>
      </c>
      <c s="40" r="B256">
        <v>41652</v>
      </c>
      <c s="71" r="C256">
        <v>0.416666666666667</v>
      </c>
      <c s="10" r="D256">
        <v>692</v>
      </c>
      <c t="s" s="10" r="E256">
        <v>390</v>
      </c>
      <c t="s" s="10" r="F256">
        <v>323</v>
      </c>
      <c s="16" r="G256">
        <v>0.12</v>
      </c>
      <c s="16" r="H256">
        <v>0</v>
      </c>
      <c s="42" r="I256">
        <v>78.19</v>
      </c>
      <c s="79" r="J256">
        <f>I256-SUMIF(Sellables!$A$2:$A$11482, $A256, Sellables!$E$2:$E$11482)</f>
        <v>14.831</v>
      </c>
      <c s="32" r="K256">
        <f>SUMIF(Sellables!$A$2:$A$11482, $A256, Sellables!$G$2:$G$11482)</f>
        <v>93.91102</v>
      </c>
      <c s="14" r="L256">
        <f>(J256+K256)-(0.01*H256)</f>
        <v>108.74202</v>
      </c>
      <c s="23" r="M256">
        <f>G256*D256</f>
        <v>83.04</v>
      </c>
      <c s="70" r="N256">
        <f>L256-M256</f>
        <v>25.70202</v>
      </c>
      <c s="29" r="O256">
        <f> (L256/M256) - 1</f>
        <v>0.3095137283237</v>
      </c>
      <c s="70" r="P256">
        <f>M256</f>
        <v>83.04</v>
      </c>
      <c s="70" r="Q256">
        <f>L256/D256</f>
        <v>0.157141647398844</v>
      </c>
      <c t="s" s="10" r="R256">
        <v>299</v>
      </c>
      <c t="s" s="10" r="S256">
        <v>65</v>
      </c>
      <c s="10" r="T256">
        <v>0</v>
      </c>
      <c s="10" r="U256">
        <v>0</v>
      </c>
      <c s="10" r="V256">
        <v>0</v>
      </c>
      <c s="10" r="W256">
        <v>0</v>
      </c>
    </row>
    <row r="257">
      <c s="10" r="A257">
        <v>848</v>
      </c>
      <c s="40" r="B257">
        <v>41652</v>
      </c>
      <c s="71" r="C257">
        <v>0.458333333333333</v>
      </c>
      <c s="10" r="D257">
        <v>12</v>
      </c>
      <c t="s" s="10" r="E257">
        <v>400</v>
      </c>
      <c t="s" s="10" r="F257">
        <v>323</v>
      </c>
      <c s="16" r="G257">
        <v>0.49</v>
      </c>
      <c s="16" r="H257">
        <v>0</v>
      </c>
      <c s="42" r="I257">
        <v>4</v>
      </c>
      <c s="79" r="J257">
        <f>I257-SUMIF(Sellables!$A$2:$A$11482, $A257, Sellables!$E$2:$E$11482)</f>
        <v>1.1</v>
      </c>
      <c s="32" r="K257">
        <f>SUMIF(Sellables!$A$2:$A$11482, $A257, Sellables!$G$2:$G$11482)</f>
        <v>28.7046</v>
      </c>
      <c s="14" r="L257">
        <f>(J257+K257)-(0.01*H257)</f>
        <v>29.8046</v>
      </c>
      <c s="23" r="M257">
        <f>G257*D257</f>
        <v>5.88</v>
      </c>
      <c s="70" r="N257">
        <f>L257-M257</f>
        <v>23.9246</v>
      </c>
      <c s="29" r="O257">
        <f> (L257/M257) - 1</f>
        <v>4.06880952380952</v>
      </c>
      <c s="70" r="P257">
        <f>M257</f>
        <v>5.88</v>
      </c>
      <c s="70" r="Q257">
        <f>L257/D257</f>
        <v>2.48371666666667</v>
      </c>
      <c t="s" s="10" r="R257">
        <v>299</v>
      </c>
      <c t="s" s="10" r="S257">
        <v>65</v>
      </c>
      <c s="10" r="T257">
        <v>0</v>
      </c>
      <c s="10" r="U257">
        <v>0</v>
      </c>
      <c s="10" r="V257">
        <v>0</v>
      </c>
      <c s="10" r="W257">
        <v>0</v>
      </c>
    </row>
    <row r="258">
      <c s="10" r="A258">
        <v>849</v>
      </c>
      <c s="40" r="B258">
        <v>41652</v>
      </c>
      <c s="71" r="C258">
        <v>0.46875</v>
      </c>
      <c s="10" r="D258">
        <v>192</v>
      </c>
      <c t="s" s="10" r="E258">
        <v>401</v>
      </c>
      <c t="s" s="10" r="F258">
        <v>323</v>
      </c>
      <c s="16" r="G258">
        <v>0.73</v>
      </c>
      <c s="16" r="H258">
        <v>0</v>
      </c>
      <c s="42" r="I258">
        <v>145.72</v>
      </c>
      <c s="79" r="J258">
        <f>I258-SUMIF(Sellables!$A$2:$A$11482, $A258, Sellables!$E$2:$E$11482)</f>
        <v>74.17</v>
      </c>
      <c s="32" r="K258">
        <f>SUMIF(Sellables!$A$2:$A$11482, $A258, Sellables!$G$2:$G$11482)</f>
        <v>76.4154</v>
      </c>
      <c s="14" r="L258">
        <f>(J258+K258)-(0.01*H258)</f>
        <v>150.5854</v>
      </c>
      <c s="23" r="M258">
        <f>G258*D258</f>
        <v>140.16</v>
      </c>
      <c s="70" r="N258">
        <f>L258-M258</f>
        <v>10.4254</v>
      </c>
      <c s="29" r="O258">
        <f> (L258/M258) - 1</f>
        <v>0.074382134703196</v>
      </c>
      <c s="70" r="P258">
        <f>M258</f>
        <v>140.16</v>
      </c>
      <c s="70" r="Q258">
        <f>L258/D258</f>
        <v>0.784298958333333</v>
      </c>
      <c t="s" s="10" r="R258">
        <v>299</v>
      </c>
      <c t="s" s="10" r="S258">
        <v>65</v>
      </c>
      <c s="10" r="T258">
        <v>0</v>
      </c>
      <c s="10" r="U258">
        <v>0</v>
      </c>
      <c s="10" r="V258">
        <v>0</v>
      </c>
      <c s="10" r="W258">
        <v>0</v>
      </c>
    </row>
    <row r="259">
      <c s="10" r="A259">
        <v>850</v>
      </c>
      <c s="40" r="B259">
        <v>41652</v>
      </c>
      <c s="71" r="C259">
        <v>0.493055555555556</v>
      </c>
      <c s="10" r="D259">
        <v>3</v>
      </c>
      <c t="s" s="10" r="E259">
        <v>402</v>
      </c>
      <c t="s" s="10" r="F259">
        <v>323</v>
      </c>
      <c s="16" r="G259">
        <v>4.05</v>
      </c>
      <c s="16" r="H259">
        <v>2747</v>
      </c>
      <c s="42" r="I259">
        <v>40.7</v>
      </c>
      <c s="32" r="J259">
        <f>I259-SUMIF(Sellables!$A$2:$A$11482, $A259, Sellables!$E$2:$E$11482)</f>
        <v>0.700000000000003</v>
      </c>
      <c s="32" r="K259">
        <f>SUMIF(Sellables!$A$2:$A$11482, $A259, Sellables!$G$2:$G$11482)</f>
        <v>56</v>
      </c>
      <c s="14" r="L259">
        <f>(J259+K259)-(0.01*H259)</f>
        <v>29.23</v>
      </c>
      <c s="23" r="M259">
        <f>G259*D259</f>
        <v>12.15</v>
      </c>
      <c s="70" r="N259">
        <f>L259-M259</f>
        <v>17.08</v>
      </c>
      <c s="29" r="O259">
        <f> (L259/M259) - 1</f>
        <v>1.40576131687243</v>
      </c>
      <c s="70" r="P259">
        <f>M259</f>
        <v>12.15</v>
      </c>
      <c s="70" r="Q259">
        <f>L259/D259</f>
        <v>9.74333333333333</v>
      </c>
      <c t="s" s="10" r="R259">
        <v>299</v>
      </c>
      <c t="s" s="10" r="S259">
        <v>65</v>
      </c>
      <c s="10" r="T259">
        <v>0</v>
      </c>
      <c s="10" r="U259">
        <v>0</v>
      </c>
      <c s="10" r="V259">
        <v>0</v>
      </c>
      <c s="10" r="W259">
        <v>0</v>
      </c>
    </row>
    <row r="260">
      <c s="10" r="A260"/>
      <c s="10" r="B260"/>
      <c s="10" r="C260"/>
      <c s="10" r="D260"/>
      <c s="10" r="E260"/>
      <c s="10" r="F260"/>
      <c s="16" r="G260"/>
      <c s="16" r="H260"/>
      <c s="42" r="I260"/>
      <c s="79" r="J260"/>
      <c s="79" r="K260"/>
      <c s="17" r="L260"/>
      <c s="17" r="M260"/>
      <c s="7" r="N260"/>
      <c s="7" r="O260"/>
      <c s="7" r="P260"/>
      <c s="7" r="Q260"/>
      <c s="10" r="R260"/>
      <c s="10" r="S260"/>
      <c s="10" r="T260"/>
      <c s="10" r="U260"/>
      <c s="10" r="V260"/>
      <c s="10" r="W260"/>
    </row>
    <row r="261">
      <c s="10" r="A261"/>
      <c s="10" r="B261"/>
      <c s="10" r="C261"/>
      <c s="10" r="D261"/>
      <c s="10" r="E261"/>
      <c s="10" r="F261"/>
      <c s="16" r="G261"/>
      <c s="16" r="H261"/>
      <c s="42" r="I261"/>
      <c s="79" r="J261"/>
      <c s="79" r="K261"/>
      <c s="17" r="L261"/>
      <c s="17" r="M261"/>
      <c s="7" r="N261"/>
      <c s="7" r="O261"/>
      <c s="7" r="P261"/>
      <c s="7" r="Q261"/>
      <c s="10" r="R261"/>
      <c s="10" r="S261"/>
      <c s="10" r="T261"/>
      <c s="10" r="U261"/>
      <c s="10" r="V261"/>
      <c s="10" r="W261"/>
    </row>
    <row r="262">
      <c s="10" r="A262"/>
      <c s="10" r="B262"/>
      <c s="10" r="C262"/>
      <c s="10" r="D262"/>
      <c s="10" r="E262"/>
      <c s="10" r="F262"/>
      <c s="16" r="G262"/>
      <c s="16" r="H262"/>
      <c s="42" r="I262"/>
      <c s="79" r="J262"/>
      <c s="79" r="K262"/>
      <c s="17" r="L262"/>
      <c s="17" r="M262"/>
      <c s="7" r="N262"/>
      <c s="7" r="O262"/>
      <c s="7" r="P262"/>
      <c s="7" r="Q262"/>
      <c s="10" r="R262"/>
      <c s="10" r="S262"/>
      <c s="10" r="T262"/>
      <c s="10" r="U262"/>
      <c s="10" r="V262"/>
      <c s="10" r="W262"/>
    </row>
    <row r="263">
      <c s="10" r="A263"/>
      <c s="10" r="B263"/>
      <c s="10" r="C263"/>
      <c s="10" r="D263"/>
      <c s="10" r="E263"/>
      <c s="10" r="F263"/>
      <c s="16" r="G263"/>
      <c s="16" r="H263"/>
      <c s="42" r="I263"/>
      <c s="79" r="J263"/>
      <c s="79" r="K263"/>
      <c s="17" r="L263"/>
      <c s="17" r="M263"/>
      <c s="7" r="N263"/>
      <c s="7" r="O263"/>
      <c s="7" r="P263"/>
      <c s="7" r="Q263"/>
      <c s="10" r="R263"/>
      <c s="10" r="S263"/>
      <c s="10" r="T263"/>
      <c s="10" r="U263"/>
      <c s="10" r="V263"/>
      <c s="10" r="W263"/>
    </row>
    <row r="264">
      <c s="10" r="A264"/>
      <c s="10" r="B264"/>
      <c s="10" r="C264"/>
      <c s="10" r="D264"/>
      <c s="10" r="E264"/>
      <c s="10" r="F264"/>
      <c s="16" r="G264"/>
      <c s="16" r="H264"/>
      <c s="42" r="I264"/>
      <c s="79" r="J264"/>
      <c s="79" r="K264"/>
      <c s="17" r="L264"/>
      <c s="17" r="M264"/>
      <c s="7" r="N264"/>
      <c s="7" r="O264"/>
      <c s="7" r="P264"/>
      <c s="7" r="Q264"/>
      <c s="10" r="R264"/>
      <c s="10" r="S264"/>
      <c s="10" r="T264"/>
      <c s="10" r="U264"/>
      <c s="10" r="V264"/>
      <c s="10" r="W264"/>
    </row>
    <row r="265">
      <c s="10" r="A265"/>
      <c s="10" r="B265"/>
      <c s="10" r="C265"/>
      <c s="10" r="D265"/>
      <c s="10" r="E265"/>
      <c s="10" r="F265"/>
      <c s="16" r="G265"/>
      <c s="16" r="H265"/>
      <c s="42" r="I265"/>
      <c s="79" r="J265"/>
      <c s="79" r="K265"/>
      <c s="17" r="L265"/>
      <c s="17" r="M265"/>
      <c s="7" r="N265"/>
      <c s="7" r="O265"/>
      <c s="7" r="P265"/>
      <c s="7" r="Q265"/>
      <c s="10" r="R265"/>
      <c s="10" r="S265"/>
      <c s="10" r="T265"/>
      <c s="10" r="U265"/>
      <c s="10" r="V265"/>
      <c s="10" r="W265"/>
    </row>
    <row r="266">
      <c s="10" r="A266"/>
      <c s="10" r="B266"/>
      <c s="10" r="C266"/>
      <c s="10" r="D266"/>
      <c s="10" r="E266"/>
      <c s="10" r="F266"/>
      <c s="16" r="G266"/>
      <c s="16" r="H266"/>
      <c s="42" r="I266"/>
      <c s="79" r="J266"/>
      <c s="79" r="K266"/>
      <c s="17" r="L266"/>
      <c s="17" r="M266"/>
      <c s="7" r="N266"/>
      <c s="7" r="O266"/>
      <c s="7" r="P266"/>
      <c s="7" r="Q266"/>
      <c s="10" r="R266"/>
      <c s="10" r="S266"/>
      <c s="10" r="T266"/>
      <c s="10" r="U266"/>
      <c s="10" r="V266"/>
      <c s="10" r="W266"/>
    </row>
    <row r="267">
      <c s="10" r="A267"/>
      <c s="10" r="B267"/>
      <c s="10" r="C267"/>
      <c s="10" r="D267"/>
      <c s="10" r="E267"/>
      <c s="10" r="F267"/>
      <c s="16" r="G267"/>
      <c s="16" r="H267"/>
      <c s="42" r="I267"/>
      <c s="79" r="J267"/>
      <c s="79" r="K267"/>
      <c s="17" r="L267"/>
      <c s="17" r="M267"/>
      <c s="7" r="N267"/>
      <c s="7" r="O267"/>
      <c s="7" r="P267"/>
      <c s="7" r="Q267"/>
      <c s="10" r="R267"/>
      <c s="10" r="S267"/>
      <c s="10" r="T267"/>
      <c s="10" r="U267"/>
      <c s="10" r="V267"/>
      <c s="10" r="W267"/>
    </row>
    <row r="268">
      <c s="10" r="A268"/>
      <c s="10" r="B268"/>
      <c s="10" r="C268"/>
      <c s="10" r="D268"/>
      <c s="10" r="E268"/>
      <c s="10" r="F268"/>
      <c s="16" r="G268"/>
      <c s="16" r="H268"/>
      <c s="42" r="I268"/>
      <c s="79" r="J268"/>
      <c s="79" r="K268"/>
      <c s="17" r="L268"/>
      <c s="17" r="M268"/>
      <c s="7" r="N268"/>
      <c s="7" r="O268"/>
      <c s="7" r="P268"/>
      <c s="7" r="Q268"/>
      <c s="10" r="R268"/>
      <c s="10" r="S268"/>
      <c s="10" r="T268"/>
      <c s="10" r="U268"/>
      <c s="10" r="V268"/>
      <c s="10" r="W268"/>
    </row>
    <row r="269">
      <c s="10" r="A269"/>
      <c s="10" r="B269"/>
      <c s="10" r="C269"/>
      <c s="10" r="D269"/>
      <c s="10" r="E269"/>
      <c s="10" r="F269"/>
      <c s="16" r="G269"/>
      <c s="16" r="H269"/>
      <c s="42" r="I269"/>
      <c s="79" r="J269"/>
      <c s="79" r="K269"/>
      <c s="17" r="L269"/>
      <c s="17" r="M269"/>
      <c s="7" r="N269"/>
      <c s="7" r="O269"/>
      <c s="7" r="P269"/>
      <c s="7" r="Q269"/>
      <c s="10" r="R269"/>
      <c s="10" r="S269"/>
      <c s="10" r="T269"/>
      <c s="10" r="U269"/>
      <c s="10" r="V269"/>
      <c s="10" r="W269"/>
    </row>
  </sheetData>
  <autoFilter ref="A1:W259">
    <sortState ref="A1:W259"/>
  </autoFilter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14"/>
    <col min="2" customWidth="1" max="2" width="10.0"/>
    <col min="3" customWidth="1" max="3" width="7.86"/>
    <col min="4" customWidth="1" max="4" width="7.29"/>
    <col min="5" customWidth="1" max="5" width="15.57"/>
    <col min="6" customWidth="1" max="6" width="16.57"/>
    <col min="7" customWidth="1" max="7" width="10.43"/>
    <col min="8" customWidth="1" max="8" width="11.57"/>
    <col min="9" customWidth="1" max="9" width="17.29"/>
    <col min="11" customWidth="1" max="11" width="14.86"/>
    <col min="14" customWidth="1" max="14" width="10.43"/>
    <col min="15" customWidth="1" max="15" width="7.29"/>
    <col min="16" customWidth="1" max="16" width="5.43"/>
    <col min="17" customWidth="1" max="17" width="13.14"/>
    <col min="18" customWidth="1" max="18" width="11.86"/>
    <col min="19" customWidth="1" max="19" width="11.0"/>
    <col min="20" customWidth="1" max="20" width="9.71"/>
    <col min="21" customWidth="1" max="21" width="13.57"/>
    <col min="22" customWidth="1" max="22" width="14.71"/>
    <col min="26" customWidth="1" max="26" width="10.71"/>
    <col min="27" customWidth="1" max="27" width="11.86"/>
    <col min="28" customWidth="1" max="28" width="7.57"/>
    <col min="29" customWidth="1" max="29" width="5.14"/>
  </cols>
  <sheetData>
    <row r="1">
      <c t="s" s="21" r="A1">
        <v>0</v>
      </c>
      <c t="s" s="21" r="B1">
        <v>2</v>
      </c>
      <c t="s" s="21" r="C1">
        <v>3</v>
      </c>
      <c t="s" s="12" r="D1">
        <v>403</v>
      </c>
      <c t="s" s="12" r="E1">
        <v>6</v>
      </c>
      <c t="s" s="12" r="F1">
        <v>7</v>
      </c>
      <c t="s" s="12" r="G1">
        <v>8</v>
      </c>
      <c t="s" s="12" r="H1">
        <v>9</v>
      </c>
      <c t="s" s="12" r="I1">
        <v>10</v>
      </c>
      <c t="s" s="12" r="J1">
        <v>11</v>
      </c>
      <c t="s" s="49" r="K1">
        <v>404</v>
      </c>
      <c t="s" s="49" r="L1">
        <v>405</v>
      </c>
      <c t="s" s="49" r="M1">
        <v>406</v>
      </c>
      <c t="s" s="49" r="N1">
        <v>13</v>
      </c>
      <c t="s" s="49" r="O1">
        <v>14</v>
      </c>
      <c t="s" s="49" r="P1">
        <v>15</v>
      </c>
      <c t="s" s="48" r="Q1">
        <v>16</v>
      </c>
      <c t="s" s="48" r="R1">
        <v>17</v>
      </c>
      <c t="s" s="2" r="S1">
        <v>18</v>
      </c>
      <c t="s" s="2" r="T1">
        <v>19</v>
      </c>
      <c t="s" s="2" r="U1">
        <v>20</v>
      </c>
      <c t="s" s="2" r="V1">
        <v>21</v>
      </c>
      <c t="s" s="21" r="W1">
        <v>407</v>
      </c>
      <c t="s" s="21" r="X1">
        <v>24</v>
      </c>
      <c t="s" s="21" r="Y1">
        <v>25</v>
      </c>
      <c t="s" s="21" r="Z1">
        <v>26</v>
      </c>
      <c t="s" s="21" r="AA1">
        <v>27</v>
      </c>
      <c t="s" s="21" r="AB1">
        <v>28</v>
      </c>
      <c t="s" s="21" r="AC1">
        <v>29</v>
      </c>
    </row>
    <row r="2">
      <c s="30" r="A2">
        <v>444</v>
      </c>
      <c s="62" r="B2">
        <v>41609</v>
      </c>
      <c s="52" r="C2">
        <v>0.604166666666667</v>
      </c>
      <c s="55" r="D2">
        <v>250</v>
      </c>
      <c s="55" r="E2">
        <v>0</v>
      </c>
      <c s="55" r="F2">
        <v>270</v>
      </c>
      <c s="55" r="G2">
        <v>0</v>
      </c>
      <c s="55" r="H2">
        <v>4.81</v>
      </c>
      <c s="55" r="I2">
        <v>0</v>
      </c>
      <c s="80" r="J2">
        <f>(((E2+F2)+G2)+H2)+I2</f>
        <v>274.81</v>
      </c>
      <c s="79" r="K2">
        <v>176.5</v>
      </c>
      <c s="79" r="L2">
        <v>0</v>
      </c>
      <c s="79" r="M2">
        <v>0</v>
      </c>
      <c s="32" r="N2">
        <f>SUMIF(Sellables!$A$2:$A$11482, A2, Sellables!$E$2:$E$11482)</f>
        <v>425.65</v>
      </c>
      <c s="32" r="O2">
        <f>SUMIF(Sellables!$A$2:$A$11482, A2, Sellables!$F$2:$F$11482)</f>
        <v>63.1034</v>
      </c>
      <c s="32" r="P2">
        <f>SUMIF(Skills!$A$2:$A$9999, A2, Skills!$F$2:$F$9999)</f>
        <v>0</v>
      </c>
      <c s="14" r="Q2">
        <f>(N2+O2)+P2</f>
        <v>488.7534</v>
      </c>
      <c s="23" r="R2">
        <f>(D2+J2)-K2</f>
        <v>348.31</v>
      </c>
      <c s="70" r="S2">
        <f>Q2-R2</f>
        <v>140.4434</v>
      </c>
      <c s="29" r="T2">
        <f> (Q2/R2) - 1</f>
        <v>0.40321380379547</v>
      </c>
      <c s="70" r="U2"/>
      <c s="70" r="V2"/>
      <c s="30" r="W2">
        <f>(D2-K2)/0.05</f>
        <v>1470</v>
      </c>
      <c t="s" s="30" r="X2">
        <v>279</v>
      </c>
      <c t="s" s="30" r="Y2">
        <v>42</v>
      </c>
      <c s="30" r="Z2">
        <v>0</v>
      </c>
      <c s="30" r="AA2">
        <v>0</v>
      </c>
      <c s="30" r="AB2">
        <v>1</v>
      </c>
      <c s="30" r="AC2">
        <v>0</v>
      </c>
    </row>
    <row r="3">
      <c s="30" r="A3">
        <v>445</v>
      </c>
      <c s="62" r="B3">
        <v>41609</v>
      </c>
      <c s="52" r="C3">
        <v>0.770833333333333</v>
      </c>
      <c s="55" r="D3">
        <v>200</v>
      </c>
      <c s="55" r="E3">
        <v>0</v>
      </c>
      <c s="55" r="F3">
        <f>183+134</f>
        <v>317</v>
      </c>
      <c s="55" r="G3">
        <v>0</v>
      </c>
      <c s="55" r="H3">
        <v>7.26</v>
      </c>
      <c s="55" r="I3">
        <v>0</v>
      </c>
      <c s="80" r="J3">
        <f>(((E3+F3)+G3)+H3)+I3</f>
        <v>324.26</v>
      </c>
      <c s="79" r="K3">
        <v>99.5</v>
      </c>
      <c s="79" r="L3">
        <v>0</v>
      </c>
      <c s="79" r="M3">
        <v>0</v>
      </c>
      <c s="32" r="N3">
        <f>SUMIF(Sellables!$A$2:$A$11482, A3, Sellables!$E$2:$E$11482)</f>
        <v>297.3</v>
      </c>
      <c s="32" r="O3">
        <f>SUMIF(Sellables!$A$2:$A$11482, A3, Sellables!$F$2:$F$11482)</f>
        <v>64.8141</v>
      </c>
      <c s="32" r="P3">
        <f>SUMIF(Skills!$A$2:$A$9999, A3, Skills!$F$2:$F$9999)</f>
        <v>0</v>
      </c>
      <c s="14" r="Q3">
        <f>(N3+O3)+P3</f>
        <v>362.1141</v>
      </c>
      <c s="23" r="R3">
        <f>(D3+J3)-K3</f>
        <v>424.76</v>
      </c>
      <c s="70" r="S3">
        <f>Q3-R3</f>
        <v>-62.6458999999999</v>
      </c>
      <c s="29" r="T3">
        <f> (Q3/R3) - 1</f>
        <v>-0.147485403521989</v>
      </c>
      <c s="70" r="U3"/>
      <c s="70" r="V3"/>
      <c s="30" r="W3">
        <f>(D3-K3)/0.05</f>
        <v>2010</v>
      </c>
      <c t="s" s="30" r="X3">
        <v>279</v>
      </c>
      <c t="s" s="30" r="Y3">
        <v>42</v>
      </c>
      <c s="30" r="Z3">
        <v>0</v>
      </c>
      <c s="30" r="AA3">
        <v>0</v>
      </c>
      <c s="30" r="AB3">
        <v>0</v>
      </c>
      <c s="30" r="AC3">
        <v>0</v>
      </c>
    </row>
    <row r="4">
      <c s="30" r="A4">
        <v>456</v>
      </c>
      <c s="62" r="B4">
        <v>41610</v>
      </c>
      <c s="52" r="C4">
        <v>0.645833333333333</v>
      </c>
      <c s="55" r="D4">
        <v>250</v>
      </c>
      <c s="55" r="E4">
        <v>0</v>
      </c>
      <c s="55" r="F4">
        <v>4.5</v>
      </c>
      <c s="55" r="G4">
        <v>0</v>
      </c>
      <c s="55" r="H4">
        <v>0.5</v>
      </c>
      <c s="55" r="I4">
        <v>0</v>
      </c>
      <c s="80" r="J4">
        <f>(((E4+F4)+G4)+H4)+I4</f>
        <v>5</v>
      </c>
      <c s="79" r="K4">
        <v>236.5</v>
      </c>
      <c s="79" r="L4">
        <v>0</v>
      </c>
      <c s="79" r="M4">
        <v>0</v>
      </c>
      <c s="32" r="N4">
        <f>SUMIF(Sellables!$A$2:$A$11482, A4, Sellables!$E$2:$E$11482)</f>
        <v>15.1</v>
      </c>
      <c s="32" r="O4">
        <f>SUMIF(Sellables!$A$2:$A$11482, A4, Sellables!$F$2:$F$11482)</f>
        <v>2.432</v>
      </c>
      <c s="32" r="P4">
        <f>SUMIF(Skills!$A$2:$A$9999, A4, Skills!$F$2:$F$9999)</f>
        <v>0</v>
      </c>
      <c s="14" r="Q4">
        <f>(N4+O4)+P4</f>
        <v>17.532</v>
      </c>
      <c s="23" r="R4">
        <f>(D4+J4)-K4</f>
        <v>18.5</v>
      </c>
      <c s="70" r="S4">
        <f>Q4-R4</f>
        <v>-0.968</v>
      </c>
      <c s="29" r="T4">
        <f> (Q4/R4) - 1</f>
        <v>-0.052324324324324</v>
      </c>
      <c s="70" r="U4"/>
      <c s="70" r="V4"/>
      <c s="30" r="W4">
        <f>(D4-K4)/0.05</f>
        <v>270</v>
      </c>
      <c t="s" s="30" r="X4">
        <v>279</v>
      </c>
      <c t="s" s="30" r="Y4">
        <v>42</v>
      </c>
      <c s="30" r="Z4">
        <v>0</v>
      </c>
      <c s="30" r="AA4">
        <v>0</v>
      </c>
      <c s="30" r="AB4">
        <v>0</v>
      </c>
      <c s="30" r="AC4">
        <v>0</v>
      </c>
    </row>
    <row r="5">
      <c s="30" r="A5">
        <v>488</v>
      </c>
      <c s="62" r="B5">
        <v>41615</v>
      </c>
      <c s="52" r="C5">
        <v>0.583333333333333</v>
      </c>
      <c s="55" r="D5">
        <v>200</v>
      </c>
      <c s="55" r="E5">
        <v>0</v>
      </c>
      <c s="55" r="F5">
        <v>360</v>
      </c>
      <c s="55" r="G5">
        <v>0</v>
      </c>
      <c s="55" r="H5">
        <v>7.86</v>
      </c>
      <c s="55" r="I5">
        <v>0</v>
      </c>
      <c s="80" r="J5">
        <f>(((E5+F5)+G5)+H5)+I5</f>
        <v>367.86</v>
      </c>
      <c s="79" r="K5">
        <v>67.13</v>
      </c>
      <c s="79" r="L5">
        <v>0</v>
      </c>
      <c s="79" r="M5">
        <v>0</v>
      </c>
      <c s="32" r="N5">
        <f>SUMIF(Sellables!$A$2:$A$11482, A5, Sellables!$E$2:$E$11482)</f>
        <v>425.94</v>
      </c>
      <c s="32" r="O5">
        <f>SUMIF(Sellables!$A$2:$A$11482, A5, Sellables!$G$2:$G$11482)</f>
        <v>490.452</v>
      </c>
      <c s="32" r="P5">
        <f>SUMIF(Skills!$A$2:$A$9999, A5, Skills!$F$2:$F$9999)</f>
        <v>0</v>
      </c>
      <c s="14" r="Q5">
        <f>(N5+O5)+P5</f>
        <v>916.392</v>
      </c>
      <c s="23" r="R5">
        <f>(D5+J5)-K5</f>
        <v>500.73</v>
      </c>
      <c s="70" r="S5">
        <f>Q5-R5</f>
        <v>415.662</v>
      </c>
      <c s="29" r="T5">
        <f> (Q5/R5) - 1</f>
        <v>0.830112036426817</v>
      </c>
      <c s="70" r="U5"/>
      <c s="70" r="V5"/>
      <c s="30" r="W5">
        <f>(D5-K5)/0.05</f>
        <v>2657.4</v>
      </c>
      <c t="s" s="30" r="X5">
        <v>279</v>
      </c>
      <c t="s" s="30" r="Y5">
        <v>42</v>
      </c>
      <c s="30" r="Z5">
        <v>0</v>
      </c>
      <c s="30" r="AA5">
        <v>0</v>
      </c>
      <c s="30" r="AB5">
        <v>0</v>
      </c>
      <c s="30" r="AC5">
        <v>1</v>
      </c>
    </row>
    <row r="6">
      <c s="30" r="A6">
        <v>498</v>
      </c>
      <c s="62" r="B6">
        <v>41616</v>
      </c>
      <c s="52" r="C6">
        <v>0.604166666666667</v>
      </c>
      <c s="55" r="D6">
        <v>250</v>
      </c>
      <c s="55" r="E6">
        <v>0</v>
      </c>
      <c s="55" r="F6">
        <v>360</v>
      </c>
      <c s="55" r="G6">
        <v>0</v>
      </c>
      <c s="55" r="H6">
        <v>9.94</v>
      </c>
      <c s="55" r="I6">
        <v>0</v>
      </c>
      <c s="80" r="J6">
        <f>(((E6+F6)+G6)+H6)+I6</f>
        <v>369.94</v>
      </c>
      <c s="79" r="K6">
        <v>134.08</v>
      </c>
      <c s="79" r="L6">
        <v>0</v>
      </c>
      <c s="79" r="M6">
        <v>0</v>
      </c>
      <c s="32" r="N6">
        <f>SUMIF(Sellables!$A$2:$A$11482, A6, Sellables!$E$2:$E$11482)</f>
        <v>492.32</v>
      </c>
      <c s="32" r="O6">
        <f>SUMIF(Sellables!$A$2:$A$11482, A6, Sellables!$F$2:$F$11482)</f>
        <v>54.2837</v>
      </c>
      <c s="32" r="P6">
        <f>SUMIF(Skills!$A$2:$A$9999, A6, Skills!$F$2:$F$9999)</f>
        <v>0</v>
      </c>
      <c s="14" r="Q6">
        <f>(N6+O6)+P6</f>
        <v>546.6037</v>
      </c>
      <c s="23" r="R6">
        <f>(D6+J6)-K6</f>
        <v>485.86</v>
      </c>
      <c s="70" r="S6">
        <f>Q6-R6</f>
        <v>60.7437</v>
      </c>
      <c s="29" r="T6">
        <f> (Q6/R6) - 1</f>
        <v>0.125023051907957</v>
      </c>
      <c s="70" r="U6"/>
      <c s="70" r="V6"/>
      <c s="30" r="W6">
        <f>(D6-K6)/0.05</f>
        <v>2318.4</v>
      </c>
      <c t="s" s="30" r="X6">
        <v>279</v>
      </c>
      <c t="s" s="30" r="Y6">
        <v>42</v>
      </c>
      <c s="30" r="Z6">
        <v>0</v>
      </c>
      <c s="30" r="AA6">
        <v>0</v>
      </c>
      <c s="30" r="AB6">
        <v>0</v>
      </c>
      <c s="30" r="AC6">
        <v>1</v>
      </c>
    </row>
    <row r="7">
      <c s="30" r="A7">
        <v>647</v>
      </c>
      <c s="62" r="B7">
        <v>41634</v>
      </c>
      <c s="52" r="C7">
        <v>0.916666666666667</v>
      </c>
      <c s="55" r="D7">
        <v>215</v>
      </c>
      <c s="55" r="E7">
        <v>0</v>
      </c>
      <c s="55" r="F7">
        <v>700</v>
      </c>
      <c s="55" r="G7">
        <v>0</v>
      </c>
      <c s="55" r="H7">
        <v>11.47</v>
      </c>
      <c s="55" r="I7">
        <v>0</v>
      </c>
      <c s="80" r="J7">
        <f>(((E7+F7)+G7)+H7)+I7</f>
        <v>711.47</v>
      </c>
      <c s="79" r="K7">
        <v>27.6</v>
      </c>
      <c s="79" r="L7">
        <v>0</v>
      </c>
      <c s="79" r="M7">
        <v>0</v>
      </c>
      <c s="32" r="N7">
        <f>SUMIF(Sellables!$A$2:$A$11482, A7, Sellables!$E$2:$E$11482)</f>
        <v>834.1</v>
      </c>
      <c s="32" r="O7">
        <f>SUMIF(Sellables!$A$2:$A$11482, A7, Sellables!$F$2:$F$11482)</f>
        <v>220.78103</v>
      </c>
      <c s="32" r="P7">
        <f>SUMIF(Skills!$A$2:$A$9999, A7, Skills!$F$2:$F$9999)</f>
        <v>0</v>
      </c>
      <c s="14" r="Q7">
        <f>(N7+O7)+P7</f>
        <v>1054.88103</v>
      </c>
      <c s="23" r="R7">
        <f>(D7+J7)-K7</f>
        <v>898.87</v>
      </c>
      <c s="70" r="S7">
        <f>Q7-R7</f>
        <v>156.01103</v>
      </c>
      <c s="29" r="T7">
        <f> (Q7/R7) - 1</f>
        <v>0.173563507514991</v>
      </c>
      <c s="70" r="U7"/>
      <c s="70" r="V7"/>
      <c s="30" r="W7">
        <f>(D7-K7)/0.05</f>
        <v>3748</v>
      </c>
      <c t="s" s="30" r="X7">
        <v>408</v>
      </c>
      <c t="s" s="30" r="Y7">
        <v>42</v>
      </c>
      <c s="30" r="Z7">
        <v>0</v>
      </c>
      <c s="30" r="AA7">
        <v>0</v>
      </c>
      <c s="30" r="AB7">
        <v>0</v>
      </c>
      <c s="30" r="AC7">
        <v>0</v>
      </c>
    </row>
    <row r="8">
      <c s="30" r="A8">
        <v>711</v>
      </c>
      <c s="62" r="B8">
        <v>41639</v>
      </c>
      <c s="52" r="C8">
        <v>0.645833333333333</v>
      </c>
      <c s="55" r="D8">
        <v>250</v>
      </c>
      <c s="55" r="E8">
        <v>0</v>
      </c>
      <c s="55" r="F8">
        <f>500-8.94</f>
        <v>491.06</v>
      </c>
      <c s="55" r="G8">
        <v>0</v>
      </c>
      <c s="55" r="H8">
        <v>11.25</v>
      </c>
      <c s="55" r="I8">
        <v>0.08</v>
      </c>
      <c s="80" r="J8">
        <f>(((E8+F8)+G8)+H8)+I8</f>
        <v>502.39</v>
      </c>
      <c s="79" r="K8">
        <v>133</v>
      </c>
      <c s="79" r="L8">
        <v>0</v>
      </c>
      <c s="79" r="M8">
        <v>0</v>
      </c>
      <c s="32" r="N8">
        <v>620</v>
      </c>
      <c s="32" r="O8">
        <f>SUMIF(Sellables!$A$2:$A$11482, A8, Sellables!$G$2:$G$11482)</f>
        <v>0</v>
      </c>
      <c s="32" r="P8">
        <f>SUMIF(Skills!$A$2:$A$9999, A8, Skills!$F$2:$F$9999)</f>
        <v>0</v>
      </c>
      <c s="14" r="Q8">
        <f>(N8+O8)+P8</f>
        <v>620</v>
      </c>
      <c s="23" r="R8">
        <f>(D8+J8)-K8</f>
        <v>619.39</v>
      </c>
      <c s="70" r="S8">
        <f>Q8-R8</f>
        <v>0.610000000000014</v>
      </c>
      <c s="29" r="T8">
        <f> (Q8/R8) - 1</f>
        <v>0.00098483992315</v>
      </c>
      <c s="70" r="U8"/>
      <c s="70" r="V8"/>
      <c s="30" r="W8">
        <f>(D8-K8)/0.05</f>
        <v>2340</v>
      </c>
      <c t="s" s="30" r="X8">
        <v>279</v>
      </c>
      <c t="s" s="30" r="Y8">
        <v>42</v>
      </c>
      <c s="30" r="Z8">
        <v>0</v>
      </c>
      <c s="30" r="AA8">
        <v>0</v>
      </c>
      <c s="30" r="AB8">
        <v>0</v>
      </c>
      <c s="30" r="AC8">
        <v>0</v>
      </c>
    </row>
    <row r="9">
      <c s="30" r="A9">
        <v>728</v>
      </c>
      <c s="62" r="B9">
        <v>41640</v>
      </c>
      <c s="52" r="C9">
        <v>0.229166666666667</v>
      </c>
      <c s="55" r="D9">
        <v>250</v>
      </c>
      <c s="55" r="E9">
        <v>0</v>
      </c>
      <c s="55" r="F9">
        <f>((((480+6.3)+11.82)+6.44)+6.44)-20.71</f>
        <v>490.29</v>
      </c>
      <c s="55" r="G9">
        <v>0</v>
      </c>
      <c s="55" r="H9">
        <v>5.87</v>
      </c>
      <c s="55" r="I9">
        <v>0.14</v>
      </c>
      <c s="80" r="J9">
        <f>(((E9+F9)+G9)+H9)+I9</f>
        <v>496.3</v>
      </c>
      <c s="79" r="K9">
        <v>146.5</v>
      </c>
      <c s="79" r="L9">
        <v>1.3</v>
      </c>
      <c s="79" r="M9">
        <v>0</v>
      </c>
      <c s="32" r="N9">
        <f>SUMIF(Sellables!$A$2:$A$11482, A9, Sellables!$E$2:$E$11482)</f>
        <v>383.49</v>
      </c>
      <c s="32" r="O9">
        <f>SUMIF(Sellables!$A$2:$A$11482, A9, Sellables!$G$2:$G$11482)</f>
        <v>472.48426</v>
      </c>
      <c s="32" r="P9">
        <f>SUMIF(Skills!$A$2:$A$9999, A9, Skills!$F$2:$F$9999)</f>
        <v>0</v>
      </c>
      <c s="14" r="Q9">
        <f>(N9+O9)+P9</f>
        <v>855.97426</v>
      </c>
      <c s="23" r="R9">
        <f>(D9+J9)-K9</f>
        <v>599.8</v>
      </c>
      <c s="70" r="S9">
        <f>Q9-R9</f>
        <v>256.17426</v>
      </c>
      <c s="29" r="T9">
        <f> (Q9/R9) - 1</f>
        <v>0.42709946648883</v>
      </c>
      <c s="70" r="U9"/>
      <c s="70" r="V9"/>
      <c s="30" r="W9">
        <f>(D9-K9)/0.05</f>
        <v>2070</v>
      </c>
      <c t="s" s="30" r="X9">
        <v>279</v>
      </c>
      <c t="s" s="30" r="Y9">
        <v>42</v>
      </c>
      <c s="30" r="Z9">
        <v>0</v>
      </c>
      <c s="30" r="AA9">
        <v>0</v>
      </c>
      <c s="30" r="AB9">
        <v>0</v>
      </c>
      <c s="30" r="AC9">
        <v>0</v>
      </c>
    </row>
    <row r="10">
      <c s="30" r="A10">
        <v>766</v>
      </c>
      <c s="62" r="B10">
        <v>41643</v>
      </c>
      <c s="52" r="C10">
        <v>0.697916666666667</v>
      </c>
      <c s="55" r="D10">
        <v>500</v>
      </c>
      <c s="55" r="E10">
        <v>10.52</v>
      </c>
      <c s="55" r="F10">
        <v>1315.18</v>
      </c>
      <c s="55" r="G10">
        <v>0</v>
      </c>
      <c s="55" r="H10">
        <v>10.91</v>
      </c>
      <c s="55" r="I10">
        <v>0.2</v>
      </c>
      <c s="80" r="J10">
        <f>(((E10+F10)+G10)+H10)+I10</f>
        <v>1336.81</v>
      </c>
      <c s="79" r="K10">
        <v>245</v>
      </c>
      <c s="79" r="L10">
        <v>1183.09</v>
      </c>
      <c s="79" r="M10">
        <v>0</v>
      </c>
      <c s="32" r="N10">
        <f>(33.48+3.5)+ SUMIF(Sellables!$A$2:$A$11482, A9, Sellables!$E$2:$E$11482)</f>
        <v>420.47</v>
      </c>
      <c s="32" r="O10">
        <f>SUMIF(Sellables!$A$2:$A$11482, A10, Sellables!$F$2:$F$11482)</f>
        <v>46.4233</v>
      </c>
      <c s="32" r="P10">
        <f>SUMIF(Skills!$A$2:$A$9999, A10, Skills!$F$2:$F$9999)</f>
        <v>0</v>
      </c>
      <c s="14" r="Q10">
        <f>(N10+O10)+P10</f>
        <v>466.8933</v>
      </c>
      <c s="23" r="R10">
        <f>((D10+J10)-K10)-L10</f>
        <v>408.72</v>
      </c>
      <c s="70" r="S10">
        <f>Q10-R10</f>
        <v>58.1732999999997</v>
      </c>
      <c s="29" r="T10">
        <f> (Q10/R10) - 1</f>
        <v>0.142330446271285</v>
      </c>
      <c s="70" r="U10"/>
      <c s="70" r="V10"/>
      <c s="30" r="W10">
        <f>(D10-K10)/0.05</f>
        <v>5100</v>
      </c>
      <c t="s" s="30" r="X10">
        <v>65</v>
      </c>
      <c t="s" s="30" r="Y10">
        <v>65</v>
      </c>
      <c s="30" r="Z10">
        <v>0</v>
      </c>
      <c s="30" r="AA10">
        <v>0</v>
      </c>
      <c s="30" r="AB10">
        <v>2</v>
      </c>
      <c s="30" r="AC10">
        <v>0</v>
      </c>
    </row>
    <row r="11">
      <c s="30" r="A11">
        <v>799</v>
      </c>
      <c s="62" r="B11">
        <v>41647</v>
      </c>
      <c s="52" r="C11">
        <v>0.677083333333333</v>
      </c>
      <c s="55" r="D11">
        <v>250</v>
      </c>
      <c s="55" r="E11">
        <v>0</v>
      </c>
      <c s="55" r="F11">
        <v>387.7</v>
      </c>
      <c s="55" r="G11">
        <v>0</v>
      </c>
      <c s="55" r="H11">
        <v>8.61</v>
      </c>
      <c s="55" r="I11">
        <v>0.04</v>
      </c>
      <c s="80" r="J11">
        <f>(((E11+F11)+G11)+H11)+I11</f>
        <v>396.35</v>
      </c>
      <c s="79" r="K11">
        <v>145</v>
      </c>
      <c s="79" r="L11">
        <v>62.2</v>
      </c>
      <c s="79" r="M11">
        <v>0</v>
      </c>
      <c s="32" r="N11">
        <f>SUMIF(Sellables!$A$2:$A$11482, A11, Sellables!$E$2:$E$11482)</f>
        <v>490.39</v>
      </c>
      <c s="32" r="O11">
        <f>SUMIF(Sellables!$A$2:$A$11482, A11, Sellables!$F$2:$F$11482)</f>
        <v>85.70915</v>
      </c>
      <c s="32" r="P11">
        <f>SUMIF(Skills!$A$2:$A$9999, A11, Skills!$F$2:$F$9999)</f>
        <v>0</v>
      </c>
      <c s="14" r="Q11">
        <f>(N11+O11)+P11</f>
        <v>576.09915</v>
      </c>
      <c s="23" r="R11">
        <f>((D11+J11)-K11)-L11</f>
        <v>439.15</v>
      </c>
      <c s="70" r="S11">
        <f>Q11-R11</f>
        <v>136.94915</v>
      </c>
      <c s="29" r="T11">
        <f> (Q11/R11) - 1</f>
        <v>0.311850506660594</v>
      </c>
      <c s="70" r="U11"/>
      <c s="70" r="V11"/>
      <c s="30" r="W11">
        <f>(D11-K11)/0.05</f>
        <v>2100</v>
      </c>
      <c t="s" s="30" r="X11">
        <v>65</v>
      </c>
      <c t="s" s="30" r="Y11">
        <v>65</v>
      </c>
      <c s="30" r="Z11">
        <v>0</v>
      </c>
      <c s="30" r="AA11">
        <v>0</v>
      </c>
      <c s="30" r="AB11">
        <v>0</v>
      </c>
      <c s="30" r="AC11">
        <v>0</v>
      </c>
    </row>
    <row r="12">
      <c s="30" r="A12">
        <v>817</v>
      </c>
      <c s="62" r="B12">
        <v>41649</v>
      </c>
      <c s="52" r="C12">
        <v>0.96875</v>
      </c>
      <c s="55" r="D12">
        <v>250</v>
      </c>
      <c s="55" r="E12">
        <v>0</v>
      </c>
      <c s="55" r="F12">
        <f>259.18+60</f>
        <v>319.18</v>
      </c>
      <c s="55" r="G12">
        <v>0</v>
      </c>
      <c s="55" r="H12">
        <v>5.46</v>
      </c>
      <c s="55" r="I12">
        <v>0.04</v>
      </c>
      <c s="80" r="J12">
        <f>(((E12+F12)+G12)+H12)+I12</f>
        <v>324.68</v>
      </c>
      <c s="79" r="K12">
        <v>157</v>
      </c>
      <c s="79" r="L12">
        <v>46.38</v>
      </c>
      <c s="79" r="M12">
        <v>0</v>
      </c>
      <c s="32" r="N12">
        <f>SUMIF(Sellables!$A$2:$A$11482, A12, Sellables!$E$2:$E$11482)</f>
        <v>290.28</v>
      </c>
      <c s="32" r="O12">
        <f>SUMIF(Sellables!$A$2:$A$11482, A12, Sellables!$F$2:$F$11482)</f>
        <v>35.6556</v>
      </c>
      <c s="32" r="P12">
        <f>SUMIF(Skills!$A$2:$A$9999, A12, Skills!$F$2:$F$9999)</f>
        <v>0</v>
      </c>
      <c s="14" r="Q12">
        <f>(N12+O12)+P12</f>
        <v>325.9356</v>
      </c>
      <c s="23" r="R12">
        <f>((D12+J12)-K12)-L12</f>
        <v>371.3</v>
      </c>
      <c s="70" r="S12">
        <f>Q12-R12</f>
        <v>-45.3644</v>
      </c>
      <c s="29" r="T12">
        <f> (Q12/R12) - 1</f>
        <v>-0.122177215189874</v>
      </c>
      <c s="70" r="U12"/>
      <c s="70" r="V12"/>
      <c s="30" r="W12">
        <f>(D12-K12)/0.05</f>
        <v>1860</v>
      </c>
      <c t="s" s="30" r="X12">
        <v>65</v>
      </c>
      <c t="s" s="30" r="Y12">
        <v>65</v>
      </c>
      <c s="30" r="Z12">
        <v>0</v>
      </c>
      <c s="30" r="AA12">
        <v>0</v>
      </c>
      <c s="30" r="AB12">
        <v>0</v>
      </c>
      <c s="30" r="AC12">
        <v>0</v>
      </c>
    </row>
    <row r="13">
      <c s="30" r="A13">
        <v>835</v>
      </c>
      <c s="62" r="B13">
        <v>41651</v>
      </c>
      <c s="52" r="C13">
        <v>0.652777777777778</v>
      </c>
      <c s="55" r="D13">
        <v>500</v>
      </c>
      <c s="55" r="E13">
        <v>0</v>
      </c>
      <c s="55" r="F13">
        <v>525.51</v>
      </c>
      <c s="55" r="G13">
        <v>0</v>
      </c>
      <c s="55" r="H13">
        <v>13.7</v>
      </c>
      <c s="55" r="I13">
        <v>0</v>
      </c>
      <c s="80" r="J13">
        <f>(((E13+F13)+G13)+H13)+I13</f>
        <v>539.21</v>
      </c>
      <c s="79" r="K13">
        <v>326</v>
      </c>
      <c s="79" r="L13">
        <v>247.66</v>
      </c>
      <c s="79" r="M13">
        <v>0</v>
      </c>
      <c s="32" r="N13">
        <f>SUMIF(Sellables!$A$2:$A$11482, A13, Sellables!$E$2:$E$11482)+6.08</f>
        <v>690.76</v>
      </c>
      <c s="32" r="O13">
        <f>SUMIF(Sellables!$A$2:$A$11482, A13, Sellables!$F$2:$F$11482)</f>
        <v>86.27942</v>
      </c>
      <c s="32" r="P13">
        <f>SUMIF(Skills!$A$2:$A$9999, A13, Skills!$F$2:$F$9999)</f>
        <v>0</v>
      </c>
      <c s="14" r="Q13">
        <f>(N13+O13)+P13</f>
        <v>777.03942</v>
      </c>
      <c s="23" r="R13">
        <f>((D13+J13)-K13)-L13</f>
        <v>465.55</v>
      </c>
      <c s="70" r="S13">
        <f>Q13-R13</f>
        <v>311.48942</v>
      </c>
      <c s="29" r="T13">
        <f> (Q13/R13) - 1</f>
        <v>0.669078337450328</v>
      </c>
      <c s="70" r="U13"/>
      <c s="70" r="V13"/>
      <c s="30" r="W13">
        <f>(D13-K13)/0.05</f>
        <v>3480</v>
      </c>
      <c t="s" s="30" r="X13">
        <v>65</v>
      </c>
      <c t="s" s="30" r="Y13">
        <v>65</v>
      </c>
      <c s="30" r="Z13">
        <v>0</v>
      </c>
      <c s="30" r="AA13">
        <v>0</v>
      </c>
      <c s="30" r="AB13">
        <v>0</v>
      </c>
      <c s="30" r="AC13">
        <v>0</v>
      </c>
    </row>
    <row r="14">
      <c s="30" r="A14">
        <v>839</v>
      </c>
      <c s="62" r="B14">
        <v>41651</v>
      </c>
      <c s="52" r="C14">
        <v>0.864583333333333</v>
      </c>
      <c s="55" r="D14">
        <v>500</v>
      </c>
      <c s="55" r="E14">
        <v>14.78</v>
      </c>
      <c s="55" r="F14">
        <v>778.62</v>
      </c>
      <c s="55" r="G14">
        <v>0</v>
      </c>
      <c s="55" r="H14">
        <v>14.65</v>
      </c>
      <c s="55" r="I14">
        <v>0.2</v>
      </c>
      <c s="80" r="J14">
        <f>(((E14+F14)+G14)+H14)+I14</f>
        <v>808.25</v>
      </c>
      <c s="79" r="K14">
        <v>302</v>
      </c>
      <c s="79" r="L14">
        <v>220.62</v>
      </c>
      <c s="79" r="M14">
        <v>5.97</v>
      </c>
      <c s="32" r="N14">
        <f>SUMIF(Sellables!$A$2:$A$11482, A14, Sellables!$E$2:$E$11482)</f>
        <v>863.45</v>
      </c>
      <c s="32" r="O14">
        <f>SUMIF(Sellables!$A$2:$A$11482, A14, Sellables!$F$2:$F$11482)</f>
        <v>235.22972</v>
      </c>
      <c s="32" r="P14">
        <f>SUMIF(Skills!$A$2:$A$9999, A14, Skills!$F$2:$F$9999)</f>
        <v>0</v>
      </c>
      <c s="14" r="Q14">
        <f>(((N14+O14)+L14)+P14)+M14</f>
        <v>1325.26972</v>
      </c>
      <c s="23" r="R14">
        <f>((D14+J14)-K14)-L14</f>
        <v>785.63</v>
      </c>
      <c s="70" r="S14">
        <f>Q14-R14</f>
        <v>539.63972</v>
      </c>
      <c s="29" r="T14">
        <f> (Q14/R14) - 1</f>
        <v>0.686887873426423</v>
      </c>
      <c s="70" r="U14"/>
      <c s="70" r="V14"/>
      <c s="30" r="W14">
        <f>(D14-K14)/0.05</f>
        <v>3960</v>
      </c>
      <c t="s" s="30" r="X14">
        <v>65</v>
      </c>
      <c t="s" s="30" r="Y14">
        <v>65</v>
      </c>
      <c s="30" r="Z14">
        <v>0</v>
      </c>
      <c s="30" r="AA14">
        <v>1</v>
      </c>
      <c s="30" r="AB14">
        <v>0</v>
      </c>
      <c s="30" r="AC1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7" customWidth="1" max="7" width="14.86"/>
    <col min="8" customWidth="1" max="8" width="10.57"/>
    <col min="9" customWidth="1" max="9" width="11.57"/>
    <col min="10" customWidth="1" max="10" width="17.86"/>
    <col min="11" customWidth="1" max="11" width="20.29"/>
    <col min="12" customWidth="1" max="12" width="14.14"/>
    <col min="13" customWidth="1" max="13" width="13.14"/>
    <col min="14" customWidth="1" max="14" width="11.86"/>
    <col min="15" customWidth="1" max="15" width="11.0"/>
    <col min="16" customWidth="1" max="16" width="9.71"/>
    <col min="20" customWidth="1" max="20" width="10.71"/>
    <col min="21" customWidth="1" max="21" width="11.86"/>
    <col min="22" customWidth="1" max="22" width="7.57"/>
    <col min="23" customWidth="1" max="23" width="5.14"/>
  </cols>
  <sheetData>
    <row r="1">
      <c t="s" s="21" r="A1">
        <v>409</v>
      </c>
      <c t="s" s="12" r="B1">
        <v>4</v>
      </c>
      <c t="s" s="12" r="C1">
        <v>410</v>
      </c>
      <c t="s" s="12" r="D1">
        <v>5</v>
      </c>
      <c t="s" s="12" r="E1">
        <v>411</v>
      </c>
      <c t="s" s="12" r="F1">
        <v>412</v>
      </c>
      <c t="s" s="49" r="G1">
        <v>12</v>
      </c>
      <c t="s" s="49" r="H1">
        <v>13</v>
      </c>
      <c t="s" s="49" r="I1">
        <v>413</v>
      </c>
      <c t="s" s="49" r="J1">
        <v>414</v>
      </c>
      <c t="s" s="49" r="K1">
        <v>415</v>
      </c>
      <c t="s" s="49" r="L1">
        <v>416</v>
      </c>
      <c t="s" s="48" r="M1">
        <v>16</v>
      </c>
      <c t="s" s="48" r="N1">
        <v>17</v>
      </c>
      <c t="s" s="2" r="O1">
        <v>18</v>
      </c>
      <c t="s" s="2" r="P1">
        <v>19</v>
      </c>
      <c t="s" s="25" r="Q1">
        <v>417</v>
      </c>
      <c t="s" s="25" r="R1">
        <v>418</v>
      </c>
      <c t="s" s="25" r="S1">
        <v>419</v>
      </c>
      <c t="s" s="54" r="T1">
        <v>26</v>
      </c>
      <c t="s" s="54" r="U1">
        <v>27</v>
      </c>
      <c t="s" s="54" r="V1">
        <v>28</v>
      </c>
      <c t="s" s="54" r="W1">
        <v>29</v>
      </c>
    </row>
    <row r="2">
      <c s="78" r="A2">
        <v>41558</v>
      </c>
      <c s="9" r="B2">
        <f>SUMIF(Hunting!$C$2:$C$10073, $A2, Hunting!$E$2:$E$10073)</f>
        <v>1000</v>
      </c>
      <c s="9" r="C2">
        <f>SUMIF(Hunting!$C$2:$C$10073, $A2, Hunting!$L$2:$L$10073)</f>
        <v>142.81</v>
      </c>
      <c s="9" r="D2">
        <f>SUMIF(Hunting!$C$2:$C$10073, $A2, Hunting!$F$2:$F$10073)</f>
        <v>0</v>
      </c>
      <c s="9" r="E2">
        <f>SUMIF(Purchased!$A$2:$A$9982, $A2, Purchased!$D$2:$D$9982)-SUMIF(Purchased!$A$2:$A$9982, $A2, Purchased!$I$2:$I$9982)</f>
        <v>0</v>
      </c>
      <c s="9" r="F2">
        <f>SUMIF('Craft Mats'!$A$2:$A$10039, $A2, 'Craft Mats'!$F$2:$F$10039)</f>
        <v>0</v>
      </c>
      <c s="32" r="G2">
        <f>SUMIF(Hunting!$C$2:$C$10073, $A2, Hunting!$M$2:$M$10073)</f>
        <v>137.12</v>
      </c>
      <c s="32" r="H2">
        <f>SUMIF(Hunting!$C$2:$C$10073, $A2, Hunting!$N$2:$N$10073)</f>
        <v>848</v>
      </c>
      <c s="32" r="I2">
        <f>SUMIF(Hunting!$C$2:$C$10073, $A2, Hunting!$O$2:$O$10073)</f>
        <v>0</v>
      </c>
      <c s="32" r="J2">
        <f>SUMIF(Hunting!$C$2:$C$10073, $A2, Hunting!$P$2:$P$10073)</f>
        <v>0</v>
      </c>
      <c s="32" r="K2">
        <f>SUMIF(Hunting!$C$2:$C$10073, $A2, Hunting!$P$2:$P$10073)</f>
        <v>0</v>
      </c>
      <c s="32" r="L2">
        <f>SUMIF(Purchased!$A$2:$A$9982, $A2, Purchased!$H$2:$H$9982)</f>
        <v>0</v>
      </c>
      <c s="14" r="M2">
        <f>((((H2+I2)+J2)+K2)+T2)+L2</f>
        <v>848</v>
      </c>
      <c s="14" r="N2">
        <f>((((B2+C2)+D2)+E2)-G2)+F2</f>
        <v>1005.69</v>
      </c>
      <c s="33" r="O2">
        <f>M2-N2</f>
        <v>-157.69</v>
      </c>
      <c s="29" r="P2">
        <f> (M2/N2)-1</f>
        <v>-0.156797820401913</v>
      </c>
      <c s="65" r="Q2">
        <f>SUMIF(Hunting!$C$2:$C$10073, $A2, Hunting!$S$2:$S$10073)</f>
        <v>-300.43</v>
      </c>
      <c s="36" r="R2">
        <f>SUMIF(Crafting!$B$2:$B$10172, $A2, Crafting!$N$2:$N$10172)</f>
        <v>0</v>
      </c>
      <c s="36" r="S2">
        <f>SUMIF(Mining!$B$2:$B$10072, $A2, Mining!$S$2:$S$10072)</f>
        <v>0</v>
      </c>
      <c s="22" r="T2">
        <f>SUMIF(Hunting!$C$2:$C$10073, $A2, Hunting!$AA$2:$AA$10073)</f>
        <v>0</v>
      </c>
      <c s="22" r="U2">
        <f>SUMIF(Hunting!$C$2:$C$10073, $A2, Hunting!$AB$2:$AB$10073)</f>
        <v>3</v>
      </c>
      <c s="22" r="V2">
        <f>SUMIF(Hunting!$C$2:$C$10073, $A2, Hunting!$AC$2:$AC$10073)</f>
        <v>1</v>
      </c>
      <c s="22" r="W2">
        <f>SUMIF(Hunting!$C$2:$C$10073, $A2, Hunting!$AD$2:$AD$10073)</f>
        <v>0</v>
      </c>
    </row>
    <row r="3">
      <c s="78" r="A3">
        <v>41559</v>
      </c>
      <c s="9" r="B3">
        <f>SUMIF(Hunting!$C$2:$C$10073, $A3, Hunting!$E$2:$E$10073)</f>
        <v>1232.2</v>
      </c>
      <c s="9" r="C3">
        <f>SUMIF(Hunting!$C$2:$C$10073, $A3, Hunting!$L$2:$L$10073)</f>
        <v>146.42</v>
      </c>
      <c s="9" r="D3">
        <f>SUMIF(Hunting!$C$2:$C$10073, $A3, Hunting!$F$2:$F$10073)</f>
        <v>0</v>
      </c>
      <c s="9" r="E3">
        <f>SUMIF(Purchased!$A$2:$A$9982, $A3, Purchased!$D$2:$D$9982)-SUMIF(Purchased!$A$2:$A$9982, $A3, Purchased!$I$2:$I$9982)</f>
        <v>0</v>
      </c>
      <c s="9" r="F3">
        <f>SUMIF('Craft Mats'!$A$2:$A$10039, $A3, 'Craft Mats'!$F$2:$F$10039)</f>
        <v>0</v>
      </c>
      <c s="32" r="G3">
        <f>SUMIF(Hunting!$C$2:$C$10073, $A3, Hunting!$M$2:$M$10073)</f>
        <v>0</v>
      </c>
      <c s="32" r="H3">
        <f>SUMIF(Hunting!$C$2:$C$10073, $A3, Hunting!$N$2:$N$10073)</f>
        <v>1365.3</v>
      </c>
      <c s="32" r="I3">
        <f>SUMIF(Hunting!$C$2:$C$10073, $A3, Hunting!$O$2:$O$10073)</f>
        <v>0</v>
      </c>
      <c s="32" r="J3">
        <f>SUMIF(Hunting!$C$2:$C$10073, $A3, Hunting!$P$2:$P$10073)</f>
        <v>0</v>
      </c>
      <c s="32" r="K3">
        <f>SUMIF(Hunting!$C$2:$C$10073, $A3, Hunting!$P$2:$P$10073)</f>
        <v>0</v>
      </c>
      <c s="32" r="L3">
        <f>SUMIF(Purchased!$A$2:$A$9982, $A3, Purchased!$H$2:$H$9982)</f>
        <v>0</v>
      </c>
      <c s="14" r="M3">
        <f>((((H3+I3)+J3)+K3)+T3)+L3</f>
        <v>1365.3</v>
      </c>
      <c s="14" r="N3">
        <f>((((B3+C3)+D3)+E3)-G3)+F3</f>
        <v>1378.62</v>
      </c>
      <c s="33" r="O3">
        <f>M3-N3</f>
        <v>-13.3200000000002</v>
      </c>
      <c s="29" r="P3">
        <f> (M3/N3)-1</f>
        <v>-0.009661835748792</v>
      </c>
      <c s="36" r="Q3">
        <f>SUMIF(Hunting!$C$2:$C$10073, $A3, Hunting!$S$2:$S$10073)</f>
        <v>-13.32</v>
      </c>
      <c s="36" r="R3">
        <f>SUMIF(Crafting!$B$2:$B$10172, $A3, Crafting!$N$2:$N$10172)</f>
        <v>0</v>
      </c>
      <c s="36" r="S3">
        <f>SUMIF(Mining!$B$2:$B$10072, $A3, Mining!$S$2:$S$10072)</f>
        <v>0</v>
      </c>
      <c s="22" r="T3">
        <f>SUMIF(Hunting!$C$2:$C$10073, $A3, Hunting!$AA$2:$AA$10073)</f>
        <v>0</v>
      </c>
      <c s="22" r="U3">
        <f>SUMIF(Hunting!$C$2:$C$10073, $A3, Hunting!$AB$2:$AB$10073)</f>
        <v>3</v>
      </c>
      <c s="22" r="V3">
        <f>SUMIF(Hunting!$C$2:$C$10073, $A3, Hunting!$AC$2:$AC$10073)</f>
        <v>4</v>
      </c>
      <c s="22" r="W3">
        <f>SUMIF(Hunting!$C$2:$C$10073, $A3, Hunting!$AD$2:$AD$10073)</f>
        <v>0</v>
      </c>
    </row>
    <row r="4">
      <c s="78" r="A4">
        <v>41560</v>
      </c>
      <c s="9" r="B4">
        <f>SUMIF(Hunting!$C$2:$C$10073, $A4, Hunting!$E$2:$E$10073)</f>
        <v>2515.81</v>
      </c>
      <c s="9" r="C4">
        <f>SUMIF(Hunting!$C$2:$C$10073, $A4, Hunting!$L$2:$L$10073)</f>
        <v>210.49</v>
      </c>
      <c s="9" r="D4">
        <f>SUMIF(Hunting!$C$2:$C$10073, $A4, Hunting!$F$2:$F$10073)</f>
        <v>0</v>
      </c>
      <c s="9" r="E4">
        <f>SUMIF(Purchased!$A$2:$A$9982, $A4, Purchased!$D$2:$D$9982)-SUMIF(Purchased!$A$2:$A$9982, $A4, Purchased!$I$2:$I$9982)</f>
        <v>0</v>
      </c>
      <c s="9" r="F4">
        <f>SUMIF('Craft Mats'!$A$2:$A$10039, $A4, 'Craft Mats'!$F$2:$F$10039)</f>
        <v>0</v>
      </c>
      <c s="32" r="G4">
        <f>SUMIF(Hunting!$C$2:$C$10073, $A4, Hunting!$M$2:$M$10073)</f>
        <v>0</v>
      </c>
      <c s="32" r="H4">
        <f>SUMIF(Hunting!$C$2:$C$10073, $A4, Hunting!$N$2:$N$10073)</f>
        <v>3168.47</v>
      </c>
      <c s="32" r="I4">
        <f>SUMIF(Hunting!$C$2:$C$10073, $A4, Hunting!$O$2:$O$10073)</f>
        <v>0</v>
      </c>
      <c s="32" r="J4">
        <f>SUMIF(Hunting!$C$2:$C$10073, $A4, Hunting!$P$2:$P$10073)</f>
        <v>32.825426</v>
      </c>
      <c s="32" r="K4">
        <v>0</v>
      </c>
      <c s="32" r="L4">
        <f>SUMIF(Purchased!$A$2:$A$9982, $A4, Purchased!$H$2:$H$9982)</f>
        <v>0</v>
      </c>
      <c s="14" r="M4">
        <f>((((H4+I4)+J4)+K4)+T4)+L4</f>
        <v>3201.295426</v>
      </c>
      <c s="14" r="N4">
        <f>((((B4+C4)+D4)+E4)-G4)+F4</f>
        <v>2726.3</v>
      </c>
      <c s="33" r="O4">
        <f>M4-N4</f>
        <v>474.995426</v>
      </c>
      <c s="29" r="P4">
        <f> (M4/N4)-1</f>
        <v>0.174227130543227</v>
      </c>
      <c s="36" r="Q4">
        <f>SUMIF(Hunting!$C$2:$C$10073, $A4, Hunting!$S$2:$S$10073)</f>
        <v>506.465426</v>
      </c>
      <c s="36" r="R4">
        <f>SUMIF(Crafting!$B$2:$B$10172, $A4, Crafting!$N$2:$N$10172)</f>
        <v>0</v>
      </c>
      <c s="36" r="S4">
        <f>SUMIF(Mining!$B$2:$B$10072, $A4, Mining!$S$2:$S$10072)</f>
        <v>0</v>
      </c>
      <c s="22" r="T4">
        <f>SUMIF(Hunting!$C$2:$C$10073, $A4, Hunting!$AA$2:$AA$10073)</f>
        <v>0</v>
      </c>
      <c s="22" r="U4">
        <f>SUMIF(Hunting!$C$2:$C$10073, $A4, Hunting!$AB$2:$AB$10073)</f>
        <v>5</v>
      </c>
      <c s="22" r="V4">
        <f>SUMIF(Hunting!$C$2:$C$10073, $A4, Hunting!$AC$2:$AC$10073)</f>
        <v>8</v>
      </c>
      <c s="22" r="W4">
        <f>SUMIF(Hunting!$C$2:$C$10073, $A4, Hunting!$AD$2:$AD$10073)</f>
        <v>0</v>
      </c>
    </row>
    <row r="5">
      <c s="78" r="A5">
        <v>41561</v>
      </c>
      <c s="9" r="B5">
        <f>SUMIF(Hunting!$C$2:$C$10073, $A5, Hunting!$E$2:$E$10073)</f>
        <v>1350.63</v>
      </c>
      <c s="9" r="C5">
        <f>SUMIF(Hunting!$C$2:$C$10073, $A5, Hunting!$L$2:$L$10073)</f>
        <v>37.04</v>
      </c>
      <c s="9" r="D5">
        <f>SUMIF(Hunting!$C$2:$C$10073, $A5, Hunting!$F$2:$F$10073)</f>
        <v>0</v>
      </c>
      <c s="9" r="E5">
        <f>SUMIF(Purchased!$A$2:$A$9982, $A5, Purchased!$D$2:$D$9982)-SUMIF(Purchased!$A$2:$A$9982, $A5, Purchased!$I$2:$I$9982)</f>
        <v>0</v>
      </c>
      <c s="9" r="F5">
        <f>SUMIF('Craft Mats'!$A$2:$A$10039, $A5, 'Craft Mats'!$F$2:$F$10039)</f>
        <v>0</v>
      </c>
      <c s="32" r="G5">
        <f>SUMIF(Hunting!$C$2:$C$10073, $A5, Hunting!$M$2:$M$10073)</f>
        <v>0</v>
      </c>
      <c s="32" r="H5">
        <f>SUMIF(Hunting!$C$2:$C$10073, $A5, Hunting!$N$2:$N$10073)</f>
        <v>1387.39</v>
      </c>
      <c s="32" r="I5">
        <f>SUMIF(Hunting!$C$2:$C$10073, $A5, Hunting!$O$2:$O$10073)</f>
        <v>0</v>
      </c>
      <c s="32" r="J5">
        <f>SUMIF(Hunting!$C$2:$C$10073, $A5, Hunting!$P$2:$P$10073)</f>
        <v>0</v>
      </c>
      <c s="32" r="K5">
        <v>0</v>
      </c>
      <c s="32" r="L5">
        <f>SUMIF(Purchased!$A$2:$A$9982, $A5, Purchased!$H$2:$H$9982)</f>
        <v>0</v>
      </c>
      <c s="14" r="M5">
        <f>((((H5+I5)+J5)+K5)+T5)+L5</f>
        <v>1387.39</v>
      </c>
      <c s="14" r="N5">
        <f>((((B5+C5)+D5)+E5)-G5)+F5</f>
        <v>1387.67</v>
      </c>
      <c s="33" r="O5">
        <f>M5-N5</f>
        <v>-0.279999999999745</v>
      </c>
      <c s="29" r="P5">
        <f> (M5/N5)-1</f>
        <v>-0.000201777079565</v>
      </c>
      <c s="36" r="Q5">
        <f>SUMIF(Hunting!$C$2:$C$10073, $A5, Hunting!$S$2:$S$10073)</f>
        <v>44.4797759999999</v>
      </c>
      <c s="36" r="R5">
        <f>SUMIF(Crafting!$B$2:$B$10172, $A5, Crafting!$N$2:$N$10172)</f>
        <v>0</v>
      </c>
      <c s="36" r="S5">
        <f>SUMIF(Mining!$B$2:$B$10072, $A5, Mining!$S$2:$S$10072)</f>
        <v>0</v>
      </c>
      <c s="22" r="T5">
        <f>SUMIF(Hunting!$C$2:$C$10073, $A5, Hunting!$AA$2:$AA$10073)</f>
        <v>0</v>
      </c>
      <c s="22" r="U5">
        <f>SUMIF(Hunting!$C$2:$C$10073, $A5, Hunting!$AB$2:$AB$10073)</f>
        <v>0</v>
      </c>
      <c s="22" r="V5">
        <f>SUMIF(Hunting!$C$2:$C$10073, $A5, Hunting!$AC$2:$AC$10073)</f>
        <v>2</v>
      </c>
      <c s="22" r="W5">
        <f>SUMIF(Hunting!$C$2:$C$10073, $A5, Hunting!$AD$2:$AD$10073)</f>
        <v>0</v>
      </c>
    </row>
    <row r="6">
      <c s="78" r="A6">
        <v>41562</v>
      </c>
      <c s="9" r="B6">
        <f>SUMIF(Hunting!$C$2:$C$10073, $A6, Hunting!$E$2:$E$10073)</f>
        <v>829.43</v>
      </c>
      <c s="9" r="C6">
        <f>SUMIF(Hunting!$C$2:$C$10073, $A6, Hunting!$L$2:$L$10073)</f>
        <v>119.76</v>
      </c>
      <c s="9" r="D6">
        <f>SUMIF(Hunting!$C$2:$C$10073, $A6, Hunting!$F$2:$F$10073)</f>
        <v>0</v>
      </c>
      <c s="9" r="E6">
        <f>SUMIF(Purchased!$A$2:$A$9982, $A6, Purchased!$D$2:$D$9982)-SUMIF(Purchased!$A$2:$A$9982, $A6, Purchased!$I$2:$I$9982)</f>
        <v>0</v>
      </c>
      <c s="9" r="F6">
        <f>SUMIF('Craft Mats'!$A$2:$A$10039, $A6, 'Craft Mats'!$F$2:$F$10039)</f>
        <v>0</v>
      </c>
      <c s="32" r="G6">
        <f>SUMIF(Hunting!$C$2:$C$10073, $A6, Hunting!$M$2:$M$10073)</f>
        <v>0</v>
      </c>
      <c s="32" r="H6">
        <f>SUMIF(Hunting!$C$2:$C$10073, $A6, Hunting!$N$2:$N$10073)</f>
        <v>743.62</v>
      </c>
      <c s="32" r="I6">
        <f>SUMIF(Hunting!$C$2:$C$10073, $A6, Hunting!$O$2:$O$10073)</f>
        <v>0</v>
      </c>
      <c s="32" r="J6">
        <f>SUMIF(Hunting!$C$2:$C$10073, $A6, Hunting!$P$2:$P$10073)</f>
        <v>30.7407</v>
      </c>
      <c s="32" r="K6">
        <v>0</v>
      </c>
      <c s="32" r="L6">
        <f>SUMIF(Purchased!$A$2:$A$9982, $A6, Purchased!$H$2:$H$9982)</f>
        <v>0</v>
      </c>
      <c s="14" r="M6">
        <f>((((H6+I6)+J6)+K6)+T6)+L6</f>
        <v>774.3607</v>
      </c>
      <c s="14" r="N6">
        <f>((((B6+C6)+D6)+E6)-G6)+F6</f>
        <v>949.19</v>
      </c>
      <c s="33" r="O6">
        <f>M6-N6</f>
        <v>-174.8293</v>
      </c>
      <c s="29" r="P6">
        <f> (M6/N6)-1</f>
        <v>-0.184187886513764</v>
      </c>
      <c s="36" r="Q6">
        <f>SUMIF(Hunting!$C$2:$C$10073, $A6, Hunting!$S$2:$S$10073)</f>
        <v>-282.4993</v>
      </c>
      <c s="36" r="R6">
        <f>SUMIF(Crafting!$B$2:$B$10172, $A6, Crafting!$N$2:$N$10172)</f>
        <v>0</v>
      </c>
      <c s="36" r="S6">
        <f>SUMIF(Mining!$B$2:$B$10072, $A6, Mining!$S$2:$S$10072)</f>
        <v>0</v>
      </c>
      <c s="22" r="T6">
        <f>SUMIF(Hunting!$C$2:$C$10073, $A6, Hunting!$AA$2:$AA$10073)</f>
        <v>0</v>
      </c>
      <c s="22" r="U6">
        <f>SUMIF(Hunting!$C$2:$C$10073, $A6, Hunting!$AB$2:$AB$10073)</f>
        <v>0</v>
      </c>
      <c s="22" r="V6">
        <f>SUMIF(Hunting!$C$2:$C$10073, $A6, Hunting!$AC$2:$AC$10073)</f>
        <v>0</v>
      </c>
      <c s="22" r="W6">
        <f>SUMIF(Hunting!$C$2:$C$10073, $A6, Hunting!$AD$2:$AD$10073)</f>
        <v>0</v>
      </c>
    </row>
    <row r="7">
      <c s="78" r="A7">
        <v>41563</v>
      </c>
      <c s="9" r="B7">
        <f>SUMIF(Hunting!$C$2:$C$10073, $A7, Hunting!$E$2:$E$10073)</f>
        <v>1567.05</v>
      </c>
      <c s="9" r="C7">
        <f>SUMIF(Hunting!$C$2:$C$10073, $A7, Hunting!$L$2:$L$10073)</f>
        <v>140.8</v>
      </c>
      <c s="9" r="D7">
        <f>SUMIF(Hunting!$C$2:$C$10073, $A7, Hunting!$F$2:$F$10073)</f>
        <v>0</v>
      </c>
      <c s="9" r="E7">
        <f>SUMIF(Purchased!$A$2:$A$9982, $A7, Purchased!$D$2:$D$9982)-SUMIF(Purchased!$A$2:$A$9982, $A7, Purchased!$I$2:$I$9982)</f>
        <v>0</v>
      </c>
      <c s="9" r="F7">
        <f>SUMIF('Craft Mats'!$A$2:$A$10039, $A7, 'Craft Mats'!$F$2:$F$10039)</f>
        <v>0</v>
      </c>
      <c s="32" r="G7">
        <f>SUMIF(Hunting!$C$2:$C$10073, $A7, Hunting!$M$2:$M$10073)</f>
        <v>0</v>
      </c>
      <c s="32" r="H7">
        <f>SUMIF(Hunting!$C$2:$C$10073, $A7, Hunting!$N$2:$N$10073)</f>
        <v>1390.48</v>
      </c>
      <c s="32" r="I7">
        <f>SUMIF(Hunting!$C$2:$C$10073, $A7, Hunting!$O$2:$O$10073)</f>
        <v>0</v>
      </c>
      <c s="32" r="J7">
        <f>SUMIF(Hunting!$C$2:$C$10073, $A7, Hunting!$P$2:$P$10073)</f>
        <v>25.108434</v>
      </c>
      <c s="32" r="K7">
        <v>0</v>
      </c>
      <c s="32" r="L7">
        <f>SUMIF(Purchased!$A$2:$A$9982, $A7, Purchased!$H$2:$H$9982)</f>
        <v>0</v>
      </c>
      <c s="14" r="M7">
        <f>((((H7+I7)+J7)+K7)+T7)+L7</f>
        <v>1415.588434</v>
      </c>
      <c s="14" r="N7">
        <f>((((B7+C7)+D7)+E7)-G7)+F7</f>
        <v>1707.85</v>
      </c>
      <c s="33" r="O7">
        <f>M7-N7</f>
        <v>-292.261566</v>
      </c>
      <c s="29" r="P7">
        <f> (M7/N7)-1</f>
        <v>-0.171128357876863</v>
      </c>
      <c s="36" r="Q7">
        <f>SUMIF(Hunting!$C$2:$C$10073, $A7, Hunting!$S$2:$S$10073)</f>
        <v>-186.953806</v>
      </c>
      <c s="36" r="R7">
        <f>SUMIF(Crafting!$B$2:$B$10172, $A7, Crafting!$N$2:$N$10172)</f>
        <v>0</v>
      </c>
      <c s="36" r="S7">
        <f>SUMIF(Mining!$B$2:$B$10072, $A7, Mining!$S$2:$S$10072)</f>
        <v>0</v>
      </c>
      <c s="22" r="T7">
        <f>SUMIF(Hunting!$C$2:$C$10073, $A7, Hunting!$AA$2:$AA$10073)</f>
        <v>0</v>
      </c>
      <c s="22" r="U7">
        <f>SUMIF(Hunting!$C$2:$C$10073, $A7, Hunting!$AB$2:$AB$10073)</f>
        <v>0</v>
      </c>
      <c s="22" r="V7">
        <f>SUMIF(Hunting!$C$2:$C$10073, $A7, Hunting!$AC$2:$AC$10073)</f>
        <v>1</v>
      </c>
      <c s="22" r="W7">
        <f>SUMIF(Hunting!$C$2:$C$10073, $A7, Hunting!$AD$2:$AD$10073)</f>
        <v>0</v>
      </c>
    </row>
    <row r="8">
      <c s="78" r="A8">
        <v>41564</v>
      </c>
      <c s="9" r="B8">
        <f>SUMIF(Hunting!$C$2:$C$10073, $A8, Hunting!$E$2:$E$10073)</f>
        <v>1091</v>
      </c>
      <c s="9" r="C8">
        <f>SUMIF(Hunting!$C$2:$C$10073, $A8, Hunting!$L$2:$L$10073)</f>
        <v>34.69</v>
      </c>
      <c s="9" r="D8">
        <f>SUMIF(Hunting!$C$2:$C$10073, $A8, Hunting!$F$2:$F$10073)</f>
        <v>0</v>
      </c>
      <c s="9" r="E8">
        <f>SUMIF(Purchased!$A$2:$A$9982, $A8, Purchased!$D$2:$D$9982)-SUMIF(Purchased!$A$2:$A$9982, $A8, Purchased!$I$2:$I$9982)</f>
        <v>0</v>
      </c>
      <c s="9" r="F8">
        <f>SUMIF('Craft Mats'!$A$2:$A$10039, $A8, 'Craft Mats'!$F$2:$F$10039)</f>
        <v>0</v>
      </c>
      <c s="32" r="G8">
        <f>SUMIF(Hunting!$C$2:$C$10073, $A8, Hunting!$M$2:$M$10073)</f>
        <v>0</v>
      </c>
      <c s="32" r="H8">
        <f>SUMIF(Hunting!$C$2:$C$10073, $A8, Hunting!$N$2:$N$10073)</f>
        <v>1159.49</v>
      </c>
      <c s="32" r="I8">
        <f>SUMIF(Hunting!$C$2:$C$10073, $A8, Hunting!$O$2:$O$10073)</f>
        <v>0</v>
      </c>
      <c s="32" r="J8">
        <f>SUMIF(Hunting!$C$2:$C$10073, $A8, Hunting!$P$2:$P$10073)</f>
        <v>0</v>
      </c>
      <c s="32" r="K8">
        <v>0</v>
      </c>
      <c s="32" r="L8">
        <f>SUMIF(Purchased!$A$2:$A$9982, $A8, Purchased!$H$2:$H$9982)</f>
        <v>0</v>
      </c>
      <c s="14" r="M8">
        <f>((((H8+I8)+J8)+K8)+T8)+L8</f>
        <v>1159.49</v>
      </c>
      <c s="14" r="N8">
        <f>((((B8+C8)+D8)+E8)-G8)+F8</f>
        <v>1125.69</v>
      </c>
      <c s="33" r="O8">
        <f>M8-N8</f>
        <v>33.8</v>
      </c>
      <c s="29" r="P8">
        <f> (M8/N8)-1</f>
        <v>0.03002602848031</v>
      </c>
      <c s="36" r="Q8">
        <f>SUMIF(Hunting!$C$2:$C$10073, $A8, Hunting!$S$2:$S$10073)</f>
        <v>100.846852</v>
      </c>
      <c s="36" r="R8">
        <f>SUMIF(Crafting!$B$2:$B$10172, $A8, Crafting!$N$2:$N$10172)</f>
        <v>0</v>
      </c>
      <c s="36" r="S8">
        <f>SUMIF(Mining!$B$2:$B$10072, $A8, Mining!$S$2:$S$10072)</f>
        <v>0</v>
      </c>
      <c s="22" r="T8">
        <f>SUMIF(Hunting!$C$2:$C$10073, $A8, Hunting!$AA$2:$AA$10073)</f>
        <v>0</v>
      </c>
      <c s="22" r="U8">
        <f>SUMIF(Hunting!$C$2:$C$10073, $A8, Hunting!$AB$2:$AB$10073)</f>
        <v>0</v>
      </c>
      <c s="22" r="V8">
        <f>SUMIF(Hunting!$C$2:$C$10073, $A8, Hunting!$AC$2:$AC$10073)</f>
        <v>2</v>
      </c>
      <c s="22" r="W8">
        <f>SUMIF(Hunting!$C$2:$C$10073, $A8, Hunting!$AD$2:$AD$10073)</f>
        <v>0</v>
      </c>
    </row>
    <row r="9">
      <c s="78" r="A9">
        <v>41565</v>
      </c>
      <c s="9" r="B9">
        <f>SUMIF(Hunting!$C$2:$C$10073, $A9, Hunting!$E$2:$E$10073)</f>
        <v>832.424</v>
      </c>
      <c s="9" r="C9">
        <f>SUMIF(Hunting!$C$2:$C$10073, $A9, Hunting!$L$2:$L$10073)</f>
        <v>93.68</v>
      </c>
      <c s="9" r="D9">
        <f>SUMIF(Hunting!$C$2:$C$10073, $A9, Hunting!$F$2:$F$10073)</f>
        <v>0</v>
      </c>
      <c s="9" r="E9">
        <f>SUMIF(Purchased!$A$2:$A$9982, $A9, Purchased!$D$2:$D$9982)-SUMIF(Purchased!$A$2:$A$9982, $A9, Purchased!$I$2:$I$9982)</f>
        <v>0</v>
      </c>
      <c s="9" r="F9">
        <f>SUMIF('Craft Mats'!$A$2:$A$10039, $A9, 'Craft Mats'!$F$2:$F$10039)</f>
        <v>0</v>
      </c>
      <c s="32" r="G9">
        <f>SUMIF(Hunting!$C$2:$C$10073, $A9, Hunting!$M$2:$M$10073)</f>
        <v>0</v>
      </c>
      <c s="32" r="H9">
        <f>SUMIF(Hunting!$C$2:$C$10073, $A9, Hunting!$N$2:$N$10073)</f>
        <v>834.2</v>
      </c>
      <c s="32" r="I9">
        <f>SUMIF(Hunting!$C$2:$C$10073, $A9, Hunting!$O$2:$O$10073)</f>
        <v>0</v>
      </c>
      <c s="32" r="J9">
        <f>SUMIF(Hunting!$C$2:$C$10073, $A9, Hunting!$P$2:$P$10073)</f>
        <v>0</v>
      </c>
      <c s="32" r="K9">
        <v>0</v>
      </c>
      <c s="32" r="L9">
        <f>SUMIF(Purchased!$A$2:$A$9982, $A9, Purchased!$H$2:$H$9982)</f>
        <v>0</v>
      </c>
      <c s="14" r="M9">
        <f>((((H9+I9)+J9)+K9)+T9)+L9</f>
        <v>834.2</v>
      </c>
      <c s="14" r="N9">
        <f>((((B9+C9)+D9)+E9)-G9)+F9</f>
        <v>926.104</v>
      </c>
      <c s="33" r="O9">
        <f>M9-N9</f>
        <v>-91.904</v>
      </c>
      <c s="29" r="P9">
        <f> (M9/N9)-1</f>
        <v>-0.099237234695023</v>
      </c>
      <c s="36" r="Q9">
        <f>SUMIF(Hunting!$C$2:$C$10073, $A9, Hunting!$S$2:$S$10073)</f>
        <v>-105.334344</v>
      </c>
      <c s="36" r="R9">
        <f>SUMIF(Crafting!$B$2:$B$10172, $A9, Crafting!$N$2:$N$10172)</f>
        <v>0</v>
      </c>
      <c s="36" r="S9">
        <f>SUMIF(Mining!$B$2:$B$10072, $A9, Mining!$S$2:$S$10072)</f>
        <v>0</v>
      </c>
      <c s="22" r="T9">
        <f>SUMIF(Hunting!$C$2:$C$10073, $A9, Hunting!$AA$2:$AA$10073)</f>
        <v>0</v>
      </c>
      <c s="22" r="U9">
        <f>SUMIF(Hunting!$C$2:$C$10073, $A9, Hunting!$AB$2:$AB$10073)</f>
        <v>0</v>
      </c>
      <c s="22" r="V9">
        <f>SUMIF(Hunting!$C$2:$C$10073, $A9, Hunting!$AC$2:$AC$10073)</f>
        <v>1</v>
      </c>
      <c s="22" r="W9">
        <f>SUMIF(Hunting!$C$2:$C$10073, $A9, Hunting!$AD$2:$AD$10073)</f>
        <v>0</v>
      </c>
    </row>
    <row r="10">
      <c s="78" r="A10">
        <v>41566</v>
      </c>
      <c s="9" r="B10">
        <f>SUMIF(Hunting!$C$2:$C$10073, $A10, Hunting!$E$2:$E$10073)</f>
        <v>1988.54</v>
      </c>
      <c s="9" r="C10">
        <f>SUMIF(Hunting!$C$2:$C$10073, $A10, Hunting!$L$2:$L$10073)</f>
        <v>222.77</v>
      </c>
      <c s="9" r="D10">
        <f>SUMIF(Hunting!$C$2:$C$10073, $A10, Hunting!$F$2:$F$10073)</f>
        <v>0</v>
      </c>
      <c s="9" r="E10">
        <f>SUMIF(Purchased!$A$2:$A$9982, $A10, Purchased!$D$2:$D$9982)-SUMIF(Purchased!$A$2:$A$9982, $A10, Purchased!$I$2:$I$9982)</f>
        <v>0</v>
      </c>
      <c s="9" r="F10">
        <f>SUMIF('Craft Mats'!$A$2:$A$10039, $A10, 'Craft Mats'!$F$2:$F$10039)</f>
        <v>0</v>
      </c>
      <c s="32" r="G10">
        <f>SUMIF(Hunting!$C$2:$C$10073, $A10, Hunting!$M$2:$M$10073)</f>
        <v>0</v>
      </c>
      <c s="32" r="H10">
        <f>SUMIF(Hunting!$C$2:$C$10073, $A10, Hunting!$N$2:$N$10073)</f>
        <v>2250.995</v>
      </c>
      <c s="32" r="I10">
        <f>SUMIF(Hunting!$C$2:$C$10073, $A10, Hunting!$O$2:$O$10073)</f>
        <v>0</v>
      </c>
      <c s="32" r="J10">
        <f>SUMIF(Hunting!$C$2:$C$10073, $A10, Hunting!$P$2:$P$10073)</f>
        <v>14.87172</v>
      </c>
      <c s="32" r="K10">
        <v>0</v>
      </c>
      <c s="32" r="L10">
        <f>SUMIF(Purchased!$A$2:$A$9982, $A10, Purchased!$H$2:$H$9982)</f>
        <v>0</v>
      </c>
      <c s="14" r="M10">
        <f>((((H10+I10)+J10)+K10)+T10)+L10</f>
        <v>2290.86672</v>
      </c>
      <c s="14" r="N10">
        <f>((((B10+C10)+D10)+E10)-G10)+F10</f>
        <v>2211.31</v>
      </c>
      <c s="33" r="O10">
        <f>M10-N10</f>
        <v>79.5567199999996</v>
      </c>
      <c s="29" r="P10">
        <f> (M10/N10)-1</f>
        <v>0.035977189991453</v>
      </c>
      <c s="36" r="Q10">
        <f>SUMIF(Hunting!$C$2:$C$10073, $A10, Hunting!$S$2:$S$10073)</f>
        <v>282.525344</v>
      </c>
      <c s="36" r="R10">
        <f>SUMIF(Crafting!$B$2:$B$10172, $A10, Crafting!$N$2:$N$10172)</f>
        <v>0</v>
      </c>
      <c s="36" r="S10">
        <f>SUMIF(Mining!$B$2:$B$10072, $A10, Mining!$S$2:$S$10072)</f>
        <v>0</v>
      </c>
      <c s="22" r="T10">
        <f>SUMIF(Hunting!$C$2:$C$10073, $A10, Hunting!$AA$2:$AA$10073)</f>
        <v>25</v>
      </c>
      <c s="22" r="U10">
        <f>SUMIF(Hunting!$C$2:$C$10073, $A10, Hunting!$AB$2:$AB$10073)</f>
        <v>2</v>
      </c>
      <c s="22" r="V10">
        <f>SUMIF(Hunting!$C$2:$C$10073, $A10, Hunting!$AC$2:$AC$10073)</f>
        <v>5</v>
      </c>
      <c s="22" r="W10">
        <f>SUMIF(Hunting!$C$2:$C$10073, $A10, Hunting!$AD$2:$AD$10073)</f>
        <v>1</v>
      </c>
    </row>
    <row r="11">
      <c s="78" r="A11">
        <v>41567</v>
      </c>
      <c s="9" r="B11">
        <f>SUMIF(Hunting!$C$2:$C$10073, $A11, Hunting!$E$2:$E$10073)</f>
        <v>2185.61</v>
      </c>
      <c s="9" r="C11">
        <f>SUMIF(Hunting!$C$2:$C$10073, $A11, Hunting!$L$2:$L$10073)</f>
        <v>352.87</v>
      </c>
      <c s="9" r="D11">
        <f>SUMIF(Hunting!$C$2:$C$10073, $A11, Hunting!$F$2:$F$10073)</f>
        <v>0</v>
      </c>
      <c s="9" r="E11">
        <f>SUMIF(Purchased!$A$2:$A$9982, $A11, Purchased!$D$2:$D$9982)-SUMIF(Purchased!$A$2:$A$9982, $A11, Purchased!$I$2:$I$9982)</f>
        <v>0</v>
      </c>
      <c s="9" r="F11">
        <f>SUMIF('Craft Mats'!$A$2:$A$10039, $A11, 'Craft Mats'!$F$2:$F$10039)</f>
        <v>0</v>
      </c>
      <c s="32" r="G11">
        <f>SUMIF(Hunting!$C$2:$C$10073, $A11, Hunting!$M$2:$M$10073)</f>
        <v>69.92</v>
      </c>
      <c s="32" r="H11">
        <f>SUMIF(Hunting!$C$2:$C$10073, $A11, Hunting!$N$2:$N$10073)</f>
        <v>2500.41</v>
      </c>
      <c s="32" r="I11">
        <f>SUMIF(Hunting!$C$2:$C$10073, $A11, Hunting!$O$2:$O$10073)</f>
        <v>25.48</v>
      </c>
      <c s="32" r="J11">
        <f>SUMIF(Hunting!$C$2:$C$10073, $A11, Hunting!$P$2:$P$10073)</f>
        <v>0</v>
      </c>
      <c s="32" r="K11">
        <v>0</v>
      </c>
      <c s="32" r="L11">
        <f>SUMIF(Purchased!$A$2:$A$9982, $A11, Purchased!$H$2:$H$9982)</f>
        <v>0</v>
      </c>
      <c s="14" r="M11">
        <f>((((H11+I11)+J11)+K11)+T11)+L11</f>
        <v>2525.89</v>
      </c>
      <c s="14" r="N11">
        <f>((((B11+C11)+D11)+E11)-G11)+F11</f>
        <v>2468.56</v>
      </c>
      <c s="33" r="O11">
        <f>M11-N11</f>
        <v>57.3299999999999</v>
      </c>
      <c s="29" r="P11">
        <f> (M11/N11)-1</f>
        <v>0.023224065852157</v>
      </c>
      <c s="36" r="Q11">
        <f>SUMIF(Hunting!$C$2:$C$10073, $A11, Hunting!$S$2:$S$10073)</f>
        <v>149.673358</v>
      </c>
      <c s="36" r="R11">
        <f>SUMIF(Crafting!$B$2:$B$10172, $A11, Crafting!$N$2:$N$10172)</f>
        <v>0</v>
      </c>
      <c s="36" r="S11">
        <f>SUMIF(Mining!$B$2:$B$10072, $A11, Mining!$S$2:$S$10072)</f>
        <v>0</v>
      </c>
      <c s="22" r="T11">
        <f>SUMIF(Hunting!$C$2:$C$10073, $A11, Hunting!$AA$2:$AA$10073)</f>
        <v>0</v>
      </c>
      <c s="22" r="U11">
        <f>SUMIF(Hunting!$C$2:$C$10073, $A11, Hunting!$AB$2:$AB$10073)</f>
        <v>4</v>
      </c>
      <c s="22" r="V11">
        <f>SUMIF(Hunting!$C$2:$C$10073, $A11, Hunting!$AC$2:$AC$10073)</f>
        <v>8</v>
      </c>
      <c s="22" r="W11">
        <f>SUMIF(Hunting!$C$2:$C$10073, $A11, Hunting!$AD$2:$AD$10073)</f>
        <v>1</v>
      </c>
    </row>
    <row r="12">
      <c s="78" r="A12">
        <v>41568</v>
      </c>
      <c s="9" r="B12">
        <f>SUMIF(Hunting!$C$2:$C$10073, $A12, Hunting!$E$2:$E$10073)</f>
        <v>1755.85</v>
      </c>
      <c s="9" r="C12">
        <f>SUMIF(Hunting!$C$2:$C$10073, $A12, Hunting!$L$2:$L$10073)</f>
        <v>94.19</v>
      </c>
      <c s="9" r="D12">
        <f>SUMIF(Hunting!$C$2:$C$10073, $A12, Hunting!$F$2:$F$10073)</f>
        <v>0</v>
      </c>
      <c s="9" r="E12">
        <f>SUMIF(Purchased!$A$2:$A$9982, $A12, Purchased!$D$2:$D$9982)-SUMIF(Purchased!$A$2:$A$9982, $A12, Purchased!$I$2:$I$9982)</f>
        <v>0</v>
      </c>
      <c s="9" r="F12">
        <f>SUMIF('Craft Mats'!$A$2:$A$10039, $A12, 'Craft Mats'!$F$2:$F$10039)</f>
        <v>0</v>
      </c>
      <c s="32" r="G12">
        <f>SUMIF(Hunting!$C$2:$C$10073, $A12, Hunting!$M$2:$M$10073)</f>
        <v>0</v>
      </c>
      <c s="32" r="H12">
        <f>SUMIF(Hunting!$C$2:$C$10073, $A12, Hunting!$N$2:$N$10073)</f>
        <v>1951.86</v>
      </c>
      <c s="32" r="I12">
        <f>SUMIF(Hunting!$C$2:$C$10073, $A12, Hunting!$O$2:$O$10073)</f>
        <v>0</v>
      </c>
      <c s="32" r="J12">
        <f>SUMIF(Hunting!$C$2:$C$10073, $A12, Hunting!$P$2:$P$10073)</f>
        <v>0</v>
      </c>
      <c s="32" r="K12">
        <v>0</v>
      </c>
      <c s="32" r="L12">
        <f>SUMIF(Purchased!$A$2:$A$9982, $A12, Purchased!$H$2:$H$9982)</f>
        <v>0</v>
      </c>
      <c s="14" r="M12">
        <f>((((H12+I12)+J12)+K12)+T12)+L12</f>
        <v>1951.86</v>
      </c>
      <c s="14" r="N12">
        <f>((((B12+C12)+D12)+E12)-G12)+F12</f>
        <v>1850.04</v>
      </c>
      <c s="33" r="O12">
        <f>M12-N12</f>
        <v>101.82</v>
      </c>
      <c s="29" r="P12">
        <f> (M12/N12)-1</f>
        <v>0.055036647856262</v>
      </c>
      <c s="36" r="Q12">
        <f>SUMIF(Hunting!$C$2:$C$10073, $A12, Hunting!$S$2:$S$10073)</f>
        <v>226.080962</v>
      </c>
      <c s="36" r="R12">
        <f>SUMIF(Crafting!$B$2:$B$10172, $A12, Crafting!$N$2:$N$10172)</f>
        <v>0</v>
      </c>
      <c s="36" r="S12">
        <f>SUMIF(Mining!$B$2:$B$10072, $A12, Mining!$S$2:$S$10072)</f>
        <v>0</v>
      </c>
      <c s="22" r="T12">
        <f>SUMIF(Hunting!$C$2:$C$10073, $A12, Hunting!$AA$2:$AA$10073)</f>
        <v>0</v>
      </c>
      <c s="22" r="U12">
        <f>SUMIF(Hunting!$C$2:$C$10073, $A12, Hunting!$AB$2:$AB$10073)</f>
        <v>1</v>
      </c>
      <c s="22" r="V12">
        <f>SUMIF(Hunting!$C$2:$C$10073, $A12, Hunting!$AC$2:$AC$10073)</f>
        <v>5</v>
      </c>
      <c s="22" r="W12">
        <f>SUMIF(Hunting!$C$2:$C$10073, $A12, Hunting!$AD$2:$AD$10073)</f>
        <v>0</v>
      </c>
    </row>
    <row r="13">
      <c s="78" r="A13">
        <v>41569</v>
      </c>
      <c s="9" r="B13">
        <f>SUMIF(Hunting!$C$2:$C$10073, $A13, Hunting!$E$2:$E$10073)</f>
        <v>644.451</v>
      </c>
      <c s="9" r="C13">
        <f>SUMIF(Hunting!$C$2:$C$10073, $A13, Hunting!$L$2:$L$10073)</f>
        <v>59.44</v>
      </c>
      <c s="9" r="D13">
        <f>SUMIF(Hunting!$C$2:$C$10073, $A13, Hunting!$F$2:$F$10073)</f>
        <v>0</v>
      </c>
      <c s="9" r="E13">
        <f>SUMIF(Purchased!$A$2:$A$9982, $A13, Purchased!$D$2:$D$9982)-SUMIF(Purchased!$A$2:$A$9982, $A13, Purchased!$I$2:$I$9982)</f>
        <v>0</v>
      </c>
      <c s="9" r="F13">
        <f>SUMIF('Craft Mats'!$A$2:$A$10039, $A13, 'Craft Mats'!$F$2:$F$10039)</f>
        <v>0</v>
      </c>
      <c s="32" r="G13">
        <f>SUMIF(Hunting!$C$2:$C$10073, $A13, Hunting!$M$2:$M$10073)</f>
        <v>218.36</v>
      </c>
      <c s="32" r="H13">
        <f>SUMIF(Hunting!$C$2:$C$10073, $A13, Hunting!$N$2:$N$10073)</f>
        <v>248.55</v>
      </c>
      <c s="32" r="I13">
        <f>SUMIF(Hunting!$C$2:$C$10073, $A13, Hunting!$O$2:$O$10073)</f>
        <v>0</v>
      </c>
      <c s="32" r="J13">
        <f>SUMIF(Hunting!$C$2:$C$10073, $A13, Hunting!$P$2:$P$10073)</f>
        <v>0</v>
      </c>
      <c s="32" r="K13">
        <v>0</v>
      </c>
      <c s="32" r="L13">
        <f>SUMIF(Purchased!$A$2:$A$9982, $A13, Purchased!$H$2:$H$9982)</f>
        <v>0</v>
      </c>
      <c s="14" r="M13">
        <f>((((H13+I13)+J13)+K13)+T13)+L13</f>
        <v>248.55</v>
      </c>
      <c s="14" r="N13">
        <f>((((B13+C13)+D13)+E13)-G13)+F13</f>
        <v>485.531</v>
      </c>
      <c s="33" r="O13">
        <f>M13-N13</f>
        <v>-236.981</v>
      </c>
      <c s="29" r="P13">
        <f> (M13/N13)-1</f>
        <v>-0.488086239601591</v>
      </c>
      <c s="36" r="Q13">
        <f>SUMIF(Hunting!$C$2:$C$10073, $A13, Hunting!$S$2:$S$10073)</f>
        <v>-227.081692</v>
      </c>
      <c s="36" r="R13">
        <f>SUMIF(Crafting!$B$2:$B$10172, $A13, Crafting!$N$2:$N$10172)</f>
        <v>0</v>
      </c>
      <c s="36" r="S13">
        <f>SUMIF(Mining!$B$2:$B$10072, $A13, Mining!$S$2:$S$10072)</f>
        <v>0</v>
      </c>
      <c s="22" r="T13">
        <f>SUMIF(Hunting!$C$2:$C$10073, $A13, Hunting!$AA$2:$AA$10073)</f>
        <v>0</v>
      </c>
      <c s="22" r="U13">
        <f>SUMIF(Hunting!$C$2:$C$10073, $A13, Hunting!$AB$2:$AB$10073)</f>
        <v>0</v>
      </c>
      <c s="22" r="V13">
        <f>SUMIF(Hunting!$C$2:$C$10073, $A13, Hunting!$AC$2:$AC$10073)</f>
        <v>0</v>
      </c>
      <c s="22" r="W13">
        <f>SUMIF(Hunting!$C$2:$C$10073, $A13, Hunting!$AD$2:$AD$10073)</f>
        <v>0</v>
      </c>
    </row>
    <row r="14">
      <c s="78" r="A14">
        <v>41570</v>
      </c>
      <c s="9" r="B14">
        <f>SUMIF(Hunting!$C$2:$C$10073, $A14, Hunting!$E$2:$E$10073)</f>
        <v>1282.35</v>
      </c>
      <c s="9" r="C14">
        <f>SUMIF(Hunting!$C$2:$C$10073, $A14, Hunting!$L$2:$L$10073)</f>
        <v>179.98</v>
      </c>
      <c s="9" r="D14">
        <f>SUMIF(Hunting!$C$2:$C$10073, $A14, Hunting!$F$2:$F$10073)</f>
        <v>0</v>
      </c>
      <c s="9" r="E14">
        <f>SUMIF(Purchased!$A$2:$A$9982, $A14, Purchased!$D$2:$D$9982)-SUMIF(Purchased!$A$2:$A$9982, $A14, Purchased!$I$2:$I$9982)</f>
        <v>0</v>
      </c>
      <c s="9" r="F14">
        <f>SUMIF('Craft Mats'!$A$2:$A$10039, $A14, 'Craft Mats'!$F$2:$F$10039)</f>
        <v>0</v>
      </c>
      <c s="32" r="G14">
        <f>SUMIF(Hunting!$C$2:$C$10073, $A14, Hunting!$M$2:$M$10073)</f>
        <v>408.54</v>
      </c>
      <c s="32" r="H14">
        <f>SUMIF(Hunting!$C$2:$C$10073, $A14, Hunting!$N$2:$N$10073)</f>
        <v>737.15</v>
      </c>
      <c s="32" r="I14">
        <f>SUMIF(Hunting!$C$2:$C$10073, $A14, Hunting!$O$2:$O$10073)</f>
        <v>426.255076</v>
      </c>
      <c s="32" r="J14">
        <f>SUMIF(Hunting!$C$2:$C$10073, $A14, Hunting!$P$2:$P$10073)</f>
        <v>0</v>
      </c>
      <c s="32" r="K14">
        <v>0</v>
      </c>
      <c s="32" r="L14">
        <f>SUMIF(Purchased!$A$2:$A$9982, $A14, Purchased!$H$2:$H$9982)</f>
        <v>0</v>
      </c>
      <c s="14" r="M14">
        <f>((((H14+I14)+J14)+K14)+T14)+L14</f>
        <v>1163.405076</v>
      </c>
      <c s="14" r="N14">
        <f>((((B14+C14)+D14)+E14)-G14)+F14</f>
        <v>1053.79</v>
      </c>
      <c s="33" r="O14">
        <f>M14-N14</f>
        <v>109.615076</v>
      </c>
      <c s="29" r="P14">
        <f> (M14/N14)-1</f>
        <v>0.104019848356883</v>
      </c>
      <c s="36" r="Q14">
        <f>SUMIF(Hunting!$C$2:$C$10073, $A14, Hunting!$S$2:$S$10073)</f>
        <v>126.015076</v>
      </c>
      <c s="36" r="R14">
        <f>SUMIF(Crafting!$B$2:$B$10172, $A14, Crafting!$N$2:$N$10172)</f>
        <v>0</v>
      </c>
      <c s="36" r="S14">
        <f>SUMIF(Mining!$B$2:$B$10072, $A14, Mining!$S$2:$S$10072)</f>
        <v>0</v>
      </c>
      <c s="22" r="T14">
        <f>SUMIF(Hunting!$C$2:$C$10073, $A14, Hunting!$AA$2:$AA$10073)</f>
        <v>0</v>
      </c>
      <c s="22" r="U14">
        <f>SUMIF(Hunting!$C$2:$C$10073, $A14, Hunting!$AB$2:$AB$10073)</f>
        <v>0</v>
      </c>
      <c s="22" r="V14">
        <f>SUMIF(Hunting!$C$2:$C$10073, $A14, Hunting!$AC$2:$AC$10073)</f>
        <v>4</v>
      </c>
      <c s="22" r="W14">
        <f>SUMIF(Hunting!$C$2:$C$10073, $A14, Hunting!$AD$2:$AD$10073)</f>
        <v>0</v>
      </c>
    </row>
    <row r="15">
      <c s="78" r="A15">
        <v>41571</v>
      </c>
      <c s="9" r="B15">
        <f>SUMIF(Hunting!$C$2:$C$10073, $A15, Hunting!$E$2:$E$10073)</f>
        <v>1419.45</v>
      </c>
      <c s="9" r="C15">
        <f>SUMIF(Hunting!$C$2:$C$10073, $A15, Hunting!$L$2:$L$10073)</f>
        <v>295.23</v>
      </c>
      <c s="9" r="D15">
        <f>SUMIF(Hunting!$C$2:$C$10073, $A15, Hunting!$F$2:$F$10073)</f>
        <v>0</v>
      </c>
      <c s="9" r="E15">
        <f>SUMIF(Purchased!$A$2:$A$9982, $A15, Purchased!$D$2:$D$9982)-SUMIF(Purchased!$A$2:$A$9982, $A15, Purchased!$I$2:$I$9982)</f>
        <v>0</v>
      </c>
      <c s="9" r="F15">
        <f>SUMIF('Craft Mats'!$A$2:$A$10039, $A15, 'Craft Mats'!$F$2:$F$10039)</f>
        <v>0</v>
      </c>
      <c s="32" r="G15">
        <f>SUMIF(Hunting!$C$2:$C$10073, $A15, Hunting!$M$2:$M$10073)</f>
        <v>373.18</v>
      </c>
      <c s="32" r="H15">
        <f>SUMIF(Hunting!$C$2:$C$10073, $A15, Hunting!$N$2:$N$10073)</f>
        <v>1150.65</v>
      </c>
      <c s="32" r="I15">
        <f>SUMIF(Hunting!$C$2:$C$10073, $A15, Hunting!$O$2:$O$10073)</f>
        <v>554.830072</v>
      </c>
      <c s="32" r="J15">
        <f>SUMIF(Hunting!$C$2:$C$10073, $A15, Hunting!$P$2:$P$10073)</f>
        <v>12.40551</v>
      </c>
      <c s="32" r="K15">
        <v>0</v>
      </c>
      <c s="32" r="L15">
        <f>SUMIF(Purchased!$A$2:$A$9982, $A15, Purchased!$H$2:$H$9982)</f>
        <v>0</v>
      </c>
      <c s="14" r="M15">
        <f>((((H15+I15)+J15)+K15)+T15)+L15</f>
        <v>1717.885582</v>
      </c>
      <c s="14" r="N15">
        <f>((((B15+C15)+D15)+E15)-G15)+F15</f>
        <v>1341.5</v>
      </c>
      <c s="33" r="O15">
        <f>M15-N15</f>
        <v>376.385582</v>
      </c>
      <c s="29" r="P15">
        <f> (M15/N15)-1</f>
        <v>0.280570691017518</v>
      </c>
      <c s="36" r="Q15">
        <f>SUMIF(Hunting!$C$2:$C$10073, $A15, Hunting!$S$2:$S$10073)</f>
        <v>376.385582</v>
      </c>
      <c s="36" r="R15">
        <f>SUMIF(Crafting!$B$2:$B$10172, $A15, Crafting!$N$2:$N$10172)</f>
        <v>0</v>
      </c>
      <c s="36" r="S15">
        <f>SUMIF(Mining!$B$2:$B$10072, $A15, Mining!$S$2:$S$10072)</f>
        <v>0</v>
      </c>
      <c s="22" r="T15">
        <f>SUMIF(Hunting!$C$2:$C$10073, $A15, Hunting!$AA$2:$AA$10073)</f>
        <v>0</v>
      </c>
      <c s="22" r="U15">
        <f>SUMIF(Hunting!$C$2:$C$10073, $A15, Hunting!$AB$2:$AB$10073)</f>
        <v>0</v>
      </c>
      <c s="22" r="V15">
        <f>SUMIF(Hunting!$C$2:$C$10073, $A15, Hunting!$AC$2:$AC$10073)</f>
        <v>6</v>
      </c>
      <c s="22" r="W15">
        <f>SUMIF(Hunting!$C$2:$C$10073, $A15, Hunting!$AD$2:$AD$10073)</f>
        <v>0</v>
      </c>
    </row>
    <row r="16">
      <c s="78" r="A16">
        <v>41572</v>
      </c>
      <c s="9" r="B16">
        <f>SUMIF(Hunting!$C$2:$C$10073, $A16, Hunting!$E$2:$E$10073)</f>
        <v>1230.96</v>
      </c>
      <c s="9" r="C16">
        <f>SUMIF(Hunting!$C$2:$C$10073, $A16, Hunting!$L$2:$L$10073)</f>
        <v>214.68</v>
      </c>
      <c s="9" r="D16">
        <f>SUMIF(Hunting!$C$2:$C$10073, $A16, Hunting!$F$2:$F$10073)</f>
        <v>0</v>
      </c>
      <c s="9" r="E16">
        <f>SUMIF(Purchased!$A$2:$A$9982, $A16, Purchased!$D$2:$D$9982)-SUMIF(Purchased!$A$2:$A$9982, $A16, Purchased!$I$2:$I$9982)</f>
        <v>0</v>
      </c>
      <c s="9" r="F16">
        <f>SUMIF('Craft Mats'!$A$2:$A$10039, $A16, 'Craft Mats'!$F$2:$F$10039)</f>
        <v>0</v>
      </c>
      <c s="32" r="G16">
        <f>SUMIF(Hunting!$C$2:$C$10073, $A16, Hunting!$M$2:$M$10073)</f>
        <v>629.55</v>
      </c>
      <c s="32" r="H16">
        <f>SUMIF(Hunting!$C$2:$C$10073, $A16, Hunting!$N$2:$N$10073)</f>
        <v>419.58</v>
      </c>
      <c s="32" r="I16">
        <f>SUMIF(Hunting!$C$2:$C$10073, $A16, Hunting!$O$2:$O$10073)</f>
        <v>10.613508</v>
      </c>
      <c s="32" r="J16">
        <f>SUMIF(Hunting!$C$2:$C$10073, $A16, Hunting!$P$2:$P$10073)</f>
        <v>21.545616</v>
      </c>
      <c s="32" r="K16">
        <v>0</v>
      </c>
      <c s="32" r="L16">
        <f>SUMIF(Purchased!$A$2:$A$9982, $A16, Purchased!$H$2:$H$9982)</f>
        <v>0</v>
      </c>
      <c s="14" r="M16">
        <f>((((H16+I16)+J16)+K16)+T16)+L16</f>
        <v>451.739124</v>
      </c>
      <c s="14" r="N16">
        <f>((((B16+C16)+D16)+E16)-G16)+F16</f>
        <v>816.09</v>
      </c>
      <c s="33" r="O16">
        <f>M16-N16</f>
        <v>-364.350876</v>
      </c>
      <c s="29" r="P16">
        <f> (M16/N16)-1</f>
        <v>-0.446459184648752</v>
      </c>
      <c s="36" r="Q16">
        <f>SUMIF(Hunting!$C$2:$C$10073, $A16, Hunting!$S$2:$S$10073)</f>
        <v>-364.350876</v>
      </c>
      <c s="36" r="R16">
        <f>SUMIF(Crafting!$B$2:$B$10172, $A16, Crafting!$N$2:$N$10172)</f>
        <v>0</v>
      </c>
      <c s="36" r="S16">
        <f>SUMIF(Mining!$B$2:$B$10072, $A16, Mining!$S$2:$S$10072)</f>
        <v>0</v>
      </c>
      <c s="22" r="T16">
        <f>SUMIF(Hunting!$C$2:$C$10073, $A16, Hunting!$AA$2:$AA$10073)</f>
        <v>0</v>
      </c>
      <c s="22" r="U16">
        <f>SUMIF(Hunting!$C$2:$C$10073, $A16, Hunting!$AB$2:$AB$10073)</f>
        <v>0</v>
      </c>
      <c s="22" r="V16">
        <f>SUMIF(Hunting!$C$2:$C$10073, $A16, Hunting!$AC$2:$AC$10073)</f>
        <v>1</v>
      </c>
      <c s="22" r="W16">
        <f>SUMIF(Hunting!$C$2:$C$10073, $A16, Hunting!$AD$2:$AD$10073)</f>
        <v>0</v>
      </c>
    </row>
    <row r="17">
      <c s="78" r="A17">
        <v>41573</v>
      </c>
      <c s="9" r="B17">
        <f>SUMIF(Hunting!$C$2:$C$10073, $A17, Hunting!$E$2:$E$10073)</f>
        <v>5183.828</v>
      </c>
      <c s="9" r="C17">
        <f>SUMIF(Hunting!$C$2:$C$10073, $A17, Hunting!$L$2:$L$10073)</f>
        <v>546.24</v>
      </c>
      <c s="9" r="D17">
        <f>SUMIF(Hunting!$C$2:$C$10073, $A17, Hunting!$F$2:$F$10073)</f>
        <v>0</v>
      </c>
      <c s="9" r="E17">
        <f>SUMIF(Purchased!$A$2:$A$9982, $A17, Purchased!$D$2:$D$9982)-SUMIF(Purchased!$A$2:$A$9982, $A17, Purchased!$I$2:$I$9982)</f>
        <v>0</v>
      </c>
      <c s="9" r="F17">
        <f>SUMIF('Craft Mats'!$A$2:$A$10039, $A17, 'Craft Mats'!$F$2:$F$10039)</f>
        <v>0</v>
      </c>
      <c s="32" r="G17">
        <f>SUMIF(Hunting!$C$2:$C$10073, $A17, Hunting!$M$2:$M$10073)</f>
        <v>1800.25</v>
      </c>
      <c s="32" r="H17">
        <f>SUMIF(Hunting!$C$2:$C$10073, $A17, Hunting!$N$2:$N$10073)</f>
        <v>2634.42</v>
      </c>
      <c s="32" r="I17">
        <f>SUMIF(Hunting!$C$2:$C$10073, $A17, Hunting!$O$2:$O$10073)</f>
        <v>875.335912</v>
      </c>
      <c s="32" r="J17">
        <f>SUMIF(Hunting!$C$2:$C$10073, $A17, Hunting!$P$2:$P$10073)</f>
        <v>20.23407</v>
      </c>
      <c s="32" r="K17">
        <v>0</v>
      </c>
      <c s="32" r="L17">
        <f>SUMIF(Purchased!$A$2:$A$9982, $A17, Purchased!$H$2:$H$9982)</f>
        <v>0</v>
      </c>
      <c s="14" r="M17">
        <f>((((H17+I17)+J17)+K17)+T17)+L17</f>
        <v>3529.989982</v>
      </c>
      <c s="14" r="N17">
        <f>((((B17+C17)+D17)+E17)-G17)+F17</f>
        <v>3929.818</v>
      </c>
      <c s="33" r="O17">
        <f>M17-N17</f>
        <v>-399.828017999999</v>
      </c>
      <c s="29" r="P17">
        <f> (M17/N17)-1</f>
        <v>-0.101742120881934</v>
      </c>
      <c s="36" r="Q17">
        <f>SUMIF(Hunting!$C$2:$C$10073, $A17, Hunting!$S$2:$S$10073)</f>
        <v>-399.828018</v>
      </c>
      <c s="36" r="R17">
        <f>SUMIF(Crafting!$B$2:$B$10172, $A17, Crafting!$N$2:$N$10172)</f>
        <v>0</v>
      </c>
      <c s="36" r="S17">
        <f>SUMIF(Mining!$B$2:$B$10072, $A17, Mining!$S$2:$S$10072)</f>
        <v>0</v>
      </c>
      <c s="22" r="T17">
        <f>SUMIF(Hunting!$C$2:$C$10073, $A17, Hunting!$AA$2:$AA$10073)</f>
        <v>0</v>
      </c>
      <c s="22" r="U17">
        <f>SUMIF(Hunting!$C$2:$C$10073, $A17, Hunting!$AB$2:$AB$10073)</f>
        <v>1</v>
      </c>
      <c s="22" r="V17">
        <f>SUMIF(Hunting!$C$2:$C$10073, $A17, Hunting!$AC$2:$AC$10073)</f>
        <v>3</v>
      </c>
      <c s="22" r="W17">
        <f>SUMIF(Hunting!$C$2:$C$10073, $A17, Hunting!$AD$2:$AD$10073)</f>
        <v>0</v>
      </c>
    </row>
    <row r="18">
      <c s="78" r="A18">
        <v>41574</v>
      </c>
      <c s="9" r="B18">
        <f>SUMIF(Hunting!$C$2:$C$10073, $A18, Hunting!$E$2:$E$10073)</f>
        <v>3175.39</v>
      </c>
      <c s="9" r="C18">
        <f>SUMIF(Hunting!$C$2:$C$10073, $A18, Hunting!$L$2:$L$10073)</f>
        <v>306.5</v>
      </c>
      <c s="9" r="D18">
        <f>SUMIF(Hunting!$C$2:$C$10073, $A18, Hunting!$F$2:$F$10073)</f>
        <v>0</v>
      </c>
      <c s="9" r="E18">
        <f>SUMIF(Purchased!$A$2:$A$9982, $A18, Purchased!$D$2:$D$9982)-SUMIF(Purchased!$A$2:$A$9982, $A18, Purchased!$I$2:$I$9982)</f>
        <v>0</v>
      </c>
      <c s="9" r="F18">
        <f>SUMIF('Craft Mats'!$A$2:$A$10039, $A18, 'Craft Mats'!$F$2:$F$10039)</f>
        <v>0</v>
      </c>
      <c s="32" r="G18">
        <f>SUMIF(Hunting!$C$2:$C$10073, $A18, Hunting!$M$2:$M$10073)</f>
        <v>841.5</v>
      </c>
      <c s="32" r="H18">
        <f>SUMIF(Hunting!$C$2:$C$10073, $A18, Hunting!$N$2:$N$10073)</f>
        <v>1690.5</v>
      </c>
      <c s="32" r="I18">
        <f>SUMIF(Hunting!$C$2:$C$10073, $A18, Hunting!$O$2:$O$10073)</f>
        <v>955.744837</v>
      </c>
      <c s="32" r="J18">
        <f>SUMIF(Hunting!$C$2:$C$10073, $A18, Hunting!$P$2:$P$10073)</f>
        <v>134.027352</v>
      </c>
      <c s="32" r="K18">
        <v>0</v>
      </c>
      <c s="32" r="L18">
        <f>SUMIF(Purchased!$A$2:$A$9982, $A18, Purchased!$H$2:$H$9982)</f>
        <v>0</v>
      </c>
      <c s="14" r="M18">
        <f>((((H18+I18)+J18)+K18)+T18)+L18</f>
        <v>2780.272189</v>
      </c>
      <c s="14" r="N18">
        <f>((((B18+C18)+D18)+E18)-G18)+F18</f>
        <v>2640.39</v>
      </c>
      <c s="33" r="O18">
        <f>M18-N18</f>
        <v>139.882189</v>
      </c>
      <c s="29" r="P18">
        <f> (M18/N18)-1</f>
        <v>0.052977851378016</v>
      </c>
      <c s="36" r="Q18">
        <f>SUMIF(Hunting!$C$2:$C$10073, $A18, Hunting!$S$2:$S$10073)</f>
        <v>139.882189</v>
      </c>
      <c s="36" r="R18">
        <f>SUMIF(Crafting!$B$2:$B$10172, $A18, Crafting!$N$2:$N$10172)</f>
        <v>0</v>
      </c>
      <c s="36" r="S18">
        <f>SUMIF(Mining!$B$2:$B$10072, $A18, Mining!$S$2:$S$10072)</f>
        <v>0</v>
      </c>
      <c s="22" r="T18">
        <f>SUMIF(Hunting!$C$2:$C$10073, $A18, Hunting!$AA$2:$AA$10073)</f>
        <v>0</v>
      </c>
      <c s="22" r="U18">
        <f>SUMIF(Hunting!$C$2:$C$10073, $A18, Hunting!$AB$2:$AB$10073)</f>
        <v>0</v>
      </c>
      <c s="22" r="V18">
        <f>SUMIF(Hunting!$C$2:$C$10073, $A18, Hunting!$AC$2:$AC$10073)</f>
        <v>9</v>
      </c>
      <c s="22" r="W18">
        <f>SUMIF(Hunting!$C$2:$C$10073, $A18, Hunting!$AD$2:$AD$10073)</f>
        <v>0</v>
      </c>
    </row>
    <row r="19">
      <c s="78" r="A19">
        <v>41575</v>
      </c>
      <c s="9" r="B19">
        <f>SUMIF(Hunting!$C$2:$C$10073, $A19, Hunting!$E$2:$E$10073)</f>
        <v>808.01</v>
      </c>
      <c s="9" r="C19">
        <f>SUMIF(Hunting!$C$2:$C$10073, $A19, Hunting!$L$2:$L$10073)</f>
        <v>112.59</v>
      </c>
      <c s="9" r="D19">
        <f>SUMIF(Hunting!$C$2:$C$10073, $A19, Hunting!$F$2:$F$10073)</f>
        <v>0</v>
      </c>
      <c s="9" r="E19">
        <f>SUMIF(Purchased!$A$2:$A$9982, $A19, Purchased!$D$2:$D$9982)-SUMIF(Purchased!$A$2:$A$9982, $A19, Purchased!$I$2:$I$9982)</f>
        <v>0</v>
      </c>
      <c s="9" r="F19">
        <f>SUMIF('Craft Mats'!$A$2:$A$10039, $A19, 'Craft Mats'!$F$2:$F$10039)</f>
        <v>0</v>
      </c>
      <c s="32" r="G19">
        <f>SUMIF(Hunting!$C$2:$C$10073, $A19, Hunting!$M$2:$M$10073)</f>
        <v>188.42</v>
      </c>
      <c s="32" r="H19">
        <f>SUMIF(Hunting!$C$2:$C$10073, $A19, Hunting!$N$2:$N$10073)</f>
        <v>463.71</v>
      </c>
      <c s="32" r="I19">
        <f>SUMIF(Hunting!$C$2:$C$10073, $A19, Hunting!$O$2:$O$10073)</f>
        <v>75.58</v>
      </c>
      <c s="32" r="J19">
        <f>SUMIF(Hunting!$C$2:$C$10073, $A19, Hunting!$P$2:$P$10073)</f>
        <v>0</v>
      </c>
      <c s="32" r="K19">
        <v>0</v>
      </c>
      <c s="32" r="L19">
        <f>SUMIF(Purchased!$A$2:$A$9982, $A19, Purchased!$H$2:$H$9982)</f>
        <v>0</v>
      </c>
      <c s="14" r="M19">
        <f>((((H19+I19)+J19)+K19)+T19)+L19</f>
        <v>539.29</v>
      </c>
      <c s="14" r="N19">
        <f>((((B19+C19)+D19)+E19)-G19)+F19</f>
        <v>732.18</v>
      </c>
      <c s="33" r="O19">
        <f>M19-N19</f>
        <v>-192.89</v>
      </c>
      <c s="29" r="P19">
        <f> (M19/N19)-1</f>
        <v>-0.263446147122292</v>
      </c>
      <c s="36" r="Q19">
        <f>SUMIF(Hunting!$C$2:$C$10073, $A19, Hunting!$S$2:$S$10073)</f>
        <v>-192.89</v>
      </c>
      <c s="36" r="R19">
        <f>SUMIF(Crafting!$B$2:$B$10172, $A19, Crafting!$N$2:$N$10172)</f>
        <v>0</v>
      </c>
      <c s="36" r="S19">
        <f>SUMIF(Mining!$B$2:$B$10072, $A19, Mining!$S$2:$S$10072)</f>
        <v>0</v>
      </c>
      <c s="22" r="T19">
        <f>SUMIF(Hunting!$C$2:$C$10073, $A19, Hunting!$AA$2:$AA$10073)</f>
        <v>0</v>
      </c>
      <c s="22" r="U19">
        <f>SUMIF(Hunting!$C$2:$C$10073, $A19, Hunting!$AB$2:$AB$10073)</f>
        <v>0</v>
      </c>
      <c s="22" r="V19">
        <f>SUMIF(Hunting!$C$2:$C$10073, $A19, Hunting!$AC$2:$AC$10073)</f>
        <v>1</v>
      </c>
      <c s="22" r="W19">
        <f>SUMIF(Hunting!$C$2:$C$10073, $A19, Hunting!$AD$2:$AD$10073)</f>
        <v>0</v>
      </c>
    </row>
    <row r="20">
      <c s="78" r="A20">
        <v>41576</v>
      </c>
      <c s="9" r="B20">
        <f>SUMIF(Hunting!$C$2:$C$10073, $A20, Hunting!$E$2:$E$10073)</f>
        <v>1981.35</v>
      </c>
      <c s="9" r="C20">
        <f>SUMIF(Hunting!$C$2:$C$10073, $A20, Hunting!$L$2:$L$10073)</f>
        <v>525.42</v>
      </c>
      <c s="9" r="D20">
        <f>SUMIF(Hunting!$C$2:$C$10073, $A20, Hunting!$F$2:$F$10073)</f>
        <v>0</v>
      </c>
      <c s="9" r="E20">
        <f>SUMIF(Purchased!$A$2:$A$9982, $A20, Purchased!$D$2:$D$9982)-SUMIF(Purchased!$A$2:$A$9982, $A20, Purchased!$I$2:$I$9982)</f>
        <v>0</v>
      </c>
      <c s="9" r="F20">
        <f>SUMIF('Craft Mats'!$A$2:$A$10039, $A20, 'Craft Mats'!$F$2:$F$10039)</f>
        <v>0</v>
      </c>
      <c s="32" r="G20">
        <f>SUMIF(Hunting!$C$2:$C$10073, $A20, Hunting!$M$2:$M$10073)</f>
        <v>286.69</v>
      </c>
      <c s="32" r="H20">
        <f>SUMIF(Hunting!$C$2:$C$10073, $A20, Hunting!$N$2:$N$10073)</f>
        <v>1461.12</v>
      </c>
      <c s="32" r="I20">
        <f>SUMIF(Hunting!$C$2:$C$10073, $A20, Hunting!$O$2:$O$10073)</f>
        <v>486.83694</v>
      </c>
      <c s="32" r="J20">
        <f>SUMIF(Hunting!$C$2:$C$10073, $A20, Hunting!$P$2:$P$10073)</f>
        <v>0</v>
      </c>
      <c s="32" r="K20">
        <v>0</v>
      </c>
      <c s="32" r="L20">
        <f>SUMIF(Purchased!$A$2:$A$9982, $A20, Purchased!$H$2:$H$9982)</f>
        <v>0</v>
      </c>
      <c s="14" r="M20">
        <f>((((H20+I20)+J20)+K20)+T20)+L20</f>
        <v>1947.95694</v>
      </c>
      <c s="14" r="N20">
        <f>((((B20+C20)+D20)+E20)-G20)+F20</f>
        <v>2220.08</v>
      </c>
      <c s="33" r="O20">
        <f>M20-N20</f>
        <v>-272.12306</v>
      </c>
      <c s="29" r="P20">
        <f> (M20/N20)-1</f>
        <v>-0.122573537890526</v>
      </c>
      <c s="36" r="Q20">
        <f>SUMIF(Hunting!$C$2:$C$10073, $A20, Hunting!$S$2:$S$10073)</f>
        <v>-272.12306</v>
      </c>
      <c s="36" r="R20">
        <f>SUMIF(Crafting!$B$2:$B$10172, $A20, Crafting!$N$2:$N$10172)</f>
        <v>0</v>
      </c>
      <c s="36" r="S20">
        <f>SUMIF(Mining!$B$2:$B$10072, $A20, Mining!$S$2:$S$10072)</f>
        <v>0</v>
      </c>
      <c s="22" r="T20">
        <f>SUMIF(Hunting!$C$2:$C$10073, $A20, Hunting!$AA$2:$AA$10073)</f>
        <v>0</v>
      </c>
      <c s="22" r="U20">
        <f>SUMIF(Hunting!$C$2:$C$10073, $A20, Hunting!$AB$2:$AB$10073)</f>
        <v>0</v>
      </c>
      <c s="22" r="V20">
        <f>SUMIF(Hunting!$C$2:$C$10073, $A20, Hunting!$AC$2:$AC$10073)</f>
        <v>8</v>
      </c>
      <c s="22" r="W20">
        <f>SUMIF(Hunting!$C$2:$C$10073, $A20, Hunting!$AD$2:$AD$10073)</f>
        <v>0</v>
      </c>
    </row>
    <row r="21">
      <c s="78" r="A21">
        <v>41577</v>
      </c>
      <c s="9" r="B21">
        <f>SUMIF(Hunting!$C$2:$C$10073, $A21, Hunting!$E$2:$E$10073)</f>
        <v>2767.51</v>
      </c>
      <c s="9" r="C21">
        <f>SUMIF(Hunting!$C$2:$C$10073, $A21, Hunting!$L$2:$L$10073)</f>
        <v>319.84</v>
      </c>
      <c s="9" r="D21">
        <f>SUMIF(Hunting!$C$2:$C$10073, $A21, Hunting!$F$2:$F$10073)</f>
        <v>0</v>
      </c>
      <c s="9" r="E21">
        <f>SUMIF(Purchased!$A$2:$A$9982, $A21, Purchased!$D$2:$D$9982)-SUMIF(Purchased!$A$2:$A$9982, $A21, Purchased!$I$2:$I$9982)</f>
        <v>0</v>
      </c>
      <c s="9" r="F21">
        <f>SUMIF('Craft Mats'!$A$2:$A$10039, $A21, 'Craft Mats'!$F$2:$F$10039)</f>
        <v>0</v>
      </c>
      <c s="32" r="G21">
        <f>SUMIF(Hunting!$C$2:$C$10073, $A21, Hunting!$M$2:$M$10073)</f>
        <v>779.46</v>
      </c>
      <c s="32" r="H21">
        <f>SUMIF(Hunting!$C$2:$C$10073, $A21, Hunting!$N$2:$N$10073)</f>
        <v>1306.13</v>
      </c>
      <c s="32" r="I21">
        <f>SUMIF(Hunting!$C$2:$C$10073, $A21, Hunting!$O$2:$O$10073)</f>
        <v>554.614866</v>
      </c>
      <c s="32" r="J21">
        <f>SUMIF(Hunting!$C$2:$C$10073, $A21, Hunting!$P$2:$P$10073)</f>
        <v>12.65572</v>
      </c>
      <c s="32" r="K21">
        <v>0</v>
      </c>
      <c s="32" r="L21">
        <f>SUMIF(Purchased!$A$2:$A$9982, $A21, Purchased!$H$2:$H$9982)</f>
        <v>0</v>
      </c>
      <c s="14" r="M21">
        <f>((((H21+I21)+J21)+K21)+T21)+L21</f>
        <v>1873.400586</v>
      </c>
      <c s="14" r="N21">
        <f>((((B21+C21)+D21)+E21)-G21)+F21</f>
        <v>2307.89</v>
      </c>
      <c s="33" r="O21">
        <f>M21-N21</f>
        <v>-434.489414</v>
      </c>
      <c s="29" r="P21">
        <f> (M21/N21)-1</f>
        <v>-0.188262618235705</v>
      </c>
      <c s="36" r="Q21">
        <f>SUMIF(Hunting!$C$2:$C$10073, $A21, Hunting!$S$2:$S$10073)</f>
        <v>-434.489414</v>
      </c>
      <c s="36" r="R21">
        <f>SUMIF(Crafting!$B$2:$B$10172, $A21, Crafting!$N$2:$N$10172)</f>
        <v>0</v>
      </c>
      <c s="36" r="S21">
        <f>SUMIF(Mining!$B$2:$B$10072, $A21, Mining!$S$2:$S$10072)</f>
        <v>0</v>
      </c>
      <c s="22" r="T21">
        <f>SUMIF(Hunting!$C$2:$C$10073, $A21, Hunting!$AA$2:$AA$10073)</f>
        <v>0</v>
      </c>
      <c s="22" r="U21">
        <f>SUMIF(Hunting!$C$2:$C$10073, $A21, Hunting!$AB$2:$AB$10073)</f>
        <v>0</v>
      </c>
      <c s="22" r="V21">
        <f>SUMIF(Hunting!$C$2:$C$10073, $A21, Hunting!$AC$2:$AC$10073)</f>
        <v>3</v>
      </c>
      <c s="22" r="W21">
        <f>SUMIF(Hunting!$C$2:$C$10073, $A21, Hunting!$AD$2:$AD$10073)</f>
        <v>0</v>
      </c>
    </row>
    <row r="22">
      <c s="78" r="A22">
        <v>41578</v>
      </c>
      <c s="9" r="B22">
        <f>SUMIF(Hunting!$C$2:$C$10073, $A22, Hunting!$E$2:$E$10073)</f>
        <v>5100.45</v>
      </c>
      <c s="9" r="C22">
        <f>SUMIF(Hunting!$C$2:$C$10073, $A22, Hunting!$L$2:$L$10073)</f>
        <v>312.26</v>
      </c>
      <c s="9" r="D22">
        <f>SUMIF(Hunting!$C$2:$C$10073, $A22, Hunting!$F$2:$F$10073)</f>
        <v>0</v>
      </c>
      <c s="9" r="E22">
        <f>SUMIF(Purchased!$A$2:$A$9982, $A22, Purchased!$D$2:$D$9982)-SUMIF(Purchased!$A$2:$A$9982, $A22, Purchased!$I$2:$I$9982)</f>
        <v>0</v>
      </c>
      <c s="9" r="F22">
        <f>SUMIF('Craft Mats'!$A$2:$A$10039, $A22, 'Craft Mats'!$F$2:$F$10039)</f>
        <v>0</v>
      </c>
      <c s="32" r="G22">
        <f>SUMIF(Hunting!$C$2:$C$10073, $A22, Hunting!$M$2:$M$10073)</f>
        <v>2447.21</v>
      </c>
      <c s="32" r="H22">
        <f>SUMIF(Hunting!$C$2:$C$10073, $A22, Hunting!$N$2:$N$10073)</f>
        <v>1123.05</v>
      </c>
      <c s="32" r="I22">
        <f>SUMIF(Hunting!$C$2:$C$10073, $A22, Hunting!$O$2:$O$10073)</f>
        <v>1164.94998</v>
      </c>
      <c s="32" r="J22">
        <f>SUMIF(Hunting!$C$2:$C$10073, $A22, Hunting!$P$2:$P$10073)</f>
        <v>0</v>
      </c>
      <c s="32" r="K22">
        <v>68</v>
      </c>
      <c s="32" r="L22">
        <f>SUMIF(Purchased!$A$2:$A$9982, $A22, Purchased!$H$2:$H$9982)</f>
        <v>0</v>
      </c>
      <c s="14" r="M22">
        <f>((((H22+I22)+J22)+K22)+T22)+L22</f>
        <v>2355.99998</v>
      </c>
      <c s="14" r="N22">
        <f>((((B22+C22)+D22)+E22)-G22)+F22</f>
        <v>2965.5</v>
      </c>
      <c s="33" r="O22">
        <f>M22-N22</f>
        <v>-609.500019999999</v>
      </c>
      <c s="29" r="P22">
        <f> (M22/N22)-1</f>
        <v>-0.205530271455066</v>
      </c>
      <c s="36" r="Q22">
        <f>SUMIF(Hunting!$C$2:$C$10073, $A22, Hunting!$S$2:$S$10073)</f>
        <v>-677.50002</v>
      </c>
      <c s="36" r="R22">
        <f>SUMIF(Crafting!$B$2:$B$10172, $A22, Crafting!$N$2:$N$10172)</f>
        <v>0</v>
      </c>
      <c s="36" r="S22">
        <f>SUMIF(Mining!$B$2:$B$10072, $A22, Mining!$S$2:$S$10072)</f>
        <v>0</v>
      </c>
      <c s="22" r="T22">
        <f>SUMIF(Hunting!$C$2:$C$10073, $A22, Hunting!$AA$2:$AA$10073)</f>
        <v>0</v>
      </c>
      <c s="22" r="U22">
        <f>SUMIF(Hunting!$C$2:$C$10073, $A22, Hunting!$AB$2:$AB$10073)</f>
        <v>1</v>
      </c>
      <c s="22" r="V22">
        <f>SUMIF(Hunting!$C$2:$C$10073, $A22, Hunting!$AC$2:$AC$10073)</f>
        <v>2</v>
      </c>
      <c s="22" r="W22">
        <f>SUMIF(Hunting!$C$2:$C$10073, $A22, Hunting!$AD$2:$AD$10073)</f>
        <v>0</v>
      </c>
    </row>
    <row r="23">
      <c s="78" r="A23">
        <v>41579</v>
      </c>
      <c s="9" r="B23">
        <f>SUMIF(Hunting!$C$2:$C$10073, $A23, Hunting!$E$2:$E$10073)</f>
        <v>2578.84</v>
      </c>
      <c s="9" r="C23">
        <f>SUMIF(Hunting!$C$2:$C$10073, $A23, Hunting!$L$2:$L$10073)</f>
        <v>351.82</v>
      </c>
      <c s="9" r="D23">
        <f>SUMIF(Hunting!$C$2:$C$10073, $A23, Hunting!$F$2:$F$10073)</f>
        <v>0</v>
      </c>
      <c s="9" r="E23">
        <f>SUMIF(Purchased!$A$2:$A$9982, $A23, Purchased!$D$2:$D$9982)-SUMIF(Purchased!$A$2:$A$9982, $A23, Purchased!$I$2:$I$9982)</f>
        <v>274</v>
      </c>
      <c s="9" r="F23">
        <f>SUMIF('Craft Mats'!$A$2:$A$10039, $A23, 'Craft Mats'!$F$2:$F$10039)</f>
        <v>0</v>
      </c>
      <c s="32" r="G23">
        <f>SUMIF(Hunting!$C$2:$C$10073, $A23, Hunting!$M$2:$M$10073)</f>
        <v>1793.84</v>
      </c>
      <c s="32" r="H23">
        <f>SUMIF(Hunting!$C$2:$C$10073, $A23, Hunting!$N$2:$N$10073)</f>
        <v>1276.44</v>
      </c>
      <c s="32" r="I23">
        <f>SUMIF(Hunting!$C$2:$C$10073, $A23, Hunting!$O$2:$O$10073)</f>
        <v>51.62864</v>
      </c>
      <c s="32" r="J23">
        <f>SUMIF(Hunting!$C$2:$C$10073, $A23, Hunting!$P$2:$P$10073)</f>
        <v>16.296</v>
      </c>
      <c s="32" r="K23">
        <v>103</v>
      </c>
      <c s="32" r="L23">
        <f>SUMIF(Purchased!$A$2:$A$9982, $A23, Purchased!$H$2:$H$9982)</f>
        <v>0</v>
      </c>
      <c s="14" r="M23">
        <f>((((H23+I23)+J23)+K23)+T23)+L23</f>
        <v>1447.36464</v>
      </c>
      <c s="14" r="N23">
        <f>((((B23+C23)+D23)+E23)-G23)+F23</f>
        <v>1410.82</v>
      </c>
      <c s="33" r="O23">
        <f>M23-N23</f>
        <v>36.5446399999998</v>
      </c>
      <c s="29" r="P23">
        <f> (M23/N23)-1</f>
        <v>0.025903120171248</v>
      </c>
      <c s="36" r="Q23">
        <f>SUMIF(Hunting!$C$2:$C$10073, $A23, Hunting!$S$2:$S$10073)</f>
        <v>207.54464</v>
      </c>
      <c s="36" r="R23">
        <f>SUMIF(Crafting!$B$2:$B$10172, $A23, Crafting!$N$2:$N$10172)</f>
        <v>0</v>
      </c>
      <c s="36" r="S23">
        <f>SUMIF(Mining!$B$2:$B$10072, $A23, Mining!$S$2:$S$10072)</f>
        <v>0</v>
      </c>
      <c s="22" r="T23">
        <f>SUMIF(Hunting!$C$2:$C$10073, $A23, Hunting!$AA$2:$AA$10073)</f>
        <v>0</v>
      </c>
      <c s="22" r="U23">
        <f>SUMIF(Hunting!$C$2:$C$10073, $A23, Hunting!$AB$2:$AB$10073)</f>
        <v>0</v>
      </c>
      <c s="22" r="V23">
        <f>SUMIF(Hunting!$C$2:$C$10073, $A23, Hunting!$AC$2:$AC$10073)</f>
        <v>6</v>
      </c>
      <c s="22" r="W23">
        <f>SUMIF(Hunting!$C$2:$C$10073, $A23, Hunting!$AD$2:$AD$10073)</f>
        <v>0</v>
      </c>
    </row>
    <row r="24">
      <c s="78" r="A24">
        <v>41580</v>
      </c>
      <c s="9" r="B24">
        <f>SUMIF(Hunting!$C$2:$C$10073, $A24, Hunting!$E$2:$E$10073)</f>
        <v>2573.63</v>
      </c>
      <c s="9" r="C24">
        <f>SUMIF(Hunting!$C$2:$C$10073, $A24, Hunting!$L$2:$L$10073)</f>
        <v>336.95</v>
      </c>
      <c s="9" r="D24">
        <f>SUMIF(Hunting!$C$2:$C$10073, $A24, Hunting!$F$2:$F$10073)</f>
        <v>0</v>
      </c>
      <c s="9" r="E24">
        <f>SUMIF(Purchased!$A$2:$A$9982, $A24, Purchased!$D$2:$D$9982)-SUMIF(Purchased!$A$2:$A$9982, $A24, Purchased!$I$2:$I$9982)</f>
        <v>0</v>
      </c>
      <c s="9" r="F24">
        <f>SUMIF('Craft Mats'!$A$2:$A$10039, $A24, 'Craft Mats'!$F$2:$F$10039)</f>
        <v>0</v>
      </c>
      <c s="32" r="G24">
        <f>SUMIF(Hunting!$C$2:$C$10073, $A24, Hunting!$M$2:$M$10073)</f>
        <v>1584.24</v>
      </c>
      <c s="32" r="H24">
        <f>SUMIF(Hunting!$C$2:$C$10073, $A24, Hunting!$N$2:$N$10073)</f>
        <v>902.8</v>
      </c>
      <c s="32" r="I24">
        <f>SUMIF(Hunting!$C$2:$C$10073, $A24, Hunting!$O$2:$O$10073)</f>
        <v>338.279208</v>
      </c>
      <c s="32" r="J24">
        <f>SUMIF(Hunting!$C$2:$C$10073, $A24, Hunting!$P$2:$P$10073)</f>
        <v>0</v>
      </c>
      <c s="32" r="K24">
        <v>35</v>
      </c>
      <c s="32" r="L24">
        <f>SUMIF(Purchased!$A$2:$A$9982, $A24, Purchased!$H$2:$H$9982)</f>
        <v>0</v>
      </c>
      <c s="14" r="M24">
        <f>((((H24+I24)+J24)+K24)+T24)+L24</f>
        <v>1276.079208</v>
      </c>
      <c s="14" r="N24">
        <f>((((B24+C24)+D24)+E24)-G24)+F24</f>
        <v>1326.34</v>
      </c>
      <c s="33" r="O24">
        <f>M24-N24</f>
        <v>-50.2607919999998</v>
      </c>
      <c s="29" r="P24">
        <f> (M24/N24)-1</f>
        <v>-0.037894349865042</v>
      </c>
      <c s="36" r="Q24">
        <f>SUMIF(Hunting!$C$2:$C$10073, $A24, Hunting!$S$2:$S$10073)</f>
        <v>-85.260792</v>
      </c>
      <c s="36" r="R24">
        <f>SUMIF(Crafting!$B$2:$B$10172, $A24, Crafting!$N$2:$N$10172)</f>
        <v>0</v>
      </c>
      <c s="36" r="S24">
        <f>SUMIF(Mining!$B$2:$B$10072, $A24, Mining!$S$2:$S$10072)</f>
        <v>0</v>
      </c>
      <c s="22" r="T24">
        <f>SUMIF(Hunting!$C$2:$C$10073, $A24, Hunting!$AA$2:$AA$10073)</f>
        <v>0</v>
      </c>
      <c s="22" r="U24">
        <f>SUMIF(Hunting!$C$2:$C$10073, $A24, Hunting!$AB$2:$AB$10073)</f>
        <v>0</v>
      </c>
      <c s="22" r="V24">
        <f>SUMIF(Hunting!$C$2:$C$10073, $A24, Hunting!$AC$2:$AC$10073)</f>
        <v>5</v>
      </c>
      <c s="22" r="W24">
        <f>SUMIF(Hunting!$C$2:$C$10073, $A24, Hunting!$AD$2:$AD$10073)</f>
        <v>0</v>
      </c>
    </row>
    <row r="25">
      <c s="78" r="A25">
        <v>41581</v>
      </c>
      <c s="9" r="B25">
        <f>SUMIF(Hunting!$C$2:$C$10073, $A25, Hunting!$E$2:$E$10073)</f>
        <v>4605.3</v>
      </c>
      <c s="9" r="C25">
        <f>SUMIF(Hunting!$C$2:$C$10073, $A25, Hunting!$L$2:$L$10073)</f>
        <v>208.11</v>
      </c>
      <c s="9" r="D25">
        <f>SUMIF(Hunting!$C$2:$C$10073, $A25, Hunting!$F$2:$F$10073)</f>
        <v>0</v>
      </c>
      <c s="9" r="E25">
        <f>SUMIF(Purchased!$A$2:$A$9982, $A25, Purchased!$D$2:$D$9982)-SUMIF(Purchased!$A$2:$A$9982, $A25, Purchased!$I$2:$I$9982)</f>
        <v>0</v>
      </c>
      <c s="9" r="F25">
        <f>SUMIF('Craft Mats'!$A$2:$A$10039, $A25, 'Craft Mats'!$F$2:$F$10039)</f>
        <v>0</v>
      </c>
      <c s="32" r="G25">
        <f>SUMIF(Hunting!$C$2:$C$10073, $A25, Hunting!$M$2:$M$10073)</f>
        <v>1793.09</v>
      </c>
      <c s="32" r="H25">
        <f>SUMIF(Hunting!$C$2:$C$10073, $A25, Hunting!$N$2:$N$10073)</f>
        <v>2047.84</v>
      </c>
      <c s="32" r="I25">
        <f>SUMIF(Hunting!$C$2:$C$10073, $A25, Hunting!$O$2:$O$10073)</f>
        <v>1066.04295</v>
      </c>
      <c s="32" r="J25">
        <f>SUMIF(Hunting!$C$2:$C$10073, $A25, Hunting!$P$2:$P$10073)</f>
        <v>33.341776</v>
      </c>
      <c s="32" r="K25">
        <v>80</v>
      </c>
      <c s="32" r="L25">
        <f>SUMIF(Purchased!$A$2:$A$9982, $A25, Purchased!$H$2:$H$9982)</f>
        <v>0</v>
      </c>
      <c s="14" r="M25">
        <f>((((H25+I25)+J25)+K25)+T25)+L25</f>
        <v>3227.224726</v>
      </c>
      <c s="14" r="N25">
        <f>((((B25+C25)+D25)+E25)-G25)+F25</f>
        <v>3020.32</v>
      </c>
      <c s="33" r="O25">
        <f>M25-N25</f>
        <v>206.904726000002</v>
      </c>
      <c s="29" r="P25">
        <f> (M25/N25)-1</f>
        <v>0.068504239948086</v>
      </c>
      <c s="36" r="Q25">
        <f>SUMIF(Hunting!$C$2:$C$10073, $A25, Hunting!$S$2:$S$10073)</f>
        <v>126.904726</v>
      </c>
      <c s="36" r="R25">
        <f>SUMIF(Crafting!$B$2:$B$10172, $A25, Crafting!$N$2:$N$10172)</f>
        <v>0</v>
      </c>
      <c s="36" r="S25">
        <f>SUMIF(Mining!$B$2:$B$10072, $A25, Mining!$S$2:$S$10072)</f>
        <v>0</v>
      </c>
      <c s="22" r="T25">
        <f>SUMIF(Hunting!$C$2:$C$10073, $A25, Hunting!$AA$2:$AA$10073)</f>
        <v>0</v>
      </c>
      <c s="22" r="U25">
        <f>SUMIF(Hunting!$C$2:$C$10073, $A25, Hunting!$AB$2:$AB$10073)</f>
        <v>0</v>
      </c>
      <c s="22" r="V25">
        <f>SUMIF(Hunting!$C$2:$C$10073, $A25, Hunting!$AC$2:$AC$10073)</f>
        <v>9</v>
      </c>
      <c s="22" r="W25">
        <f>SUMIF(Hunting!$C$2:$C$10073, $A25, Hunting!$AD$2:$AD$10073)</f>
        <v>0</v>
      </c>
    </row>
    <row r="26">
      <c s="78" r="A26">
        <v>41582</v>
      </c>
      <c s="9" r="B26">
        <f>SUMIF(Hunting!$C$2:$C$10073, $A26, Hunting!$E$2:$E$10073)</f>
        <v>5019.64</v>
      </c>
      <c s="9" r="C26">
        <f>SUMIF(Hunting!$C$2:$C$10073, $A26, Hunting!$L$2:$L$10073)</f>
        <v>434.85</v>
      </c>
      <c s="9" r="D26">
        <f>SUMIF(Hunting!$C$2:$C$10073, $A26, Hunting!$F$2:$F$10073)</f>
        <v>0</v>
      </c>
      <c s="9" r="E26">
        <f>SUMIF(Purchased!$A$2:$A$9982, $A26, Purchased!$D$2:$D$9982)-SUMIF(Purchased!$A$2:$A$9982, $A26, Purchased!$I$2:$I$9982)</f>
        <v>0</v>
      </c>
      <c s="9" r="F26">
        <f>SUMIF('Craft Mats'!$A$2:$A$10039, $A26, 'Craft Mats'!$F$2:$F$10039)</f>
        <v>0</v>
      </c>
      <c s="32" r="G26">
        <f>SUMIF(Hunting!$C$2:$C$10073, $A26, Hunting!$M$2:$M$10073)</f>
        <v>1648.46</v>
      </c>
      <c s="32" r="H26">
        <f>SUMIF(Hunting!$C$2:$C$10073, $A26, Hunting!$N$2:$N$10073)</f>
        <v>1453.39</v>
      </c>
      <c s="32" r="I26">
        <f>SUMIF(Hunting!$C$2:$C$10073, $A26, Hunting!$O$2:$O$10073)</f>
        <v>1476.8078</v>
      </c>
      <c s="32" r="J26">
        <f>SUMIF(Hunting!$C$2:$C$10073, $A26, Hunting!$P$2:$P$10073)</f>
        <v>34.851094</v>
      </c>
      <c s="32" r="K26">
        <v>44</v>
      </c>
      <c s="32" r="L26">
        <f>SUMIF(Purchased!$A$2:$A$9982, $A26, Purchased!$H$2:$H$9982)</f>
        <v>0</v>
      </c>
      <c s="14" r="M26">
        <f>((((H26+I26)+J26)+K26)+T26)+L26</f>
        <v>3009.048894</v>
      </c>
      <c s="14" r="N26">
        <f>((((B26+C26)+D26)+E26)-G26)+F26</f>
        <v>3806.03</v>
      </c>
      <c s="33" r="O26">
        <f>M26-N26</f>
        <v>-796.981105999999</v>
      </c>
      <c s="29" r="P26">
        <f> (M26/N26)-1</f>
        <v>-0.209399585920237</v>
      </c>
      <c s="36" r="Q26">
        <f>SUMIF(Hunting!$C$2:$C$10073, $A26, Hunting!$S$2:$S$10073)</f>
        <v>-840.981106</v>
      </c>
      <c s="36" r="R26">
        <f>SUMIF(Crafting!$B$2:$B$10172, $A26, Crafting!$N$2:$N$10172)</f>
        <v>0</v>
      </c>
      <c s="36" r="S26">
        <f>SUMIF(Mining!$B$2:$B$10072, $A26, Mining!$S$2:$S$10072)</f>
        <v>0</v>
      </c>
      <c s="22" r="T26">
        <f>SUMIF(Hunting!$C$2:$C$10073, $A26, Hunting!$AA$2:$AA$10073)</f>
        <v>0</v>
      </c>
      <c s="22" r="U26">
        <f>SUMIF(Hunting!$C$2:$C$10073, $A26, Hunting!$AB$2:$AB$10073)</f>
        <v>0</v>
      </c>
      <c s="22" r="V26">
        <f>SUMIF(Hunting!$C$2:$C$10073, $A26, Hunting!$AC$2:$AC$10073)</f>
        <v>1</v>
      </c>
      <c s="22" r="W26">
        <f>SUMIF(Hunting!$C$2:$C$10073, $A26, Hunting!$AD$2:$AD$10073)</f>
        <v>0</v>
      </c>
    </row>
    <row r="27">
      <c s="78" r="A27">
        <v>41583</v>
      </c>
      <c s="9" r="B27">
        <f>SUMIF(Hunting!$C$2:$C$10073, $A27, Hunting!$E$2:$E$10073)</f>
        <v>2111.06</v>
      </c>
      <c s="9" r="C27">
        <f>SUMIF(Hunting!$C$2:$C$10073, $A27, Hunting!$L$2:$L$10073)</f>
        <v>333.74</v>
      </c>
      <c s="9" r="D27">
        <f>SUMIF(Hunting!$C$2:$C$10073, $A27, Hunting!$F$2:$F$10073)</f>
        <v>0</v>
      </c>
      <c s="9" r="E27">
        <f>SUMIF(Purchased!$A$2:$A$9982, $A27, Purchased!$D$2:$D$9982)-SUMIF(Purchased!$A$2:$A$9982, $A27, Purchased!$I$2:$I$9982)</f>
        <v>0</v>
      </c>
      <c s="9" r="F27">
        <f>SUMIF('Craft Mats'!$A$2:$A$10039, $A27, 'Craft Mats'!$F$2:$F$10039)</f>
        <v>0</v>
      </c>
      <c s="32" r="G27">
        <f>SUMIF(Hunting!$C$2:$C$10073, $A27, Hunting!$M$2:$M$10073)</f>
        <v>1268.77</v>
      </c>
      <c s="32" r="H27">
        <f>SUMIF(Hunting!$C$2:$C$10073, $A27, Hunting!$N$2:$N$10073)</f>
        <v>808.65</v>
      </c>
      <c s="32" r="I27">
        <f>SUMIF(Hunting!$C$2:$C$10073, $A27, Hunting!$O$2:$O$10073)</f>
        <v>435.3126</v>
      </c>
      <c s="32" r="J27">
        <f>SUMIF(Hunting!$C$2:$C$10073, $A27, Hunting!$P$2:$P$10073)</f>
        <v>0</v>
      </c>
      <c s="32" r="K27">
        <v>26</v>
      </c>
      <c s="32" r="L27">
        <f>SUMIF(Purchased!$A$2:$A$9982, $A27, Purchased!$H$2:$H$9982)</f>
        <v>0</v>
      </c>
      <c s="14" r="M27">
        <f>((((H27+I27)+J27)+K27)+T27)+L27</f>
        <v>1269.9626</v>
      </c>
      <c s="14" r="N27">
        <f>((((B27+C27)+D27)+E27)-G27)+F27</f>
        <v>1176.03</v>
      </c>
      <c s="33" r="O27">
        <f>M27-N27</f>
        <v>93.9325999999999</v>
      </c>
      <c s="29" r="P27">
        <f> (M27/N27)-1</f>
        <v>0.07987262229705</v>
      </c>
      <c s="36" r="Q27">
        <f>SUMIF(Hunting!$C$2:$C$10073, $A27, Hunting!$S$2:$S$10073)</f>
        <v>67.9326</v>
      </c>
      <c s="36" r="R27">
        <f>SUMIF(Crafting!$B$2:$B$10172, $A27, Crafting!$N$2:$N$10172)</f>
        <v>0</v>
      </c>
      <c s="36" r="S27">
        <f>SUMIF(Mining!$B$2:$B$10072, $A27, Mining!$S$2:$S$10072)</f>
        <v>0</v>
      </c>
      <c s="22" r="T27">
        <f>SUMIF(Hunting!$C$2:$C$10073, $A27, Hunting!$AA$2:$AA$10073)</f>
        <v>0</v>
      </c>
      <c s="22" r="U27">
        <f>SUMIF(Hunting!$C$2:$C$10073, $A27, Hunting!$AB$2:$AB$10073)</f>
        <v>1</v>
      </c>
      <c s="22" r="V27">
        <f>SUMIF(Hunting!$C$2:$C$10073, $A27, Hunting!$AC$2:$AC$10073)</f>
        <v>5</v>
      </c>
      <c s="22" r="W27">
        <f>SUMIF(Hunting!$C$2:$C$10073, $A27, Hunting!$AD$2:$AD$10073)</f>
        <v>1</v>
      </c>
    </row>
    <row r="28">
      <c s="78" r="A28">
        <v>41584</v>
      </c>
      <c s="9" r="B28">
        <f>SUMIF(Hunting!$C$2:$C$10073, $A28, Hunting!$E$2:$E$10073)</f>
        <v>3300.95</v>
      </c>
      <c s="9" r="C28">
        <f>SUMIF(Hunting!$C$2:$C$10073, $A28, Hunting!$L$2:$L$10073)</f>
        <v>916.1</v>
      </c>
      <c s="9" r="D28">
        <f>SUMIF(Hunting!$C$2:$C$10073, $A28, Hunting!$F$2:$F$10073)</f>
        <v>0</v>
      </c>
      <c s="9" r="E28">
        <f>SUMIF(Purchased!$A$2:$A$9982, $A28, Purchased!$D$2:$D$9982)-SUMIF(Purchased!$A$2:$A$9982, $A28, Purchased!$I$2:$I$9982)</f>
        <v>0</v>
      </c>
      <c s="9" r="F28">
        <f>SUMIF('Craft Mats'!$A$2:$A$10039, $A28, 'Craft Mats'!$F$2:$F$10039)</f>
        <v>0</v>
      </c>
      <c s="32" r="G28">
        <f>SUMIF(Hunting!$C$2:$C$10073, $A28, Hunting!$M$2:$M$10073)</f>
        <v>1296.37</v>
      </c>
      <c s="32" r="H28">
        <f>SUMIF(Hunting!$C$2:$C$10073, $A28, Hunting!$N$2:$N$10073)</f>
        <v>999.04</v>
      </c>
      <c s="32" r="I28">
        <f>SUMIF(Hunting!$C$2:$C$10073, $A28, Hunting!$O$2:$O$10073)</f>
        <v>2960.371888</v>
      </c>
      <c s="32" r="J28">
        <f>SUMIF(Hunting!$C$2:$C$10073, $A28, Hunting!$P$2:$P$10073)</f>
        <v>19.1196</v>
      </c>
      <c s="32" r="K28">
        <v>310</v>
      </c>
      <c s="32" r="L28">
        <f>SUMIF(Purchased!$A$2:$A$9982, $A28, Purchased!$H$2:$H$9982)</f>
        <v>0</v>
      </c>
      <c s="14" r="M28">
        <f>((((H28+I28)+J28)+K28)+T28)+L28</f>
        <v>4288.531488</v>
      </c>
      <c s="14" r="N28">
        <f>((((B28+C28)+D28)+E28)-G28)+F28</f>
        <v>2920.68</v>
      </c>
      <c s="33" r="O28">
        <f>M28-N28</f>
        <v>1367.851488</v>
      </c>
      <c s="29" r="P28">
        <f> (M28/N28)-1</f>
        <v>0.468333226508895</v>
      </c>
      <c s="36" r="Q28">
        <f>SUMIF(Hunting!$C$2:$C$10073, $A28, Hunting!$S$2:$S$10073)</f>
        <v>1057.851488</v>
      </c>
      <c s="36" r="R28">
        <f>SUMIF(Crafting!$B$2:$B$10172, $A28, Crafting!$N$2:$N$10172)</f>
        <v>0</v>
      </c>
      <c s="36" r="S28">
        <f>SUMIF(Mining!$B$2:$B$10072, $A28, Mining!$S$2:$S$10072)</f>
        <v>0</v>
      </c>
      <c s="22" r="T28">
        <f>SUMIF(Hunting!$C$2:$C$10073, $A28, Hunting!$AA$2:$AA$10073)</f>
        <v>0</v>
      </c>
      <c s="22" r="U28">
        <f>SUMIF(Hunting!$C$2:$C$10073, $A28, Hunting!$AB$2:$AB$10073)</f>
        <v>0</v>
      </c>
      <c s="22" r="V28">
        <f>SUMIF(Hunting!$C$2:$C$10073, $A28, Hunting!$AC$2:$AC$10073)</f>
        <v>5</v>
      </c>
      <c s="22" r="W28">
        <f>SUMIF(Hunting!$C$2:$C$10073, $A28, Hunting!$AD$2:$AD$10073)</f>
        <v>2</v>
      </c>
    </row>
    <row r="29">
      <c s="78" r="A29">
        <v>41585</v>
      </c>
      <c s="9" r="B29">
        <f>SUMIF(Hunting!$C$2:$C$10073, $A29, Hunting!$E$2:$E$10073)</f>
        <v>3717</v>
      </c>
      <c s="9" r="C29">
        <f>SUMIF(Hunting!$C$2:$C$10073, $A29, Hunting!$L$2:$L$10073)</f>
        <v>475.44</v>
      </c>
      <c s="9" r="D29">
        <f>SUMIF(Hunting!$C$2:$C$10073, $A29, Hunting!$F$2:$F$10073)</f>
        <v>0</v>
      </c>
      <c s="9" r="E29">
        <f>SUMIF(Purchased!$A$2:$A$9982, $A29, Purchased!$D$2:$D$9982)-SUMIF(Purchased!$A$2:$A$9982, $A29, Purchased!$I$2:$I$9982)</f>
        <v>0</v>
      </c>
      <c s="9" r="F29">
        <f>SUMIF('Craft Mats'!$A$2:$A$10039, $A29, 'Craft Mats'!$F$2:$F$10039)</f>
        <v>0</v>
      </c>
      <c s="32" r="G29">
        <f>SUMIF(Hunting!$C$2:$C$10073, $A29, Hunting!$M$2:$M$10073)</f>
        <v>1145.3</v>
      </c>
      <c s="32" r="H29">
        <f>SUMIF(Hunting!$C$2:$C$10073, $A29, Hunting!$N$2:$N$10073)</f>
        <v>2646.81</v>
      </c>
      <c s="32" r="I29">
        <f>SUMIF(Hunting!$C$2:$C$10073, $A29, Hunting!$O$2:$O$10073)</f>
        <v>1854.2933</v>
      </c>
      <c s="32" r="J29">
        <f>SUMIF(Hunting!$C$2:$C$10073, $A29, Hunting!$P$2:$P$10073)</f>
        <v>0</v>
      </c>
      <c s="32" r="K29">
        <v>44</v>
      </c>
      <c s="32" r="L29">
        <f>SUMIF(Purchased!$A$2:$A$9982, $A29, Purchased!$H$2:$H$9982)</f>
        <v>0</v>
      </c>
      <c s="14" r="M29">
        <f>((((H29+I29)+J29)+K29)+T29)+L29</f>
        <v>4549.1033</v>
      </c>
      <c s="14" r="N29">
        <f>((((B29+C29)+D29)+E29)-G29)+F29</f>
        <v>3047.14</v>
      </c>
      <c s="33" r="O29">
        <f>M29-N29</f>
        <v>1501.9633</v>
      </c>
      <c s="29" r="P29">
        <f> (M29/N29)-1</f>
        <v>0.492909186975328</v>
      </c>
      <c s="36" r="Q29">
        <f>SUMIF(Hunting!$C$2:$C$10073, $A29, Hunting!$S$2:$S$10073)</f>
        <v>1457.9633</v>
      </c>
      <c s="36" r="R29">
        <f>SUMIF(Crafting!$B$2:$B$10172, $A29, Crafting!$N$2:$N$10172)</f>
        <v>0</v>
      </c>
      <c s="36" r="S29">
        <f>SUMIF(Mining!$B$2:$B$10072, $A29, Mining!$S$2:$S$10072)</f>
        <v>0</v>
      </c>
      <c s="22" r="T29">
        <f>SUMIF(Hunting!$C$2:$C$10073, $A29, Hunting!$AA$2:$AA$10073)</f>
        <v>4</v>
      </c>
      <c s="22" r="U29">
        <f>SUMIF(Hunting!$C$2:$C$10073, $A29, Hunting!$AB$2:$AB$10073)</f>
        <v>1</v>
      </c>
      <c s="22" r="V29">
        <f>SUMIF(Hunting!$C$2:$C$10073, $A29, Hunting!$AC$2:$AC$10073)</f>
        <v>6</v>
      </c>
      <c s="22" r="W29">
        <f>SUMIF(Hunting!$C$2:$C$10073, $A29, Hunting!$AD$2:$AD$10073)</f>
        <v>3</v>
      </c>
    </row>
    <row r="30">
      <c s="78" r="A30">
        <v>41586</v>
      </c>
      <c s="9" r="B30">
        <f>SUMIF(Hunting!$C$2:$C$10073, $A30, Hunting!$E$2:$E$10073)</f>
        <v>1084.8</v>
      </c>
      <c s="9" r="C30">
        <f>SUMIF(Hunting!$C$2:$C$10073, $A30, Hunting!$L$2:$L$10073)</f>
        <v>244.23</v>
      </c>
      <c s="9" r="D30">
        <f>SUMIF(Hunting!$C$2:$C$10073, $A30, Hunting!$F$2:$F$10073)</f>
        <v>0</v>
      </c>
      <c s="9" r="E30">
        <f>SUMIF(Purchased!$A$2:$A$9982, $A30, Purchased!$D$2:$D$9982)-SUMIF(Purchased!$A$2:$A$9982, $A30, Purchased!$I$2:$I$9982)</f>
        <v>0</v>
      </c>
      <c s="9" r="F30">
        <f>SUMIF('Craft Mats'!$A$2:$A$10039, $A30, 'Craft Mats'!$F$2:$F$10039)</f>
        <v>0</v>
      </c>
      <c s="32" r="G30">
        <f>SUMIF(Hunting!$C$2:$C$10073, $A30, Hunting!$M$2:$M$10073)</f>
        <v>528.64</v>
      </c>
      <c s="32" r="H30">
        <f>SUMIF(Hunting!$C$2:$C$10073, $A30, Hunting!$N$2:$N$10073)</f>
        <v>514.57</v>
      </c>
      <c s="32" r="I30">
        <f>SUMIF(Hunting!$C$2:$C$10073, $A30, Hunting!$O$2:$O$10073)</f>
        <v>304.0392</v>
      </c>
      <c s="32" r="J30">
        <f>SUMIF(Hunting!$C$2:$C$10073, $A30, Hunting!$P$2:$P$10073)</f>
        <v>0</v>
      </c>
      <c s="32" r="K30">
        <v>22</v>
      </c>
      <c s="32" r="L30">
        <f>SUMIF(Purchased!$A$2:$A$9982, $A30, Purchased!$H$2:$H$9982)</f>
        <v>0</v>
      </c>
      <c s="14" r="M30">
        <f>((((H30+I30)+J30)+K30)+T30)+L30</f>
        <v>840.6092</v>
      </c>
      <c s="14" r="N30">
        <f>((((B30+C30)+D30)+E30)-G30)+F30</f>
        <v>800.39</v>
      </c>
      <c s="33" r="O30">
        <f>M30-N30</f>
        <v>40.2191999999999</v>
      </c>
      <c s="29" r="P30">
        <f> (M30/N30)-1</f>
        <v>0.050249503367108</v>
      </c>
      <c s="36" r="Q30">
        <f>SUMIF(Hunting!$C$2:$C$10073, $A30, Hunting!$S$2:$S$10073)</f>
        <v>18.2192</v>
      </c>
      <c s="36" r="R30">
        <f>SUMIF(Crafting!$B$2:$B$10172, $A30, Crafting!$N$2:$N$10172)</f>
        <v>0</v>
      </c>
      <c s="36" r="S30">
        <f>SUMIF(Mining!$B$2:$B$10072, $A30, Mining!$S$2:$S$10072)</f>
        <v>0</v>
      </c>
      <c s="22" r="T30">
        <f>SUMIF(Hunting!$C$2:$C$10073, $A30, Hunting!$AA$2:$AA$10073)</f>
        <v>0</v>
      </c>
      <c s="22" r="U30">
        <f>SUMIF(Hunting!$C$2:$C$10073, $A30, Hunting!$AB$2:$AB$10073)</f>
        <v>0</v>
      </c>
      <c s="22" r="V30">
        <f>SUMIF(Hunting!$C$2:$C$10073, $A30, Hunting!$AC$2:$AC$10073)</f>
        <v>1</v>
      </c>
      <c s="22" r="W30">
        <f>SUMIF(Hunting!$C$2:$C$10073, $A30, Hunting!$AD$2:$AD$10073)</f>
        <v>0</v>
      </c>
    </row>
    <row r="31">
      <c s="78" r="A31">
        <v>41587</v>
      </c>
      <c s="9" r="B31">
        <f>SUMIF(Hunting!$C$2:$C$10073, $A31, Hunting!$E$2:$E$10073)</f>
        <v>4318.48</v>
      </c>
      <c s="9" r="C31">
        <f>SUMIF(Hunting!$C$2:$C$10073, $A31, Hunting!$L$2:$L$10073)</f>
        <v>641.04</v>
      </c>
      <c s="9" r="D31">
        <f>SUMIF(Hunting!$C$2:$C$10073, $A31, Hunting!$F$2:$F$10073)</f>
        <v>0</v>
      </c>
      <c s="9" r="E31">
        <f>SUMIF(Purchased!$A$2:$A$9982, $A31, Purchased!$D$2:$D$9982)-SUMIF(Purchased!$A$2:$A$9982, $A31, Purchased!$I$2:$I$9982)</f>
        <v>30</v>
      </c>
      <c s="9" r="F31">
        <f>SUMIF('Craft Mats'!$A$2:$A$10039, $A31, 'Craft Mats'!$F$2:$F$10039)</f>
        <v>0</v>
      </c>
      <c s="32" r="G31">
        <f>SUMIF(Hunting!$C$2:$C$10073, $A31, Hunting!$M$2:$M$10073)</f>
        <v>1505.64</v>
      </c>
      <c s="32" r="H31">
        <f>SUMIF(Hunting!$C$2:$C$10073, $A31, Hunting!$N$2:$N$10073)</f>
        <v>2256.37</v>
      </c>
      <c s="32" r="I31">
        <f>SUMIF(Hunting!$C$2:$C$10073, $A31, Hunting!$O$2:$O$10073)</f>
        <v>815.2603</v>
      </c>
      <c s="32" r="J31">
        <f>SUMIF(Hunting!$C$2:$C$10073, $A31, Hunting!$P$2:$P$10073)</f>
        <v>31.222421</v>
      </c>
      <c s="32" r="K31">
        <v>164</v>
      </c>
      <c s="32" r="L31">
        <f>SUMIF(Purchased!$A$2:$A$9982, $A31, Purchased!$H$2:$H$9982)</f>
        <v>0</v>
      </c>
      <c s="14" r="M31">
        <f>((((H31+I31)+J31)+K31)+T31)+L31</f>
        <v>3266.852721</v>
      </c>
      <c s="14" r="N31">
        <f>((((B31+C31)+D31)+E31)-G31)+F31</f>
        <v>3483.88</v>
      </c>
      <c s="33" r="O31">
        <f>M31-N31</f>
        <v>-217.027279000001</v>
      </c>
      <c s="29" r="P31">
        <f> (M31/N31)-1</f>
        <v>-0.062294705615578</v>
      </c>
      <c s="36" r="Q31">
        <f>SUMIF(Hunting!$C$2:$C$10073, $A31, Hunting!$S$2:$S$10073)</f>
        <v>-351.027279</v>
      </c>
      <c s="36" r="R31">
        <f>SUMIF(Crafting!$B$2:$B$10172, $A31, Crafting!$N$2:$N$10172)</f>
        <v>0</v>
      </c>
      <c s="36" r="S31">
        <f>SUMIF(Mining!$B$2:$B$10072, $A31, Mining!$S$2:$S$10072)</f>
        <v>0</v>
      </c>
      <c s="22" r="T31">
        <f>SUMIF(Hunting!$C$2:$C$10073, $A31, Hunting!$AA$2:$AA$10073)</f>
        <v>0</v>
      </c>
      <c s="22" r="U31">
        <f>SUMIF(Hunting!$C$2:$C$10073, $A31, Hunting!$AB$2:$AB$10073)</f>
        <v>1</v>
      </c>
      <c s="22" r="V31">
        <f>SUMIF(Hunting!$C$2:$C$10073, $A31, Hunting!$AC$2:$AC$10073)</f>
        <v>7</v>
      </c>
      <c s="22" r="W31">
        <f>SUMIF(Hunting!$C$2:$C$10073, $A31, Hunting!$AD$2:$AD$10073)</f>
        <v>0</v>
      </c>
    </row>
    <row r="32">
      <c s="78" r="A32">
        <v>41588</v>
      </c>
      <c s="9" r="B32">
        <f>SUMIF(Hunting!$C$2:$C$10073, $A32, Hunting!$E$2:$E$10073)</f>
        <v>4538.56</v>
      </c>
      <c s="9" r="C32">
        <f>SUMIF(Hunting!$C$2:$C$10073, $A32, Hunting!$L$2:$L$10073)</f>
        <v>1021.82</v>
      </c>
      <c s="9" r="D32">
        <f>SUMIF(Hunting!$C$2:$C$10073, $A32, Hunting!$F$2:$F$10073)</f>
        <v>0</v>
      </c>
      <c s="9" r="E32">
        <f>SUMIF(Purchased!$A$2:$A$9982, $A32, Purchased!$D$2:$D$9982)-SUMIF(Purchased!$A$2:$A$9982, $A32, Purchased!$I$2:$I$9982)</f>
        <v>108</v>
      </c>
      <c s="9" r="F32">
        <f>SUMIF('Craft Mats'!$A$2:$A$10039, $A32, 'Craft Mats'!$F$2:$F$10039)</f>
        <v>0</v>
      </c>
      <c s="32" r="G32">
        <f>SUMIF(Hunting!$C$2:$C$10073, $A32, Hunting!$M$2:$M$10073)</f>
        <v>1046.99</v>
      </c>
      <c s="32" r="H32">
        <f>SUMIF(Hunting!$C$2:$C$10073, $A32, Hunting!$N$2:$N$10073)</f>
        <v>2528.36</v>
      </c>
      <c s="32" r="I32">
        <f>SUMIF(Hunting!$C$2:$C$10073, $A32, Hunting!$O$2:$O$10073)</f>
        <v>1320.87579</v>
      </c>
      <c s="32" r="J32">
        <f>SUMIF(Hunting!$C$2:$C$10073, $A32, Hunting!$P$2:$P$10073)</f>
        <v>0</v>
      </c>
      <c s="32" r="K32">
        <v>68</v>
      </c>
      <c s="32" r="L32">
        <f>SUMIF(Purchased!$A$2:$A$9982, $A32, Purchased!$H$2:$H$9982)</f>
        <v>0</v>
      </c>
      <c s="14" r="M32">
        <f>((((H32+I32)+J32)+K32)+T32)+L32</f>
        <v>3927.23579</v>
      </c>
      <c s="14" r="N32">
        <f>((((B32+C32)+D32)+E32)-G32)+F32</f>
        <v>4621.39</v>
      </c>
      <c s="33" r="O32">
        <f>M32-N32</f>
        <v>-694.15421</v>
      </c>
      <c s="29" r="P32">
        <f> (M32/N32)-1</f>
        <v>-0.150204637565754</v>
      </c>
      <c s="36" r="Q32">
        <f>SUMIF(Hunting!$C$2:$C$10073, $A32, Hunting!$S$2:$S$10073)</f>
        <v>-664.15421</v>
      </c>
      <c s="36" r="R32">
        <f>SUMIF(Crafting!$B$2:$B$10172, $A32, Crafting!$N$2:$N$10172)</f>
        <v>0</v>
      </c>
      <c s="36" r="S32">
        <f>SUMIF(Mining!$B$2:$B$10072, $A32, Mining!$S$2:$S$10072)</f>
        <v>0</v>
      </c>
      <c s="22" r="T32">
        <v>10</v>
      </c>
      <c s="22" r="U32">
        <f>SUMIF(Hunting!$C$2:$C$10073, $A32, Hunting!$AB$2:$AB$10073)</f>
        <v>2</v>
      </c>
      <c s="22" r="V32">
        <f>SUMIF(Hunting!$C$2:$C$10073, $A32, Hunting!$AC$2:$AC$10073)</f>
        <v>11</v>
      </c>
      <c s="22" r="W32">
        <f>SUMIF(Hunting!$C$2:$C$10073, $A32, Hunting!$AD$2:$AD$10073)</f>
        <v>0</v>
      </c>
    </row>
    <row r="33">
      <c s="78" r="A33">
        <v>41589</v>
      </c>
      <c s="9" r="B33">
        <f>SUMIF(Hunting!$C$2:$C$10073, $A33, Hunting!$E$2:$E$10073)</f>
        <v>2361.69</v>
      </c>
      <c s="9" r="C33">
        <f>SUMIF(Hunting!$C$2:$C$10073, $A33, Hunting!$L$2:$L$10073)</f>
        <v>565.04</v>
      </c>
      <c s="9" r="D33">
        <f>SUMIF(Hunting!$C$2:$C$10073, $A33, Hunting!$F$2:$F$10073)</f>
        <v>0</v>
      </c>
      <c s="9" r="E33">
        <f>SUMIF(Purchased!$A$2:$A$9982, $A33, Purchased!$D$2:$D$9982)-SUMIF(Purchased!$A$2:$A$9982, $A33, Purchased!$I$2:$I$9982)</f>
        <v>0</v>
      </c>
      <c s="9" r="F33">
        <f>SUMIF('Craft Mats'!$A$2:$A$10039, $A33, 'Craft Mats'!$F$2:$F$10039)</f>
        <v>0</v>
      </c>
      <c s="32" r="G33">
        <f>SUMIF(Hunting!$C$2:$C$10073, $A33, Hunting!$M$2:$M$10073)</f>
        <v>324.42</v>
      </c>
      <c s="32" r="H33">
        <f>SUMIF(Hunting!$C$2:$C$10073, $A33, Hunting!$N$2:$N$10073)</f>
        <v>1945.75</v>
      </c>
      <c s="32" r="I33">
        <f>SUMIF(Hunting!$C$2:$C$10073, $A33, Hunting!$O$2:$O$10073)</f>
        <v>831.9228</v>
      </c>
      <c s="32" r="J33">
        <f>SUMIF(Hunting!$C$2:$C$10073, $A33, Hunting!$P$2:$P$10073)</f>
        <v>0</v>
      </c>
      <c s="32" r="K33">
        <v>121</v>
      </c>
      <c s="32" r="L33">
        <f>SUMIF(Purchased!$A$2:$A$9982, $A33, Purchased!$H$2:$H$9982)</f>
        <v>0</v>
      </c>
      <c s="14" r="M33">
        <f>((((H33+I33)+J33)+K33)+T33)+L33</f>
        <v>2898.6728</v>
      </c>
      <c s="14" r="N33">
        <f>((((B33+C33)+D33)+E33)-G33)+F33</f>
        <v>2602.31</v>
      </c>
      <c s="33" r="O33">
        <f>M33-N33</f>
        <v>296.3628</v>
      </c>
      <c s="29" r="P33">
        <f> (M33/N33)-1</f>
        <v>0.113884510300464</v>
      </c>
      <c s="36" r="Q33">
        <f>SUMIF(Hunting!$C$2:$C$10073, $A33, Hunting!$S$2:$S$10073)</f>
        <v>175.3628</v>
      </c>
      <c s="36" r="R33">
        <f>SUMIF(Crafting!$B$2:$B$10172, $A33, Crafting!$N$2:$N$10172)</f>
        <v>0</v>
      </c>
      <c s="36" r="S33">
        <f>SUMIF(Mining!$B$2:$B$10072, $A33, Mining!$S$2:$S$10072)</f>
        <v>0</v>
      </c>
      <c s="22" r="T33">
        <f>SUMIF(Hunting!$C$2:$C$10073, $A33, Hunting!$AA$2:$AA$10073)</f>
        <v>0</v>
      </c>
      <c s="22" r="U33">
        <f>SUMIF(Hunting!$C$2:$C$10073, $A33, Hunting!$AB$2:$AB$10073)</f>
        <v>0</v>
      </c>
      <c s="22" r="V33">
        <f>SUMIF(Hunting!$C$2:$C$10073, $A33, Hunting!$AC$2:$AC$10073)</f>
        <v>7</v>
      </c>
      <c s="22" r="W33">
        <f>SUMIF(Hunting!$C$2:$C$10073, $A33, Hunting!$AD$2:$AD$10073)</f>
        <v>0</v>
      </c>
    </row>
    <row r="34">
      <c s="78" r="A34">
        <v>41590</v>
      </c>
      <c s="9" r="B34">
        <f>SUMIF(Hunting!$C$2:$C$10073, $A34, Hunting!$E$2:$E$10073)</f>
        <v>2903.87</v>
      </c>
      <c s="9" r="C34">
        <f>SUMIF(Hunting!$C$2:$C$10073, $A34, Hunting!$L$2:$L$10073)</f>
        <v>526.32</v>
      </c>
      <c s="9" r="D34">
        <f>SUMIF(Hunting!$C$2:$C$10073, $A34, Hunting!$F$2:$F$10073)</f>
        <v>0</v>
      </c>
      <c s="9" r="E34">
        <f>SUMIF(Purchased!$A$2:$A$9982, $A34, Purchased!$D$2:$D$9982)-SUMIF(Purchased!$A$2:$A$9982, $A34, Purchased!$I$2:$I$9982)</f>
        <v>0</v>
      </c>
      <c s="9" r="F34">
        <f>SUMIF('Craft Mats'!$A$2:$A$10039, $A34, 'Craft Mats'!$F$2:$F$10039)</f>
        <v>0</v>
      </c>
      <c s="32" r="G34">
        <f>SUMIF(Hunting!$C$2:$C$10073, $A34, Hunting!$M$2:$M$10073)</f>
        <v>1476.98</v>
      </c>
      <c s="32" r="H34">
        <f>SUMIF(Hunting!$C$2:$C$10073, $A34, Hunting!$N$2:$N$10073)</f>
        <v>2355.93</v>
      </c>
      <c s="32" r="I34">
        <f>SUMIF(Hunting!$C$2:$C$10073, $A34, Hunting!$O$2:$O$10073)</f>
        <v>79.6212</v>
      </c>
      <c s="32" r="J34">
        <f>SUMIF(Hunting!$C$2:$C$10073, $A34, Hunting!$P$2:$P$10073)</f>
        <v>0</v>
      </c>
      <c s="32" r="K34">
        <v>38</v>
      </c>
      <c s="32" r="L34">
        <f>SUMIF(Purchased!$A$2:$A$9982, $A34, Purchased!$H$2:$H$9982)</f>
        <v>0</v>
      </c>
      <c s="14" r="M34">
        <f>((((H34+I34)+J34)+K34)+T34)+L34</f>
        <v>2473.5512</v>
      </c>
      <c s="14" r="N34">
        <f>((((B34+C34)+D34)+E34)-G34)+F34</f>
        <v>1953.21</v>
      </c>
      <c s="33" r="O34">
        <f>M34-N34</f>
        <v>520.3412</v>
      </c>
      <c s="29" r="P34">
        <f> (M34/N34)-1</f>
        <v>0.266403100537065</v>
      </c>
      <c s="36" r="Q34">
        <f>SUMIF(Hunting!$C$2:$C$10073, $A34, Hunting!$S$2:$S$10073)</f>
        <v>482.3412</v>
      </c>
      <c s="36" r="R34">
        <f>SUMIF(Crafting!$B$2:$B$10172, $A34, Crafting!$N$2:$N$10172)</f>
        <v>0</v>
      </c>
      <c s="36" r="S34">
        <f>SUMIF(Mining!$B$2:$B$10072, $A34, Mining!$S$2:$S$10072)</f>
        <v>0</v>
      </c>
      <c s="22" r="T34">
        <f>SUMIF(Hunting!$C$2:$C$10073, $A34, Hunting!$AA$2:$AA$10073)</f>
        <v>0</v>
      </c>
      <c s="22" r="U34">
        <f>SUMIF(Hunting!$C$2:$C$10073, $A34, Hunting!$AB$2:$AB$10073)</f>
        <v>2</v>
      </c>
      <c s="22" r="V34">
        <f>SUMIF(Hunting!$C$2:$C$10073, $A34, Hunting!$AC$2:$AC$10073)</f>
        <v>6</v>
      </c>
      <c s="22" r="W34">
        <f>SUMIF(Hunting!$C$2:$C$10073, $A34, Hunting!$AD$2:$AD$10073)</f>
        <v>1</v>
      </c>
    </row>
    <row r="35">
      <c s="78" r="A35">
        <v>41591</v>
      </c>
      <c s="9" r="B35">
        <f>SUMIF(Hunting!$C$2:$C$10073, $A35, Hunting!$E$2:$E$10073)</f>
        <v>4879.97</v>
      </c>
      <c s="9" r="C35">
        <f>SUMIF(Hunting!$C$2:$C$10073, $A35, Hunting!$L$2:$L$10073)</f>
        <v>791.15</v>
      </c>
      <c s="9" r="D35">
        <f>SUMIF(Hunting!$C$2:$C$10073, $A35, Hunting!$F$2:$F$10073)</f>
        <v>0</v>
      </c>
      <c s="9" r="E35">
        <f>SUMIF(Purchased!$A$2:$A$9982, $A35, Purchased!$D$2:$D$9982)-SUMIF(Purchased!$A$2:$A$9982, $A35, Purchased!$I$2:$I$9982)</f>
        <v>0</v>
      </c>
      <c s="9" r="F35">
        <f>SUMIF('Craft Mats'!$A$2:$A$10039, $A35, 'Craft Mats'!$F$2:$F$10039)</f>
        <v>0</v>
      </c>
      <c s="32" r="G35">
        <f>SUMIF(Hunting!$C$2:$C$10073, $A35, Hunting!$M$2:$M$10073)</f>
        <v>398.08</v>
      </c>
      <c s="32" r="H35">
        <f>SUMIF(Hunting!$C$2:$C$10073, $A35, Hunting!$N$2:$N$10073)</f>
        <v>2781.5</v>
      </c>
      <c s="32" r="I35">
        <f>SUMIF(Hunting!$C$2:$C$10073, $A35, Hunting!$O$2:$O$10073)</f>
        <v>2031.7339</v>
      </c>
      <c s="32" r="J35">
        <f>SUMIF(Hunting!$C$2:$C$10073, $A35, Hunting!$P$2:$P$10073)</f>
        <v>0</v>
      </c>
      <c s="32" r="K35">
        <v>0</v>
      </c>
      <c s="32" r="L35">
        <f>SUMIF(Purchased!$A$2:$A$9982, $A35, Purchased!$H$2:$H$9982)</f>
        <v>0</v>
      </c>
      <c s="14" r="M35">
        <f>((((H35+I35)+J35)+K35)+T35)+L35</f>
        <v>4813.2339</v>
      </c>
      <c s="14" r="N35">
        <f>((((B35+C35)+D35)+E35)-G35)+F35</f>
        <v>5273.04</v>
      </c>
      <c s="33" r="O35">
        <f>M35-N35</f>
        <v>-459.806099999999</v>
      </c>
      <c s="29" r="P35">
        <f> (M35/N35)-1</f>
        <v>-0.087199433343953</v>
      </c>
      <c s="36" r="Q35">
        <f>SUMIF(Hunting!$C$2:$C$10073, $A35, Hunting!$S$2:$S$10073)</f>
        <v>-459.806099999999</v>
      </c>
      <c s="36" r="R35">
        <f>SUMIF(Crafting!$B$2:$B$10172, $A35, Crafting!$N$2:$N$10172)</f>
        <v>0</v>
      </c>
      <c s="36" r="S35">
        <f>SUMIF(Mining!$B$2:$B$10072, $A35, Mining!$S$2:$S$10072)</f>
        <v>0</v>
      </c>
      <c s="22" r="T35">
        <f>SUMIF(Hunting!$C$2:$C$10073, $A35, Hunting!$AA$2:$AA$10073)</f>
        <v>0</v>
      </c>
      <c s="22" r="U35">
        <f>SUMIF(Hunting!$C$2:$C$10073, $A35, Hunting!$AB$2:$AB$10073)</f>
        <v>3</v>
      </c>
      <c s="22" r="V35">
        <f>SUMIF(Hunting!$C$2:$C$10073, $A35, Hunting!$AC$2:$AC$10073)</f>
        <v>10</v>
      </c>
      <c s="22" r="W35">
        <f>SUMIF(Hunting!$C$2:$C$10073, $A35, Hunting!$AD$2:$AD$10073)</f>
        <v>0</v>
      </c>
    </row>
    <row r="36">
      <c s="78" r="A36">
        <v>41592</v>
      </c>
      <c s="9" r="B36">
        <f>SUMIF(Hunting!$C$2:$C$10073, $A36, Hunting!$E$2:$E$10073)</f>
        <v>5421.95</v>
      </c>
      <c s="9" r="C36">
        <f>SUMIF(Hunting!$C$2:$C$10073, $A36, Hunting!$L$2:$L$10073)</f>
        <v>837.74</v>
      </c>
      <c s="9" r="D36">
        <f>SUMIF(Hunting!$C$2:$C$10073, $A36, Hunting!$F$2:$F$10073)</f>
        <v>0</v>
      </c>
      <c s="9" r="E36">
        <f>SUMIF(Purchased!$A$2:$A$9982, $A36, Purchased!$D$2:$D$9982)-SUMIF(Purchased!$A$2:$A$9982, $A36, Purchased!$I$2:$I$9982)</f>
        <v>0</v>
      </c>
      <c s="9" r="F36">
        <f>SUMIF('Craft Mats'!$A$2:$A$10039, $A36, 'Craft Mats'!$F$2:$F$10039)</f>
        <v>0</v>
      </c>
      <c s="32" r="G36">
        <f>SUMIF(Hunting!$C$2:$C$10073, $A36, Hunting!$M$2:$M$10073)</f>
        <v>732.04</v>
      </c>
      <c s="32" r="H36">
        <f>SUMIF(Hunting!$C$2:$C$10073, $A36, Hunting!$N$2:$N$10073)</f>
        <v>3800.7775</v>
      </c>
      <c s="32" r="I36">
        <f>SUMIF(Hunting!$C$2:$C$10073, $A36, Hunting!$O$2:$O$10073)</f>
        <v>1539.4684</v>
      </c>
      <c s="32" r="J36">
        <f>SUMIF(Hunting!$C$2:$C$10073, $A36, Hunting!$P$2:$P$10073)</f>
        <v>0</v>
      </c>
      <c s="32" r="K36">
        <v>77</v>
      </c>
      <c s="32" r="L36">
        <f>SUMIF(Purchased!$A$2:$A$9982, $A36, Purchased!$H$2:$H$9982)</f>
        <v>0</v>
      </c>
      <c s="14" r="M36">
        <f>((((H36+I36)+J36)+K36)+T36)+L36</f>
        <v>5417.2459</v>
      </c>
      <c s="14" r="N36">
        <f>((((B36+C36)+D36)+E36)-G36)+F36</f>
        <v>5527.65</v>
      </c>
      <c s="33" r="O36">
        <f>M36-N36</f>
        <v>-110.404100000001</v>
      </c>
      <c s="29" r="P36">
        <f> (M36/N36)-1</f>
        <v>-0.019973062693912</v>
      </c>
      <c s="36" r="Q36">
        <f>SUMIF(Hunting!$C$2:$C$10073, $A36, Hunting!$S$2:$S$10073)</f>
        <v>-187.4041</v>
      </c>
      <c s="36" r="R36">
        <f>SUMIF(Crafting!$B$2:$B$10172, $A36, Crafting!$N$2:$N$10172)</f>
        <v>0</v>
      </c>
      <c s="36" r="S36">
        <f>SUMIF(Mining!$B$2:$B$10072, $A36, Mining!$S$2:$S$10072)</f>
        <v>0</v>
      </c>
      <c s="22" r="T36">
        <f>SUMIF(Hunting!$C$2:$C$10073, $A36, Hunting!$AA$2:$AA$10073)</f>
        <v>0</v>
      </c>
      <c s="22" r="U36">
        <f>SUMIF(Hunting!$C$2:$C$10073, $A36, Hunting!$AB$2:$AB$10073)</f>
        <v>1</v>
      </c>
      <c s="22" r="V36">
        <f>SUMIF(Hunting!$C$2:$C$10073, $A36, Hunting!$AC$2:$AC$10073)</f>
        <v>15</v>
      </c>
      <c s="22" r="W36">
        <f>SUMIF(Hunting!$C$2:$C$10073, $A36, Hunting!$AD$2:$AD$10073)</f>
        <v>0</v>
      </c>
    </row>
    <row r="37">
      <c s="78" r="A37">
        <v>41593</v>
      </c>
      <c s="9" r="B37">
        <f>SUMIF(Hunting!$C$2:$C$10073, $A37, Hunting!$E$2:$E$10073)</f>
        <v>2999.47</v>
      </c>
      <c s="9" r="C37">
        <f>SUMIF(Hunting!$C$2:$C$10073, $A37, Hunting!$L$2:$L$10073)</f>
        <v>779.72</v>
      </c>
      <c s="9" r="D37">
        <f>SUMIF(Hunting!$C$2:$C$10073, $A37, Hunting!$F$2:$F$10073)</f>
        <v>0</v>
      </c>
      <c s="9" r="E37">
        <f>SUMIF(Purchased!$A$2:$A$9982, $A37, Purchased!$D$2:$D$9982)-SUMIF(Purchased!$A$2:$A$9982, $A37, Purchased!$I$2:$I$9982)</f>
        <v>0</v>
      </c>
      <c s="9" r="F37">
        <f>SUMIF('Craft Mats'!$A$2:$A$10039, $A37, 'Craft Mats'!$F$2:$F$10039)</f>
        <v>0</v>
      </c>
      <c s="32" r="G37">
        <f>SUMIF(Hunting!$C$2:$C$10073, $A37, Hunting!$M$2:$M$10073)</f>
        <v>369.86</v>
      </c>
      <c s="32" r="H37">
        <f>SUMIF(Hunting!$C$2:$C$10073, $A37, Hunting!$N$2:$N$10073)</f>
        <v>2274.94</v>
      </c>
      <c s="32" r="I37">
        <f>SUMIF(Hunting!$C$2:$C$10073, $A37, Hunting!$O$2:$O$10073)</f>
        <v>1040.385165</v>
      </c>
      <c s="32" r="J37">
        <f>SUMIF(Hunting!$C$2:$C$10073, $A37, Hunting!$P$2:$P$10073)</f>
        <v>0</v>
      </c>
      <c s="32" r="K37">
        <v>70</v>
      </c>
      <c s="32" r="L37">
        <f>SUMIF(Purchased!$A$2:$A$9982, $A37, Purchased!$H$2:$H$9982)</f>
        <v>0</v>
      </c>
      <c s="14" r="M37">
        <f>((((H37+I37)+J37)+K37)+T37)+L37</f>
        <v>3385.325165</v>
      </c>
      <c s="14" r="N37">
        <f>((((B37+C37)+D37)+E37)-G37)+F37</f>
        <v>3409.33</v>
      </c>
      <c s="33" r="O37">
        <f>M37-N37</f>
        <v>-24.0048349999993</v>
      </c>
      <c s="29" r="P37">
        <f> (M37/N37)-1</f>
        <v>-0.007040924463164</v>
      </c>
      <c s="36" r="Q37">
        <f>SUMIF(Hunting!$C$2:$C$10073, $A37, Hunting!$S$2:$S$10073)</f>
        <v>-94.0048349999998</v>
      </c>
      <c s="36" r="R37">
        <f>SUMIF(Crafting!$B$2:$B$10172, $A37, Crafting!$N$2:$N$10172)</f>
        <v>0</v>
      </c>
      <c s="36" r="S37">
        <f>SUMIF(Mining!$B$2:$B$10072, $A37, Mining!$S$2:$S$10072)</f>
        <v>0</v>
      </c>
      <c s="22" r="T37">
        <f>SUMIF(Hunting!$C$2:$C$10073, $A37, Hunting!$AA$2:$AA$10073)</f>
        <v>0</v>
      </c>
      <c s="22" r="U37">
        <f>SUMIF(Hunting!$C$2:$C$10073, $A37, Hunting!$AB$2:$AB$10073)</f>
        <v>0</v>
      </c>
      <c s="22" r="V37">
        <f>SUMIF(Hunting!$C$2:$C$10073, $A37, Hunting!$AC$2:$AC$10073)</f>
        <v>11</v>
      </c>
      <c s="22" r="W37">
        <f>SUMIF(Hunting!$C$2:$C$10073, $A37, Hunting!$AD$2:$AD$10073)</f>
        <v>0</v>
      </c>
    </row>
    <row r="38">
      <c s="78" r="A38">
        <v>41594</v>
      </c>
      <c s="9" r="B38">
        <f>SUMIF(Hunting!$C$2:$C$10073, $A38, Hunting!$E$2:$E$10073)</f>
        <v>4611.28</v>
      </c>
      <c s="9" r="C38">
        <f>SUMIF(Hunting!$C$2:$C$10073, $A38, Hunting!$L$2:$L$10073)</f>
        <v>964.93</v>
      </c>
      <c s="9" r="D38">
        <f>SUMIF(Hunting!$C$2:$C$10073, $A38, Hunting!$F$2:$F$10073)</f>
        <v>0</v>
      </c>
      <c s="9" r="E38">
        <f>SUMIF(Purchased!$A$2:$A$9982, $A38, Purchased!$D$2:$D$9982)-SUMIF(Purchased!$A$2:$A$9982, $A38, Purchased!$I$2:$I$9982)</f>
        <v>0</v>
      </c>
      <c s="9" r="F38">
        <f>SUMIF('Craft Mats'!$A$2:$A$10039, $A38, 'Craft Mats'!$F$2:$F$10039)</f>
        <v>0</v>
      </c>
      <c s="32" r="G38">
        <f>SUMIF(Hunting!$C$2:$C$10073, $A38, Hunting!$M$2:$M$10073)</f>
        <v>729.6</v>
      </c>
      <c s="32" r="H38">
        <f>SUMIF(Hunting!$C$2:$C$10073, $A38, Hunting!$N$2:$N$10073)</f>
        <v>3819.8155</v>
      </c>
      <c s="32" r="I38">
        <f>SUMIF(Hunting!$C$2:$C$10073, $A38, Hunting!$O$2:$O$10073)</f>
        <v>802.3625</v>
      </c>
      <c s="32" r="J38">
        <f>SUMIF(Hunting!$C$2:$C$10073, $A38, Hunting!$P$2:$P$10073)</f>
        <v>15.5644</v>
      </c>
      <c s="32" r="K38">
        <v>87</v>
      </c>
      <c s="32" r="L38">
        <f>SUMIF(Purchased!$A$2:$A$9982, $A38, Purchased!$H$2:$H$9982)</f>
        <v>0</v>
      </c>
      <c s="14" r="M38">
        <f>((((H38+I38)+J38)+K38)+T38)+L38</f>
        <v>4724.7424</v>
      </c>
      <c s="14" r="N38">
        <f>((((B38+C38)+D38)+E38)-G38)+F38</f>
        <v>4846.61</v>
      </c>
      <c s="33" r="O38">
        <f>M38-N38</f>
        <v>-121.8676</v>
      </c>
      <c s="29" r="P38">
        <f> (M38/N38)-1</f>
        <v>-0.025144915724599</v>
      </c>
      <c s="36" r="Q38">
        <f>SUMIF(Hunting!$C$2:$C$10073, $A38, Hunting!$S$2:$S$10073)</f>
        <v>-208.8676</v>
      </c>
      <c s="36" r="R38">
        <f>SUMIF(Crafting!$B$2:$B$10172, $A38, Crafting!$N$2:$N$10172)</f>
        <v>0</v>
      </c>
      <c s="36" r="S38">
        <f>SUMIF(Mining!$B$2:$B$10072, $A38, Mining!$S$2:$S$10072)</f>
        <v>0</v>
      </c>
      <c s="22" r="T38">
        <f>SUMIF(Hunting!$C$2:$C$10073, $A38, Hunting!$AA$2:$AA$10073)</f>
        <v>0</v>
      </c>
      <c s="22" r="U38">
        <f>SUMIF(Hunting!$C$2:$C$10073, $A38, Hunting!$AB$2:$AB$10073)</f>
        <v>1</v>
      </c>
      <c s="22" r="V38">
        <f>SUMIF(Hunting!$C$2:$C$10073, $A38, Hunting!$AC$2:$AC$10073)</f>
        <v>12</v>
      </c>
      <c s="22" r="W38">
        <f>SUMIF(Hunting!$C$2:$C$10073, $A38, Hunting!$AD$2:$AD$10073)</f>
        <v>0</v>
      </c>
    </row>
    <row r="39">
      <c s="78" r="A39">
        <v>41595</v>
      </c>
      <c s="9" r="B39">
        <f>SUMIF(Hunting!$C$2:$C$10073, $A39, Hunting!$E$2:$E$10073)</f>
        <v>4352.34</v>
      </c>
      <c s="9" r="C39">
        <f>SUMIF(Hunting!$C$2:$C$10073, $A39, Hunting!$L$2:$L$10073)</f>
        <v>1174.68</v>
      </c>
      <c s="9" r="D39">
        <f>SUMIF(Hunting!$C$2:$C$10073, $A39, Hunting!$F$2:$F$10073)</f>
        <v>0</v>
      </c>
      <c s="9" r="E39">
        <f>SUMIF(Purchased!$A$2:$A$9982, $A39, Purchased!$D$2:$D$9982)-SUMIF(Purchased!$A$2:$A$9982, $A39, Purchased!$I$2:$I$9982)</f>
        <v>0</v>
      </c>
      <c s="9" r="F39">
        <f>SUMIF('Craft Mats'!$A$2:$A$10039, $A39, 'Craft Mats'!$F$2:$F$10039)</f>
        <v>0</v>
      </c>
      <c s="32" r="G39">
        <f>SUMIF(Hunting!$C$2:$C$10073, $A39, Hunting!$M$2:$M$10073)</f>
        <v>1172.54</v>
      </c>
      <c s="32" r="H39">
        <f>SUMIF(Hunting!$C$2:$C$10073, $A39, Hunting!$N$2:$N$10073)</f>
        <v>3768.85</v>
      </c>
      <c s="32" r="I39">
        <f>SUMIF(Hunting!$C$2:$C$10073, $A39, Hunting!$O$2:$O$10073)</f>
        <v>719.0693</v>
      </c>
      <c s="32" r="J39">
        <f>SUMIF(Hunting!$C$2:$C$10073, $A39, Hunting!$P$2:$P$10073)</f>
        <v>0</v>
      </c>
      <c s="32" r="K39">
        <v>86</v>
      </c>
      <c s="32" r="L39">
        <f>SUMIF(Purchased!$A$2:$A$9982, $A39, Purchased!$H$2:$H$9982)</f>
        <v>0</v>
      </c>
      <c s="14" r="M39">
        <f>((((H39+I39)+J39)+K39)+T39)+L39</f>
        <v>4573.9193</v>
      </c>
      <c s="14" r="N39">
        <f>((((B39+C39)+D39)+E39)-G39)+F39</f>
        <v>4354.48</v>
      </c>
      <c s="33" r="O39">
        <f>M39-N39</f>
        <v>219.439299999999</v>
      </c>
      <c s="29" r="P39">
        <f> (M39/N39)-1</f>
        <v>0.050393916150723</v>
      </c>
      <c s="36" r="Q39">
        <f>SUMIF(Hunting!$C$2:$C$10073, $A39, Hunting!$S$2:$S$10073)</f>
        <v>133.4393</v>
      </c>
      <c s="36" r="R39">
        <f>SUMIF(Crafting!$B$2:$B$10172, $A39, Crafting!$N$2:$N$10172)</f>
        <v>0</v>
      </c>
      <c s="36" r="S39">
        <f>SUMIF(Mining!$B$2:$B$10072, $A39, Mining!$S$2:$S$10072)</f>
        <v>0</v>
      </c>
      <c s="22" r="T39">
        <f>SUMIF(Hunting!$C$2:$C$10073, $A39, Hunting!$AA$2:$AA$10073)</f>
        <v>0</v>
      </c>
      <c s="22" r="U39">
        <f>SUMIF(Hunting!$C$2:$C$10073, $A39, Hunting!$AB$2:$AB$10073)</f>
        <v>0</v>
      </c>
      <c s="22" r="V39">
        <f>SUMIF(Hunting!$C$2:$C$10073, $A39, Hunting!$AC$2:$AC$10073)</f>
        <v>16</v>
      </c>
      <c s="22" r="W39">
        <f>SUMIF(Hunting!$C$2:$C$10073, $A39, Hunting!$AD$2:$AD$10073)</f>
        <v>0</v>
      </c>
    </row>
    <row r="40">
      <c s="78" r="A40">
        <v>41596</v>
      </c>
      <c s="9" r="B40">
        <f>SUMIF(Hunting!$C$2:$C$10073, $A40, Hunting!$E$2:$E$10073)</f>
        <v>1989.6</v>
      </c>
      <c s="9" r="C40">
        <f>SUMIF(Hunting!$C$2:$C$10073, $A40, Hunting!$L$2:$L$10073)</f>
        <v>704.37</v>
      </c>
      <c s="9" r="D40">
        <f>SUMIF(Hunting!$C$2:$C$10073, $A40, Hunting!$F$2:$F$10073)</f>
        <v>0</v>
      </c>
      <c s="9" r="E40">
        <f>SUMIF(Purchased!$A$2:$A$9982, $A40, Purchased!$D$2:$D$9982)-SUMIF(Purchased!$A$2:$A$9982, $A40, Purchased!$I$2:$I$9982)</f>
        <v>45</v>
      </c>
      <c s="9" r="F40">
        <f>SUMIF('Craft Mats'!$A$2:$A$10039, $A40, 'Craft Mats'!$F$2:$F$10039)</f>
        <v>0</v>
      </c>
      <c s="32" r="G40">
        <f>SUMIF(Hunting!$C$2:$C$10073, $A40, Hunting!$M$2:$M$10073)</f>
        <v>558.66</v>
      </c>
      <c s="32" r="H40">
        <f>SUMIF(Hunting!$C$2:$C$10073, $A40, Hunting!$N$2:$N$10073)</f>
        <v>2011.81</v>
      </c>
      <c s="32" r="I40">
        <f>SUMIF(Hunting!$C$2:$C$10073, $A40, Hunting!$O$2:$O$10073)</f>
        <v>199.46925</v>
      </c>
      <c s="32" r="J40">
        <f>SUMIF(Hunting!$C$2:$C$10073, $A40, Hunting!$P$2:$P$10073)</f>
        <v>0</v>
      </c>
      <c s="32" r="K40">
        <v>38</v>
      </c>
      <c s="32" r="L40">
        <f>SUMIF(Purchased!$A$2:$A$9982, $A40, Purchased!$H$2:$H$9982)</f>
        <v>73</v>
      </c>
      <c s="14" r="M40">
        <f>((((H40+I40)+J40)+K40)+T40)+L40</f>
        <v>2322.27925</v>
      </c>
      <c s="14" r="N40">
        <f>((((B40+C40)+D40)+E40)-G40)+F40</f>
        <v>2180.31</v>
      </c>
      <c s="33" r="O40">
        <f>M40-N40</f>
        <v>141.96925</v>
      </c>
      <c s="29" r="P40">
        <f> (M40/N40)-1</f>
        <v>0.065114249808513</v>
      </c>
      <c s="36" r="Q40">
        <f>SUMIF(Hunting!$C$2:$C$10073, $A40, Hunting!$S$2:$S$10073)</f>
        <v>75.9692500000003</v>
      </c>
      <c s="36" r="R40">
        <f>SUMIF(Crafting!$B$2:$B$10172, $A40, Crafting!$N$2:$N$10172)</f>
        <v>0</v>
      </c>
      <c s="36" r="S40">
        <f>SUMIF(Mining!$B$2:$B$10072, $A40, Mining!$S$2:$S$10072)</f>
        <v>0</v>
      </c>
      <c s="22" r="T40">
        <f>SUMIF(Hunting!$C$2:$C$10073, $A40, Hunting!$AA$2:$AA$10073)</f>
        <v>0</v>
      </c>
      <c s="22" r="U40">
        <f>SUMIF(Hunting!$C$2:$C$10073, $A40, Hunting!$AB$2:$AB$10073)</f>
        <v>1</v>
      </c>
      <c s="22" r="V40">
        <f>SUMIF(Hunting!$C$2:$C$10073, $A40, Hunting!$AC$2:$AC$10073)</f>
        <v>9</v>
      </c>
      <c s="22" r="W40">
        <f>SUMIF(Hunting!$C$2:$C$10073, $A40, Hunting!$AD$2:$AD$10073)</f>
        <v>0</v>
      </c>
    </row>
    <row r="41">
      <c s="78" r="A41">
        <v>41597</v>
      </c>
      <c s="9" r="B41">
        <f>SUMIF(Hunting!$C$2:$C$10073, $A41, Hunting!$E$2:$E$10073)</f>
        <v>1030</v>
      </c>
      <c s="9" r="C41">
        <f>SUMIF(Hunting!$C$2:$C$10073, $A41, Hunting!$L$2:$L$10073)</f>
        <v>270.46</v>
      </c>
      <c s="9" r="D41">
        <f>SUMIF(Hunting!$C$2:$C$10073, $A41, Hunting!$F$2:$F$10073)</f>
        <v>0</v>
      </c>
      <c s="9" r="E41">
        <f>SUMIF(Purchased!$A$2:$A$9982, $A41, Purchased!$D$2:$D$9982)-SUMIF(Purchased!$A$2:$A$9982, $A41, Purchased!$I$2:$I$9982)</f>
        <v>0</v>
      </c>
      <c s="9" r="F41">
        <f>SUMIF('Craft Mats'!$A$2:$A$10039, $A41, 'Craft Mats'!$F$2:$F$10039)</f>
        <v>0</v>
      </c>
      <c s="32" r="G41">
        <f>SUMIF(Hunting!$C$2:$C$10073, $A41, Hunting!$M$2:$M$10073)</f>
        <v>516.29</v>
      </c>
      <c s="32" r="H41">
        <f>SUMIF(Hunting!$C$2:$C$10073, $A41, Hunting!$N$2:$N$10073)</f>
        <v>453.34</v>
      </c>
      <c s="32" r="I41">
        <f>SUMIF(Hunting!$C$2:$C$10073, $A41, Hunting!$O$2:$O$10073)</f>
        <v>0</v>
      </c>
      <c s="32" r="J41">
        <f>SUMIF(Hunting!$C$2:$C$10073, $A41, Hunting!$P$2:$P$10073)</f>
        <v>0</v>
      </c>
      <c s="32" r="K41">
        <v>26</v>
      </c>
      <c s="32" r="L41">
        <f>SUMIF(Purchased!$A$2:$A$9982, $A41, Purchased!$H$2:$H$9982)</f>
        <v>0</v>
      </c>
      <c s="14" r="M41">
        <f>((((H41+I41)+J41)+K41)+T41)+L41</f>
        <v>479.34</v>
      </c>
      <c s="14" r="N41">
        <f>((((B41+C41)+D41)+E41)-G41)+F41</f>
        <v>784.17</v>
      </c>
      <c s="33" r="O41">
        <f>M41-N41</f>
        <v>-304.83</v>
      </c>
      <c s="29" r="P41">
        <f> (M41/N41)-1</f>
        <v>-0.388729484678067</v>
      </c>
      <c s="36" r="Q41">
        <f>SUMIF(Hunting!$C$2:$C$10073, $A41, Hunting!$S$2:$S$10073)</f>
        <v>-330.83</v>
      </c>
      <c s="36" r="R41">
        <f>SUMIF(Crafting!$B$2:$B$10172, $A41, Crafting!$N$2:$N$10172)</f>
        <v>0</v>
      </c>
      <c s="36" r="S41">
        <f>SUMIF(Mining!$B$2:$B$10072, $A41, Mining!$S$2:$S$10072)</f>
        <v>0</v>
      </c>
      <c s="22" r="T41">
        <f>SUMIF(Hunting!$C$2:$C$10073, $A41, Hunting!$AA$2:$AA$10073)</f>
        <v>0</v>
      </c>
      <c s="22" r="U41">
        <f>SUMIF(Hunting!$C$2:$C$10073, $A41, Hunting!$AB$2:$AB$10073)</f>
        <v>0</v>
      </c>
      <c s="22" r="V41">
        <f>SUMIF(Hunting!$C$2:$C$10073, $A41, Hunting!$AC$2:$AC$10073)</f>
        <v>0</v>
      </c>
      <c s="22" r="W41">
        <f>SUMIF(Hunting!$C$2:$C$10073, $A41, Hunting!$AD$2:$AD$10073)</f>
        <v>0</v>
      </c>
    </row>
    <row r="42">
      <c s="78" r="A42">
        <v>41598</v>
      </c>
      <c s="9" r="B42">
        <f>(SUMIF(Hunting!$C$2:$C$10073, $A42, Hunting!$E$2:$E$10073) + SUMIF(Crafting!$B$2:$B$10201, $A42, Crafting!$M$2:$M$10201)) + SUMIF(Mining!$B$2:$B$10023, $A42, Mining!$D$2:$D$10023)</f>
        <v>0</v>
      </c>
      <c s="9" r="C42">
        <f>SUMIF(Hunting!$C$2:$C$10073, $A42, Hunting!$L$2:$L$10073) + SUMIF(Mining!$B$2:$B$10023, $A42, Mining!$J$2:$J$10023)</f>
        <v>0</v>
      </c>
      <c s="9" r="D42">
        <f>SUMIF(Hunting!$C$2:$C$10073, $A42, Hunting!$F$2:$F$10073)</f>
        <v>0</v>
      </c>
      <c s="9" r="E42">
        <f>SUMIF(Purchased!$A$2:$A$9982, $A42, Purchased!$D$2:$D$9982)-SUMIF(Purchased!$A$2:$A$9982, $A42, Purchased!$I$2:$I$9982)</f>
        <v>0</v>
      </c>
      <c s="9" r="F42">
        <f>SUMIF('Craft Mats'!$A$2:$A$10039, $A42, 'Craft Mats'!$F$2:$F$10039)</f>
        <v>0</v>
      </c>
      <c s="32" r="G42">
        <f>SUMIF(Hunting!$C$2:$C$10073, $A42, Hunting!$M$2:$M$10073) + SUMIF(Mining!$B$2:$B$10023, $A42, Mining!$K$2:$K$10023)</f>
        <v>0</v>
      </c>
      <c s="32" r="H42">
        <f>(SUMIF(Hunting!$C$2:$C$10073, $A42, Hunting!$N$2:$N$10073) + SUMIF(Crafting!$B$2:$B$10201, $A42, Crafting!$J$2:$J$10201)) + SUMIF(Mining!$B$2:$B$10023, $A42, Mining!$N$2:$N$10023)</f>
        <v>0</v>
      </c>
      <c s="32" r="I42">
        <f>(SUMIF(Hunting!$C$2:$C$10073, $A42, Hunting!$O$2:$O$10073) + SUMIF(Crafting!$B$2:$B$10201, $A42, Crafting!$K$2:$K$10201)) + SUMIF(Mining!$B$2:$B$10023, $A42, Mining!$O$2:$O$10023)</f>
        <v>0</v>
      </c>
      <c s="32" r="J42">
        <f>SUMIF(Hunting!$C$2:$C$10073, $A42, Hunting!$P$2:$P$10073)</f>
        <v>0</v>
      </c>
      <c s="32" r="K42">
        <v>0</v>
      </c>
      <c s="32" r="L42">
        <f>SUMIF(Purchased!$A$2:$A$9982, $A42, Purchased!$H$2:$H$9982)</f>
        <v>0</v>
      </c>
      <c s="14" r="M42">
        <f>((((H42+I42)+J42)+K42)+T42)+L42</f>
        <v>0</v>
      </c>
      <c s="14" r="N42">
        <f>((((B42+C42)+D42)+E42)-G42)+F42</f>
        <v>0</v>
      </c>
      <c s="33" r="O42">
        <f>M42-N42</f>
        <v>0</v>
      </c>
      <c t="str" s="29" r="P42">
        <f> (M42/N42)-1</f>
        <v>#DIV/0!:divZero</v>
      </c>
      <c s="36" r="Q42">
        <f>SUMIF(Hunting!$C$2:$C$10073, $A42, Hunting!$S$2:$S$10073)</f>
        <v>0</v>
      </c>
      <c s="36" r="R42">
        <f>SUMIF(Crafting!$B$2:$B$10172, $A42, Crafting!$N$2:$N$10172)</f>
        <v>0</v>
      </c>
      <c s="36" r="S42">
        <f>SUMIF(Mining!$B$2:$B$10072, $A42, Mining!$S$2:$S$10072)</f>
        <v>0</v>
      </c>
      <c s="22" r="T42">
        <f>SUMIF(Hunting!$C$2:$C$10073, $A42, Hunting!$AA$2:$AA$10073)</f>
        <v>0</v>
      </c>
      <c s="22" r="U42">
        <f>SUMIF(Hunting!$C$2:$C$10073, $A42, Hunting!$AB$2:$AB$10073)</f>
        <v>0</v>
      </c>
      <c s="22" r="V42">
        <f>SUMIF(Hunting!$C$2:$C$10073, $A42, Hunting!$AC$2:$AC$10073)</f>
        <v>0</v>
      </c>
      <c s="22" r="W42">
        <f>SUMIF(Hunting!$C$2:$C$10073, $A42, Hunting!$AD$2:$AD$10073)</f>
        <v>0</v>
      </c>
    </row>
    <row r="43">
      <c s="78" r="A43">
        <v>41599</v>
      </c>
      <c s="9" r="B43">
        <f>(SUMIF(Hunting!$C$2:$C$10073, $A43, Hunting!$E$2:$E$10073) + SUMIF(Crafting!$B$2:$B$10201, $A43, Crafting!$M$2:$M$10201)) + SUMIF(Mining!$B$2:$B$10023, $A43, Mining!$D$2:$D$10023)</f>
        <v>950</v>
      </c>
      <c s="9" r="C43">
        <f>SUMIF(Hunting!$C$2:$C$10073, $A43, Hunting!$L$2:$L$10073) + SUMIF(Mining!$B$2:$B$10023, $A43, Mining!$J$2:$J$10023)</f>
        <v>394.68</v>
      </c>
      <c s="9" r="D43">
        <f>SUMIF(Hunting!$C$2:$C$10073, $A43, Hunting!$F$2:$F$10073)</f>
        <v>0</v>
      </c>
      <c s="9" r="E43">
        <f>SUMIF(Purchased!$A$2:$A$9982, $A43, Purchased!$D$2:$D$9982)-SUMIF(Purchased!$A$2:$A$9982, $A43, Purchased!$I$2:$I$9982)</f>
        <v>0</v>
      </c>
      <c s="9" r="F43">
        <f>SUMIF('Craft Mats'!$A$2:$A$10039, $A43, 'Craft Mats'!$F$2:$F$10039)</f>
        <v>0</v>
      </c>
      <c s="32" r="G43">
        <f>SUMIF(Hunting!$C$2:$C$10073, $A43, Hunting!$M$2:$M$10073) + SUMIF(Mining!$B$2:$B$10023, $A43, Mining!$K$2:$K$10023)</f>
        <v>524.59</v>
      </c>
      <c s="32" r="H43">
        <f>(SUMIF(Hunting!$C$2:$C$10073, $A43, Hunting!$N$2:$N$10073) + SUMIF(Crafting!$B$2:$B$10201, $A43, Crafting!$J$2:$J$10201)) + SUMIF(Mining!$B$2:$B$10023, $A43, Mining!$N$2:$N$10023)</f>
        <v>560.13</v>
      </c>
      <c s="32" r="I43">
        <f>(SUMIF(Hunting!$C$2:$C$10073, $A43, Hunting!$O$2:$O$10073) + SUMIF(Crafting!$B$2:$B$10201, $A43, Crafting!$K$2:$K$10201)) + SUMIF(Mining!$B$2:$B$10023, $A43, Mining!$O$2:$O$10023)</f>
        <v>35.64</v>
      </c>
      <c s="32" r="J43">
        <f>SUMIF(Hunting!$C$2:$C$10073, $A43, Hunting!$P$2:$P$10073)</f>
        <v>0</v>
      </c>
      <c s="32" r="K43">
        <v>50</v>
      </c>
      <c s="32" r="L43">
        <f>SUMIF(Purchased!$A$2:$A$9982, $A43, Purchased!$H$2:$H$9982)</f>
        <v>0</v>
      </c>
      <c s="14" r="M43">
        <f>((((H43+I43)+J43)+K43)+T43)+L43</f>
        <v>645.77</v>
      </c>
      <c s="14" r="N43">
        <f>((((B43+C43)+D43)+E43)-G43)+F43</f>
        <v>820.09</v>
      </c>
      <c s="33" r="O43">
        <f>M43-N43</f>
        <v>-174.32</v>
      </c>
      <c s="29" r="P43">
        <f> (M43/N43)-1</f>
        <v>-0.212562035874111</v>
      </c>
      <c s="36" r="Q43">
        <f>SUMIF(Hunting!$C$2:$C$10073, $A43, Hunting!$S$2:$S$10073)</f>
        <v>-224.32</v>
      </c>
      <c s="36" r="R43">
        <f>SUMIF(Crafting!$B$2:$B$10172, $A43, Crafting!$N$2:$N$10172)</f>
        <v>0</v>
      </c>
      <c s="36" r="S43">
        <f>SUMIF(Mining!$B$2:$B$10072, $A43, Mining!$S$2:$S$10072)</f>
        <v>0</v>
      </c>
      <c s="22" r="T43">
        <f>SUMIF(Hunting!$C$2:$C$10073, $A43, Hunting!$AA$2:$AA$10073)</f>
        <v>0</v>
      </c>
      <c s="22" r="U43">
        <f>SUMIF(Hunting!$C$2:$C$10073, $A43, Hunting!$AB$2:$AB$10073)</f>
        <v>1</v>
      </c>
      <c s="22" r="V43">
        <f>SUMIF(Hunting!$C$2:$C$10073, $A43, Hunting!$AC$2:$AC$10073)</f>
        <v>7</v>
      </c>
      <c s="22" r="W43">
        <f>SUMIF(Hunting!$C$2:$C$10073, $A43, Hunting!$AD$2:$AD$10073)</f>
        <v>0</v>
      </c>
    </row>
    <row r="44">
      <c s="78" r="A44">
        <v>41600</v>
      </c>
      <c s="9" r="B44">
        <f>(SUMIF(Hunting!$C$2:$C$10073, $A44, Hunting!$E$2:$E$10073) + SUMIF(Crafting!$B$2:$B$10201, $A44, Crafting!$M$2:$M$10201)) + SUMIF(Mining!$B$2:$B$10023, $A44, Mining!$D$2:$D$10023)</f>
        <v>384.2</v>
      </c>
      <c s="9" r="C44">
        <f>SUMIF(Hunting!$C$2:$C$10073, $A44, Hunting!$L$2:$L$10073) + SUMIF(Mining!$B$2:$B$10023, $A44, Mining!$J$2:$J$10023)</f>
        <v>101.16</v>
      </c>
      <c s="9" r="D44">
        <f>SUMIF(Hunting!$C$2:$C$10073, $A44, Hunting!$F$2:$F$10073)</f>
        <v>0</v>
      </c>
      <c s="9" r="E44">
        <f>SUMIF(Purchased!$A$2:$A$9982, $A44, Purchased!$D$2:$D$9982)-SUMIF(Purchased!$A$2:$A$9982, $A44, Purchased!$I$2:$I$9982)</f>
        <v>0</v>
      </c>
      <c s="9" r="F44">
        <f>SUMIF('Craft Mats'!$A$2:$A$10039, $A44, 'Craft Mats'!$F$2:$F$10039)</f>
        <v>0</v>
      </c>
      <c s="32" r="G44">
        <f>SUMIF(Hunting!$C$2:$C$10073, $A44, Hunting!$M$2:$M$10073) + SUMIF(Mining!$B$2:$B$10023, $A44, Mining!$K$2:$K$10023)</f>
        <v>85.92</v>
      </c>
      <c s="32" r="H44">
        <f>(SUMIF(Hunting!$C$2:$C$10073, $A44, Hunting!$N$2:$N$10073) + SUMIF(Crafting!$B$2:$B$10201, $A44, Crafting!$J$2:$J$10201)) + SUMIF(Mining!$B$2:$B$10023, $A44, Mining!$N$2:$N$10023)</f>
        <v>407.81</v>
      </c>
      <c s="32" r="I44">
        <f>(SUMIF(Hunting!$C$2:$C$10073, $A44, Hunting!$O$2:$O$10073) + SUMIF(Crafting!$B$2:$B$10201, $A44, Crafting!$K$2:$K$10201)) + SUMIF(Mining!$B$2:$B$10023, $A44, Mining!$O$2:$O$10023)</f>
        <v>0</v>
      </c>
      <c s="32" r="J44">
        <f>SUMIF(Hunting!$C$2:$C$10073, $A44, Hunting!$P$2:$P$10073)</f>
        <v>0</v>
      </c>
      <c s="32" r="K44">
        <v>23</v>
      </c>
      <c s="32" r="L44">
        <f>SUMIF(Purchased!$A$2:$A$9982, $A44, Purchased!$H$2:$H$9982)</f>
        <v>0</v>
      </c>
      <c s="14" r="M44">
        <f>((((H44+I44)+J44)+K44)+T44)+L44</f>
        <v>430.81</v>
      </c>
      <c s="14" r="N44">
        <f>((((B44+C44)+D44)+E44)-G44)+F44</f>
        <v>399.44</v>
      </c>
      <c s="33" r="O44">
        <f>M44-N44</f>
        <v>31.37</v>
      </c>
      <c s="29" r="P44">
        <f> (M44/N44)-1</f>
        <v>0.0785349489285</v>
      </c>
      <c s="36" r="Q44">
        <f>SUMIF(Hunting!$C$2:$C$10073, $A44, Hunting!$S$2:$S$10073)</f>
        <v>8.37</v>
      </c>
      <c s="36" r="R44">
        <f>SUMIF(Crafting!$B$2:$B$10172, $A44, Crafting!$N$2:$N$10172)</f>
        <v>0</v>
      </c>
      <c s="36" r="S44">
        <f>SUMIF(Mining!$B$2:$B$10072, $A44, Mining!$S$2:$S$10072)</f>
        <v>0</v>
      </c>
      <c s="22" r="T44">
        <f>SUMIF(Hunting!$C$2:$C$10073, $A44, Hunting!$AA$2:$AA$10073)</f>
        <v>0</v>
      </c>
      <c s="22" r="U44">
        <f>SUMIF(Hunting!$C$2:$C$10073, $A44, Hunting!$AB$2:$AB$10073)</f>
        <v>0</v>
      </c>
      <c s="22" r="V44">
        <f>SUMIF(Hunting!$C$2:$C$10073, $A44, Hunting!$AC$2:$AC$10073)</f>
        <v>1</v>
      </c>
      <c s="22" r="W44">
        <f>SUMIF(Hunting!$C$2:$C$10073, $A44, Hunting!$AD$2:$AD$10073)</f>
        <v>0</v>
      </c>
    </row>
    <row r="45">
      <c s="78" r="A45">
        <v>41601</v>
      </c>
      <c s="9" r="B45">
        <f>(SUMIF(Hunting!$C$2:$C$10073, $A45, Hunting!$E$2:$E$10073) + SUMIF(Crafting!$B$2:$B$10201, $A45, Crafting!$M$2:$M$10201)) + SUMIF(Mining!$B$2:$B$10023, $A45, Mining!$D$2:$D$10023)</f>
        <v>433</v>
      </c>
      <c s="9" r="C45">
        <f>SUMIF(Hunting!$C$2:$C$10073, $A45, Hunting!$L$2:$L$10073) + SUMIF(Mining!$B$2:$B$10023, $A45, Mining!$J$2:$J$10023)</f>
        <v>159.21</v>
      </c>
      <c s="9" r="D45">
        <f>SUMIF(Hunting!$C$2:$C$10073, $A45, Hunting!$F$2:$F$10073)</f>
        <v>0</v>
      </c>
      <c s="9" r="E45">
        <f>SUMIF(Purchased!$A$2:$A$9982, $A45, Purchased!$D$2:$D$9982)-SUMIF(Purchased!$A$2:$A$9982, $A45, Purchased!$I$2:$I$9982)</f>
        <v>0</v>
      </c>
      <c s="9" r="F45">
        <f>SUMIF('Craft Mats'!$A$2:$A$10039, $A45, 'Craft Mats'!$F$2:$F$10039)</f>
        <v>0</v>
      </c>
      <c s="32" r="G45">
        <f>SUMIF(Hunting!$C$2:$C$10073, $A45, Hunting!$M$2:$M$10073) + SUMIF(Mining!$B$2:$B$10023, $A45, Mining!$K$2:$K$10023)</f>
        <v>57.2</v>
      </c>
      <c s="32" r="H45">
        <f>(SUMIF(Hunting!$C$2:$C$10073, $A45, Hunting!$N$2:$N$10073) + SUMIF(Crafting!$B$2:$B$10201, $A45, Crafting!$J$2:$J$10201)) + SUMIF(Mining!$B$2:$B$10023, $A45, Mining!$N$2:$N$10023)</f>
        <v>254.77</v>
      </c>
      <c s="32" r="I45">
        <f>(SUMIF(Hunting!$C$2:$C$10073, $A45, Hunting!$O$2:$O$10073) + SUMIF(Crafting!$B$2:$B$10201, $A45, Crafting!$K$2:$K$10201)) + SUMIF(Mining!$B$2:$B$10023, $A45, Mining!$O$2:$O$10023)</f>
        <v>124.4496</v>
      </c>
      <c s="32" r="J45">
        <f>SUMIF(Hunting!$C$2:$C$10073, $A45, Hunting!$P$2:$P$10073)</f>
        <v>0</v>
      </c>
      <c s="32" r="K45">
        <v>0</v>
      </c>
      <c s="32" r="L45">
        <f>SUMIF(Purchased!$A$2:$A$9982, $A45, Purchased!$H$2:$H$9982)</f>
        <v>0</v>
      </c>
      <c s="14" r="M45">
        <f>((((H45+I45)+J45)+K45)+T45)+L45</f>
        <v>379.2196</v>
      </c>
      <c s="14" r="N45">
        <f>((((B45+C45)+D45)+E45)-G45)+F45</f>
        <v>535.01</v>
      </c>
      <c s="33" r="O45">
        <f>M45-N45</f>
        <v>-155.7904</v>
      </c>
      <c s="29" r="P45">
        <f> (M45/N45)-1</f>
        <v>-0.291191566512775</v>
      </c>
      <c s="36" r="Q45">
        <f>SUMIF(Hunting!$C$2:$C$10073, $A45, Hunting!$S$2:$S$10073)</f>
        <v>-155.7904</v>
      </c>
      <c s="36" r="R45">
        <f>SUMIF(Crafting!$B$2:$B$10172, $A45, Crafting!$N$2:$N$10172)</f>
        <v>0</v>
      </c>
      <c s="36" r="S45">
        <f>SUMIF(Mining!$B$2:$B$10072, $A45, Mining!$S$2:$S$10072)</f>
        <v>0</v>
      </c>
      <c s="22" r="T45">
        <f>SUMIF(Hunting!$C$2:$C$10073, $A45, Hunting!$AA$2:$AA$10073)</f>
        <v>0</v>
      </c>
      <c s="22" r="U45">
        <f>SUMIF(Hunting!$C$2:$C$10073, $A45, Hunting!$AB$2:$AB$10073)</f>
        <v>0</v>
      </c>
      <c s="22" r="V45">
        <f>SUMIF(Hunting!$C$2:$C$10073, $A45, Hunting!$AC$2:$AC$10073)</f>
        <v>0</v>
      </c>
      <c s="22" r="W45">
        <f>SUMIF(Hunting!$C$2:$C$10073, $A45, Hunting!$AD$2:$AD$10073)</f>
        <v>0</v>
      </c>
    </row>
    <row r="46">
      <c s="78" r="A46">
        <v>41602</v>
      </c>
      <c s="9" r="B46">
        <f>(SUMIF(Hunting!$C$2:$C$10073, $A46, Hunting!$E$2:$E$10073) + SUMIF(Crafting!$B$2:$B$10201, $A46, Crafting!$M$2:$M$10201)) + SUMIF(Mining!$B$2:$B$10023, $A46, Mining!$D$2:$D$10023)</f>
        <v>2107</v>
      </c>
      <c s="9" r="C46">
        <f>SUMIF(Hunting!$C$2:$C$10073, $A46, Hunting!$L$2:$L$10073) + SUMIF(Mining!$B$2:$B$10023, $A46, Mining!$J$2:$J$10023)</f>
        <v>679.56</v>
      </c>
      <c s="9" r="D46">
        <f>SUMIF(Hunting!$C$2:$C$10073, $A46, Hunting!$F$2:$F$10073)</f>
        <v>0</v>
      </c>
      <c s="9" r="E46">
        <f>SUMIF(Purchased!$A$2:$A$9982, $A46, Purchased!$D$2:$D$9982)-SUMIF(Purchased!$A$2:$A$9982, $A46, Purchased!$I$2:$I$9982)</f>
        <v>0</v>
      </c>
      <c s="9" r="F46">
        <f>SUMIF('Craft Mats'!$A$2:$A$10039, $A46, 'Craft Mats'!$F$2:$F$10039)</f>
        <v>0</v>
      </c>
      <c s="32" r="G46">
        <f>SUMIF(Hunting!$C$2:$C$10073, $A46, Hunting!$M$2:$M$10073) + SUMIF(Mining!$B$2:$B$10023, $A46, Mining!$K$2:$K$10023)</f>
        <v>776.93</v>
      </c>
      <c s="32" r="H46">
        <f>(SUMIF(Hunting!$C$2:$C$10073, $A46, Hunting!$N$2:$N$10073) + SUMIF(Crafting!$B$2:$B$10201, $A46, Crafting!$J$2:$J$10201)) + SUMIF(Mining!$B$2:$B$10023, $A46, Mining!$N$2:$N$10023)</f>
        <v>1616.87</v>
      </c>
      <c s="32" r="I46">
        <f>(SUMIF(Hunting!$C$2:$C$10073, $A46, Hunting!$O$2:$O$10073) + SUMIF(Crafting!$B$2:$B$10201, $A46, Crafting!$K$2:$K$10201)) + SUMIF(Mining!$B$2:$B$10023, $A46, Mining!$O$2:$O$10023)</f>
        <v>111.5252</v>
      </c>
      <c s="32" r="J46">
        <f>SUMIF(Hunting!$C$2:$C$10073, $A46, Hunting!$P$2:$P$10073)</f>
        <v>0</v>
      </c>
      <c s="32" r="K46">
        <v>34</v>
      </c>
      <c s="32" r="L46">
        <f>SUMIF(Purchased!$A$2:$A$9982, $A46, Purchased!$H$2:$H$9982)</f>
        <v>0</v>
      </c>
      <c s="14" r="M46">
        <f>((((H46+I46)+J46)+K46)+T46)+L46</f>
        <v>1762.3952</v>
      </c>
      <c s="14" r="N46">
        <f>((((B46+C46)+D46)+E46)-G46)+F46</f>
        <v>2009.63</v>
      </c>
      <c s="33" r="O46">
        <f>M46-N46</f>
        <v>-247.2348</v>
      </c>
      <c s="29" r="P46">
        <f> (M46/N46)-1</f>
        <v>-0.12302503445908</v>
      </c>
      <c s="36" r="Q46">
        <f>SUMIF(Hunting!$C$2:$C$10073, $A46, Hunting!$S$2:$S$10073)</f>
        <v>-281.2348</v>
      </c>
      <c s="36" r="R46">
        <f>SUMIF(Crafting!$B$2:$B$10172, $A46, Crafting!$N$2:$N$10172)</f>
        <v>0</v>
      </c>
      <c s="36" r="S46">
        <f>SUMIF(Mining!$B$2:$B$10072, $A46, Mining!$S$2:$S$10072)</f>
        <v>0</v>
      </c>
      <c s="22" r="T46">
        <f>SUMIF(Hunting!$C$2:$C$10073, $A46, Hunting!$AA$2:$AA$10073)</f>
        <v>0</v>
      </c>
      <c s="22" r="U46">
        <f>SUMIF(Hunting!$C$2:$C$10073, $A46, Hunting!$AB$2:$AB$10073)</f>
        <v>2</v>
      </c>
      <c s="22" r="V46">
        <f>SUMIF(Hunting!$C$2:$C$10073, $A46, Hunting!$AC$2:$AC$10073)</f>
        <v>4</v>
      </c>
      <c s="22" r="W46">
        <f>SUMIF(Hunting!$C$2:$C$10073, $A46, Hunting!$AD$2:$AD$10073)</f>
        <v>0</v>
      </c>
    </row>
    <row r="47">
      <c s="78" r="A47">
        <v>41603</v>
      </c>
      <c s="9" r="B47">
        <f>(SUMIF(Hunting!$C$2:$C$10073, $A47, Hunting!$E$2:$E$10073) + SUMIF(Crafting!$B$2:$B$10201, $A47, Crafting!$M$2:$M$10201)) + SUMIF(Mining!$B$2:$B$10023, $A47, Mining!$D$2:$D$10023)</f>
        <v>575</v>
      </c>
      <c s="9" r="C47">
        <f>SUMIF(Hunting!$C$2:$C$10073, $A47, Hunting!$L$2:$L$10073) + SUMIF(Mining!$B$2:$B$10023, $A47, Mining!$J$2:$J$10023)</f>
        <v>392.92</v>
      </c>
      <c s="9" r="D47">
        <f>SUMIF(Hunting!$C$2:$C$10073, $A47, Hunting!$F$2:$F$10073)</f>
        <v>0</v>
      </c>
      <c s="9" r="E47">
        <f>SUMIF(Purchased!$A$2:$A$9982, $A47, Purchased!$D$2:$D$9982)-SUMIF(Purchased!$A$2:$A$9982, $A47, Purchased!$I$2:$I$9982)</f>
        <v>0</v>
      </c>
      <c s="9" r="F47">
        <f>SUMIF('Craft Mats'!$A$2:$A$10039, $A47, 'Craft Mats'!$F$2:$F$10039)</f>
        <v>0</v>
      </c>
      <c s="32" r="G47">
        <f>SUMIF(Hunting!$C$2:$C$10073, $A47, Hunting!$M$2:$M$10073) + SUMIF(Mining!$B$2:$B$10023, $A47, Mining!$K$2:$K$10023)</f>
        <v>92.81</v>
      </c>
      <c s="32" r="H47">
        <f>(SUMIF(Hunting!$C$2:$C$10073, $A47, Hunting!$N$2:$N$10073) + SUMIF(Crafting!$B$2:$B$10201, $A47, Crafting!$J$2:$J$10201)) + SUMIF(Mining!$B$2:$B$10023, $A47, Mining!$N$2:$N$10023)</f>
        <v>883.35</v>
      </c>
      <c s="32" r="I47">
        <f>(SUMIF(Hunting!$C$2:$C$10073, $A47, Hunting!$O$2:$O$10073) + SUMIF(Crafting!$B$2:$B$10201, $A47, Crafting!$K$2:$K$10201)) + SUMIF(Mining!$B$2:$B$10023, $A47, Mining!$O$2:$O$10023)</f>
        <v>32.3644</v>
      </c>
      <c s="32" r="J47">
        <f>SUMIF(Hunting!$C$2:$C$10073, $A47, Hunting!$P$2:$P$10073)</f>
        <v>0</v>
      </c>
      <c s="32" r="K47">
        <v>0</v>
      </c>
      <c s="32" r="L47">
        <f>SUMIF(Purchased!$A$2:$A$9982, $A47, Purchased!$H$2:$H$9982)</f>
        <v>0</v>
      </c>
      <c s="14" r="M47">
        <f>((((H47+I47)+J47)+K47)+T47)+L47</f>
        <v>915.7144</v>
      </c>
      <c s="14" r="N47">
        <f>((((B47+C47)+D47)+E47)-G47)+F47</f>
        <v>875.11</v>
      </c>
      <c s="33" r="O47">
        <f>M47-N47</f>
        <v>40.6043999999998</v>
      </c>
      <c s="29" r="P47">
        <f> (M47/N47)-1</f>
        <v>0.046399195529705</v>
      </c>
      <c s="36" r="Q47">
        <f>SUMIF(Hunting!$C$2:$C$10073, $A47, Hunting!$S$2:$S$10073)</f>
        <v>40.6044</v>
      </c>
      <c s="36" r="R47">
        <f>SUMIF(Crafting!$B$2:$B$10172, $A47, Crafting!$N$2:$N$10172)</f>
        <v>0</v>
      </c>
      <c s="36" r="S47">
        <f>SUMIF(Mining!$B$2:$B$10072, $A47, Mining!$S$2:$S$10072)</f>
        <v>0</v>
      </c>
      <c s="22" r="T47">
        <f>SUMIF(Hunting!$C$2:$C$10073, $A47, Hunting!$AA$2:$AA$10073)</f>
        <v>0</v>
      </c>
      <c s="22" r="U47">
        <f>SUMIF(Hunting!$C$2:$C$10073, $A47, Hunting!$AB$2:$AB$10073)</f>
        <v>0</v>
      </c>
      <c s="22" r="V47">
        <f>SUMIF(Hunting!$C$2:$C$10073, $A47, Hunting!$AC$2:$AC$10073)</f>
        <v>8</v>
      </c>
      <c s="22" r="W47">
        <f>SUMIF(Hunting!$C$2:$C$10073, $A47, Hunting!$AD$2:$AD$10073)</f>
        <v>0</v>
      </c>
    </row>
    <row r="48">
      <c s="78" r="A48">
        <v>41604</v>
      </c>
      <c s="9" r="B48">
        <f>(SUMIF(Hunting!$C$2:$C$10073, $A48, Hunting!$E$2:$E$10073) + SUMIF(Crafting!$B$2:$B$10201, $A48, Crafting!$M$2:$M$10201)) + SUMIF(Mining!$B$2:$B$10023, $A48, Mining!$D$2:$D$10023)</f>
        <v>2105.13</v>
      </c>
      <c s="9" r="C48">
        <f>SUMIF(Hunting!$C$2:$C$10073, $A48, Hunting!$L$2:$L$10073) + SUMIF(Mining!$B$2:$B$10023, $A48, Mining!$J$2:$J$10023)</f>
        <v>474.2</v>
      </c>
      <c s="9" r="D48">
        <f>SUMIF(Hunting!$C$2:$C$10073, $A48, Hunting!$F$2:$F$10073)</f>
        <v>0</v>
      </c>
      <c s="9" r="E48">
        <f>SUMIF(Purchased!$A$2:$A$9982, $A48, Purchased!$D$2:$D$9982)-SUMIF(Purchased!$A$2:$A$9982, $A48, Purchased!$I$2:$I$9982)</f>
        <v>0</v>
      </c>
      <c s="9" r="F48">
        <f>SUMIF('Craft Mats'!$A$2:$A$10039, $A48, 'Craft Mats'!$F$2:$F$10039)</f>
        <v>0</v>
      </c>
      <c s="32" r="G48">
        <f>SUMIF(Hunting!$C$2:$C$10073, $A48, Hunting!$M$2:$M$10073) + SUMIF(Mining!$B$2:$B$10023, $A48, Mining!$K$2:$K$10023)</f>
        <v>252.02</v>
      </c>
      <c s="32" r="H48">
        <f>(SUMIF(Hunting!$C$2:$C$10073, $A48, Hunting!$N$2:$N$10073) + SUMIF(Crafting!$B$2:$B$10201, $A48, Crafting!$J$2:$J$10201)) + SUMIF(Mining!$B$2:$B$10023, $A48, Mining!$N$2:$N$10023)</f>
        <v>1705.63</v>
      </c>
      <c s="32" r="I48">
        <f>(SUMIF(Hunting!$C$2:$C$10073, $A48, Hunting!$O$2:$O$10073) + SUMIF(Crafting!$B$2:$B$10201, $A48, Crafting!$K$2:$K$10201)) + SUMIF(Mining!$B$2:$B$10023, $A48, Mining!$O$2:$O$10023)</f>
        <v>377.992</v>
      </c>
      <c s="32" r="J48">
        <f>SUMIF(Hunting!$C$2:$C$10073, $A48, Hunting!$P$2:$P$10073)</f>
        <v>68.564</v>
      </c>
      <c s="32" r="K48">
        <v>60</v>
      </c>
      <c s="32" r="L48">
        <f>SUMIF(Purchased!$A$2:$A$9982, $A48, Purchased!$H$2:$H$9982)</f>
        <v>0</v>
      </c>
      <c s="14" r="M48">
        <f>(((H48+I48)+K48)+T48)+L48</f>
        <v>2143.622</v>
      </c>
      <c s="14" r="N48">
        <f>((((B48+C48)+D48)+E48)-G48)+F48</f>
        <v>2327.31</v>
      </c>
      <c s="33" r="O48">
        <f>M48-N48</f>
        <v>-183.688</v>
      </c>
      <c s="29" r="P48">
        <f> (M48/N48)-1</f>
        <v>-0.078927173431988</v>
      </c>
      <c s="36" r="Q48">
        <f>SUMIF(Hunting!$C$2:$C$10073, $A48, Hunting!$S$2:$S$10073)</f>
        <v>-175.124</v>
      </c>
      <c s="36" r="R48">
        <f>SUMIF(Crafting!$B$2:$B$10172, $A48, Crafting!$N$2:$N$10172)</f>
        <v>0</v>
      </c>
      <c s="36" r="S48">
        <f>SUMIF(Mining!$B$2:$B$10072, $A48, Mining!$S$2:$S$10072)</f>
        <v>0</v>
      </c>
      <c s="22" r="T48">
        <f>SUMIF(Hunting!$C$2:$C$10073, $A48, Hunting!$AA$2:$AA$10073)</f>
        <v>0</v>
      </c>
      <c s="22" r="U48">
        <f>SUMIF(Hunting!$C$2:$C$10073, $A48, Hunting!$AB$2:$AB$10073)</f>
        <v>1</v>
      </c>
      <c s="22" r="V48">
        <f>SUMIF(Hunting!$C$2:$C$10073, $A48, Hunting!$AC$2:$AC$10073)</f>
        <v>7</v>
      </c>
      <c s="22" r="W48">
        <f>SUMIF(Hunting!$C$2:$C$10073, $A48, Hunting!$AD$2:$AD$10073)</f>
        <v>0</v>
      </c>
    </row>
    <row r="49">
      <c s="78" r="A49">
        <v>41605</v>
      </c>
      <c s="9" r="B49">
        <f>(SUMIF(Hunting!$C$2:$C$10073, $A49, Hunting!$E$2:$E$10073) + SUMIF(Crafting!$B$2:$B$10201, $A49, Crafting!$M$2:$M$10201)) + SUMIF(Mining!$B$2:$B$10023, $A49, Mining!$D$2:$D$10023)</f>
        <v>2804.68</v>
      </c>
      <c s="9" r="C49">
        <f>SUMIF(Hunting!$C$2:$C$10073, $A49, Hunting!$L$2:$L$10073) + SUMIF(Mining!$B$2:$B$10023, $A49, Mining!$J$2:$J$10023)</f>
        <v>536.2</v>
      </c>
      <c s="9" r="D49">
        <f>SUMIF(Hunting!$C$2:$C$10073, $A49, Hunting!$F$2:$F$10073)</f>
        <v>0</v>
      </c>
      <c s="9" r="E49">
        <f>SUMIF(Purchased!$A$2:$A$9982, $A49, Purchased!$D$2:$D$9982)-SUMIF(Purchased!$A$2:$A$9982, $A49, Purchased!$I$2:$I$9982)</f>
        <v>0</v>
      </c>
      <c s="9" r="F49">
        <f>SUMIF('Craft Mats'!$A$2:$A$10039, $A49, 'Craft Mats'!$F$2:$F$10039)</f>
        <v>0</v>
      </c>
      <c s="32" r="G49">
        <f>SUMIF(Hunting!$C$2:$C$10073, $A49, Hunting!$M$2:$M$10073) + SUMIF(Mining!$B$2:$B$10023, $A49, Mining!$K$2:$K$10023)</f>
        <v>649.64</v>
      </c>
      <c s="32" r="H49">
        <f>(SUMIF(Hunting!$C$2:$C$10073, $A49, Hunting!$N$2:$N$10073) + SUMIF(Crafting!$B$2:$B$10201, $A49, Crafting!$J$2:$J$10201)) + SUMIF(Mining!$B$2:$B$10023, $A49, Mining!$N$2:$N$10023)</f>
        <v>1370.53</v>
      </c>
      <c s="32" r="I49">
        <f>(SUMIF(Hunting!$C$2:$C$10073, $A49, Hunting!$O$2:$O$10073) + SUMIF(Crafting!$B$2:$B$10201, $A49, Crafting!$K$2:$K$10201)) + SUMIF(Mining!$B$2:$B$10023, $A49, Mining!$O$2:$O$10023)</f>
        <v>541.56589</v>
      </c>
      <c s="32" r="J49">
        <f>SUMIF(Hunting!$C$2:$C$10073, $A49, Hunting!$P$2:$P$10073)</f>
        <v>79.212</v>
      </c>
      <c s="32" r="K49">
        <v>61</v>
      </c>
      <c s="32" r="L49">
        <f>SUMIF(Purchased!$A$2:$A$9982, $A49, Purchased!$H$2:$H$9982)</f>
        <v>0</v>
      </c>
      <c s="14" r="M49">
        <f>(((H49+I49)+K49)+T49)+L49</f>
        <v>1973.09589</v>
      </c>
      <c s="14" r="N49">
        <f>((((B49+C49)+D49)+E49)-G49)+F49</f>
        <v>2691.24</v>
      </c>
      <c s="33" r="O49">
        <f>M49-N49</f>
        <v>-718.14411</v>
      </c>
      <c s="29" r="P49">
        <f> (M49/N49)-1</f>
        <v>-0.266845063985375</v>
      </c>
      <c s="36" r="Q49">
        <f>SUMIF(Hunting!$C$2:$C$10073, $A49, Hunting!$S$2:$S$10073)</f>
        <v>-699.93211</v>
      </c>
      <c s="36" r="R49">
        <f>SUMIF(Crafting!$B$2:$B$10172, $A49, Crafting!$N$2:$N$10172)</f>
        <v>0</v>
      </c>
      <c s="36" r="S49">
        <f>SUMIF(Mining!$B$2:$B$10072, $A49, Mining!$S$2:$S$10072)</f>
        <v>0</v>
      </c>
      <c s="22" r="T49">
        <f>SUMIF(Hunting!$C$2:$C$10073, $A49, Hunting!$AA$2:$AA$10073)</f>
        <v>0</v>
      </c>
      <c s="22" r="U49">
        <f>SUMIF(Hunting!$C$2:$C$10073, $A49, Hunting!$AB$2:$AB$10073)</f>
        <v>2</v>
      </c>
      <c s="22" r="V49">
        <f>SUMIF(Hunting!$C$2:$C$10073, $A49, Hunting!$AC$2:$AC$10073)</f>
        <v>1</v>
      </c>
      <c s="22" r="W49">
        <f>SUMIF(Hunting!$C$2:$C$10073, $A49, Hunting!$AD$2:$AD$10073)</f>
        <v>0</v>
      </c>
    </row>
    <row r="50">
      <c s="78" r="A50">
        <v>41606</v>
      </c>
      <c s="9" r="B50">
        <f>(SUMIF(Hunting!$C$2:$C$10073, $A50, Hunting!$E$2:$E$10073) + SUMIF(Crafting!$B$2:$B$10201, $A50, Crafting!$M$2:$M$10201)) + SUMIF(Mining!$B$2:$B$10023, $A50, Mining!$D$2:$D$10023)</f>
        <v>3310.77</v>
      </c>
      <c s="9" r="C50">
        <f>SUMIF(Hunting!$C$2:$C$10073, $A50, Hunting!$L$2:$L$10073) + SUMIF(Mining!$B$2:$B$10023, $A50, Mining!$J$2:$J$10023)</f>
        <v>1139.4</v>
      </c>
      <c s="9" r="D50">
        <f>SUMIF(Hunting!$C$2:$C$10073, $A50, Hunting!$F$2:$F$10073)</f>
        <v>0</v>
      </c>
      <c s="9" r="E50">
        <f>SUMIF(Purchased!$A$2:$A$9982, $A50, Purchased!$D$2:$D$9982)-SUMIF(Purchased!$A$2:$A$9982, $A50, Purchased!$I$2:$I$9982)</f>
        <v>0</v>
      </c>
      <c s="9" r="F50">
        <f>SUMIF('Craft Mats'!$A$2:$A$10039, $A50, 'Craft Mats'!$F$2:$F$10039)</f>
        <v>0</v>
      </c>
      <c s="32" r="G50">
        <f>SUMIF(Hunting!$C$2:$C$10073, $A50, Hunting!$M$2:$M$10073) + SUMIF(Mining!$B$2:$B$10023, $A50, Mining!$K$2:$K$10023)</f>
        <v>469.36</v>
      </c>
      <c s="32" r="H50">
        <f>(SUMIF(Hunting!$C$2:$C$10073, $A50, Hunting!$N$2:$N$10073) + SUMIF(Crafting!$B$2:$B$10201, $A50, Crafting!$J$2:$J$10201)) + SUMIF(Mining!$B$2:$B$10023, $A50, Mining!$N$2:$N$10023)</f>
        <v>3552.93</v>
      </c>
      <c s="32" r="I50">
        <f>(SUMIF(Hunting!$C$2:$C$10073, $A50, Hunting!$O$2:$O$10073) + SUMIF(Crafting!$B$2:$B$10201, $A50, Crafting!$K$2:$K$10201)) + SUMIF(Mining!$B$2:$B$10023, $A50, Mining!$O$2:$O$10023)</f>
        <v>344.975</v>
      </c>
      <c s="32" r="J50">
        <f>SUMIF(Hunting!$C$2:$C$10073, $A50, Hunting!$P$2:$P$10073)</f>
        <v>0</v>
      </c>
      <c s="32" r="K50">
        <v>52</v>
      </c>
      <c s="32" r="L50">
        <f>SUMIF(Purchased!$A$2:$A$9982, $A50, Purchased!$H$2:$H$9982)</f>
        <v>0</v>
      </c>
      <c s="14" r="M50">
        <f>(((H50+I50)+K50)+T50)+L50</f>
        <v>3949.905</v>
      </c>
      <c s="14" r="N50">
        <f>((((B50+C50)+D50)+E50)-G50)+F50</f>
        <v>3980.81</v>
      </c>
      <c s="33" r="O50">
        <f>M50-N50</f>
        <v>-30.9050000000002</v>
      </c>
      <c s="29" r="P50">
        <f> (M50/N50)-1</f>
        <v>-0.007763495369033</v>
      </c>
      <c s="36" r="Q50">
        <f>SUMIF(Hunting!$C$2:$C$10073, $A50, Hunting!$S$2:$S$10073)</f>
        <v>-82.9050000000003</v>
      </c>
      <c s="36" r="R50">
        <f>SUMIF(Crafting!$B$2:$B$10172, $A50, Crafting!$N$2:$N$10172)</f>
        <v>0</v>
      </c>
      <c s="36" r="S50">
        <f>SUMIF(Mining!$B$2:$B$10072, $A50, Mining!$S$2:$S$10072)</f>
        <v>0</v>
      </c>
      <c s="22" r="T50">
        <f>SUMIF(Hunting!$C$2:$C$10073, $A50, Hunting!$AA$2:$AA$10073)</f>
        <v>0</v>
      </c>
      <c s="22" r="U50">
        <f>SUMIF(Hunting!$C$2:$C$10073, $A50, Hunting!$AB$2:$AB$10073)</f>
        <v>3</v>
      </c>
      <c s="22" r="V50">
        <f>SUMIF(Hunting!$C$2:$C$10073, $A50, Hunting!$AC$2:$AC$10073)</f>
        <v>14</v>
      </c>
      <c s="22" r="W50">
        <f>SUMIF(Hunting!$C$2:$C$10073, $A50, Hunting!$AD$2:$AD$10073)</f>
        <v>0</v>
      </c>
    </row>
    <row r="51">
      <c s="78" r="A51">
        <v>41607</v>
      </c>
      <c s="9" r="B51">
        <f>(SUMIF(Hunting!$C$2:$C$10073, $A51, Hunting!$E$2:$E$10073) + SUMIF(Crafting!$B$2:$B$10201, $A51, Crafting!$M$2:$M$10201)) + SUMIF(Mining!$B$2:$B$10023, $A51, Mining!$D$2:$D$10023)</f>
        <v>7157.85</v>
      </c>
      <c s="9" r="C51">
        <f>SUMIF(Hunting!$C$2:$C$10073, $A51, Hunting!$L$2:$L$10073) + SUMIF(Mining!$B$2:$B$10023, $A51, Mining!$J$2:$J$10023)</f>
        <v>1264.59</v>
      </c>
      <c s="9" r="D51">
        <f>SUMIF(Hunting!$C$2:$C$10073, $A51, Hunting!$F$2:$F$10073)</f>
        <v>0</v>
      </c>
      <c s="9" r="E51">
        <f>SUMIF(Purchased!$A$2:$A$9982, $A51, Purchased!$D$2:$D$9982)-SUMIF(Purchased!$A$2:$A$9982, $A51, Purchased!$I$2:$I$9982)</f>
        <v>0</v>
      </c>
      <c s="9" r="F51">
        <f>SUMIF('Craft Mats'!$A$2:$A$10039, $A51, 'Craft Mats'!$F$2:$F$10039)</f>
        <v>0</v>
      </c>
      <c s="32" r="G51">
        <f>SUMIF(Hunting!$C$2:$C$10073, $A51, Hunting!$M$2:$M$10073) + SUMIF(Mining!$B$2:$B$10023, $A51, Mining!$K$2:$K$10023)</f>
        <v>1655.27</v>
      </c>
      <c s="32" r="H51">
        <f>(SUMIF(Hunting!$C$2:$C$10073, $A51, Hunting!$N$2:$N$10073) + SUMIF(Crafting!$B$2:$B$10201, $A51, Crafting!$J$2:$J$10201)) + SUMIF(Mining!$B$2:$B$10023, $A51, Mining!$N$2:$N$10023)</f>
        <v>5257.58</v>
      </c>
      <c s="32" r="I51">
        <f>(SUMIF(Hunting!$C$2:$C$10073, $A51, Hunting!$O$2:$O$10073) + SUMIF(Crafting!$B$2:$B$10201, $A51, Crafting!$K$2:$K$10201)) + SUMIF(Mining!$B$2:$B$10023, $A51, Mining!$O$2:$O$10023)</f>
        <v>1149.5013</v>
      </c>
      <c s="32" r="J51">
        <f>SUMIF(Hunting!$C$2:$C$10073, $A51, Hunting!$P$2:$P$10073)</f>
        <v>128.1</v>
      </c>
      <c s="32" r="K51">
        <v>401</v>
      </c>
      <c s="32" r="L51">
        <f>SUMIF(Purchased!$A$2:$A$9982, $A51, Purchased!$H$2:$H$9982)</f>
        <v>0</v>
      </c>
      <c s="14" r="M51">
        <f>(((H51+I51)+K51)+T51)+L51</f>
        <v>6808.0813</v>
      </c>
      <c s="14" r="N51">
        <f>((((B51+C51)+D51)+E51)-G51)+F51</f>
        <v>6767.17</v>
      </c>
      <c s="33" r="O51">
        <f>M51-N51</f>
        <v>40.9113000000007</v>
      </c>
      <c s="29" r="P51">
        <f> (M51/N51)-1</f>
        <v>0.006045555232099</v>
      </c>
      <c s="36" r="Q51">
        <f>SUMIF(Hunting!$C$2:$C$10073, $A51, Hunting!$S$2:$S$10073)</f>
        <v>-215.1776</v>
      </c>
      <c s="36" r="R51">
        <f>SUMIF(Crafting!$B$2:$B$10172, $A51, Crafting!$N$2:$N$10172)</f>
        <v>-16.8110999999999</v>
      </c>
      <c s="36" r="S51">
        <f>SUMIF(Mining!$B$2:$B$10072, $A51, Mining!$S$2:$S$10072)</f>
        <v>0</v>
      </c>
      <c s="22" r="T51">
        <f>SUMIF(Hunting!$C$2:$C$10073, $A51, Hunting!$AA$2:$AA$10073)</f>
        <v>0</v>
      </c>
      <c s="22" r="U51">
        <f>SUMIF(Hunting!$C$2:$C$10073, $A51, Hunting!$AB$2:$AB$10073)</f>
        <v>4</v>
      </c>
      <c s="22" r="V51">
        <f>SUMIF(Hunting!$C$2:$C$10073, $A51, Hunting!$AC$2:$AC$10073)</f>
        <v>29</v>
      </c>
      <c s="22" r="W51">
        <f>SUMIF(Hunting!$C$2:$C$10073, $A51, Hunting!$AD$2:$AD$10073)</f>
        <v>0</v>
      </c>
    </row>
    <row r="52">
      <c s="78" r="A52">
        <v>41608</v>
      </c>
      <c s="9" r="B52">
        <f>(SUMIF(Hunting!$C$2:$C$10073, $A52, Hunting!$E$2:$E$10073) + SUMIF(Crafting!$B$2:$B$10201, $A52, Crafting!$M$2:$M$10201)) + SUMIF(Mining!$B$2:$B$10023, $A52, Mining!$D$2:$D$10023)</f>
        <v>2886.87</v>
      </c>
      <c s="9" r="C52">
        <f>SUMIF(Hunting!$C$2:$C$10073, $A52, Hunting!$L$2:$L$10073) + SUMIF(Mining!$B$2:$B$10023, $A52, Mining!$J$2:$J$10023)</f>
        <v>521.12</v>
      </c>
      <c s="9" r="D52">
        <f>SUMIF(Hunting!$C$2:$C$10073, $A52, Hunting!$F$2:$F$10073)</f>
        <v>0</v>
      </c>
      <c s="9" r="E52">
        <f>SUMIF(Purchased!$A$2:$A$9982, $A52, Purchased!$D$2:$D$9982)-SUMIF(Purchased!$A$2:$A$9982, $A52, Purchased!$I$2:$I$9982)</f>
        <v>0</v>
      </c>
      <c s="9" r="F52">
        <f>SUMIF('Craft Mats'!$A$2:$A$10039, $A52, 'Craft Mats'!$F$2:$F$10039)</f>
        <v>0</v>
      </c>
      <c s="32" r="G52">
        <f>SUMIF(Hunting!$C$2:$C$10073, $A52, Hunting!$M$2:$M$10073) + SUMIF(Mining!$B$2:$B$10023, $A52, Mining!$K$2:$K$10023)</f>
        <v>427.74</v>
      </c>
      <c s="32" r="H52">
        <f>(SUMIF(Hunting!$C$2:$C$10073, $A52, Hunting!$N$2:$N$10073) + SUMIF(Crafting!$B$2:$B$10201, $A52, Crafting!$J$2:$J$10201)) + SUMIF(Mining!$B$2:$B$10023, $A52, Mining!$N$2:$N$10023)</f>
        <v>1699.02</v>
      </c>
      <c s="32" r="I52">
        <f>(SUMIF(Hunting!$C$2:$C$10073, $A52, Hunting!$O$2:$O$10073) + SUMIF(Crafting!$B$2:$B$10201, $A52, Crafting!$K$2:$K$10201)) + SUMIF(Mining!$B$2:$B$10023, $A52, Mining!$O$2:$O$10023)</f>
        <v>1063.83957333333</v>
      </c>
      <c s="32" r="J52">
        <f>SUMIF(Hunting!$C$2:$C$10073, $A52, Hunting!$P$2:$P$10073)</f>
        <v>10.4</v>
      </c>
      <c s="32" r="K52">
        <v>41</v>
      </c>
      <c s="32" r="L52">
        <f>SUMIF(Purchased!$A$2:$A$9982, $A52, Purchased!$H$2:$H$9982)</f>
        <v>0</v>
      </c>
      <c s="14" r="M52">
        <f>(((H52+I52)+K52)+T52)+L52</f>
        <v>2803.85957333333</v>
      </c>
      <c s="14" r="N52">
        <f>((((B52+C52)+D52)+E52)-G52)+F52</f>
        <v>2980.25</v>
      </c>
      <c s="33" r="O52">
        <f>M52-N52</f>
        <v>-176.390426666666</v>
      </c>
      <c s="29" r="P52">
        <f> (M52/N52)-1</f>
        <v>-0.059186453038056</v>
      </c>
      <c s="36" r="Q52">
        <f>SUMIF(Hunting!$C$2:$C$10073, $A52, Hunting!$S$2:$S$10073)</f>
        <v>-110.580966666667</v>
      </c>
      <c s="36" r="R52">
        <f>SUMIF(Crafting!$B$2:$B$10172, $A52, Crafting!$N$2:$N$10172)</f>
        <v>-96.40946</v>
      </c>
      <c s="36" r="S52">
        <f>SUMIF(Mining!$B$2:$B$10072, $A52, Mining!$S$2:$S$10072)</f>
        <v>0</v>
      </c>
      <c s="22" r="T52">
        <f>SUMIF(Hunting!$C$2:$C$10073, $A52, Hunting!$AA$2:$AA$10073)</f>
        <v>0</v>
      </c>
      <c s="22" r="U52">
        <f>SUMIF(Hunting!$C$2:$C$10073, $A52, Hunting!$AB$2:$AB$10073)</f>
        <v>1</v>
      </c>
      <c s="22" r="V52">
        <f>SUMIF(Hunting!$C$2:$C$10073, $A52, Hunting!$AC$2:$AC$10073)</f>
        <v>9</v>
      </c>
      <c s="22" r="W52">
        <f>SUMIF(Hunting!$C$2:$C$10073, $A52, Hunting!$AD$2:$AD$10073)</f>
        <v>1</v>
      </c>
    </row>
    <row r="53">
      <c s="78" r="A53">
        <v>41609</v>
      </c>
      <c s="9" r="B53">
        <f>(SUMIF(Hunting!$C$2:$C$10073, $A53, Hunting!$E$2:$E$10073) + SUMIF(Crafting!$B$2:$B$10201, $A53, Crafting!$M$2:$M$10201)) + SUMIF(Mining!$B$2:$B$10023, $A53, Mining!$D$2:$D$10023)</f>
        <v>509.544</v>
      </c>
      <c s="9" r="C53">
        <f>SUMIF(Hunting!$C$2:$C$10073, $A53, Hunting!$L$2:$L$10073) + SUMIF(Mining!$B$2:$B$10023, $A53, Mining!$J$2:$J$10023)</f>
        <v>1205.54</v>
      </c>
      <c s="9" r="D53">
        <f>SUMIF(Hunting!$C$2:$C$10073, $A53, Hunting!$F$2:$F$10073)</f>
        <v>0</v>
      </c>
      <c s="9" r="E53">
        <f>SUMIF(Purchased!$A$2:$A$9982, $A53, Purchased!$D$2:$D$9982)-SUMIF(Purchased!$A$2:$A$9982, $A53, Purchased!$I$2:$I$9982)</f>
        <v>0</v>
      </c>
      <c s="9" r="F53">
        <f>SUMIF('Craft Mats'!$A$2:$A$10039, $A53, 'Craft Mats'!$F$2:$F$10039)</f>
        <v>0</v>
      </c>
      <c s="32" r="G53">
        <f>SUMIF(Hunting!$C$2:$C$10073, $A53, Hunting!$M$2:$M$10073) + SUMIF(Mining!$B$2:$B$10023, $A53, Mining!$K$2:$K$10023)</f>
        <v>276</v>
      </c>
      <c s="32" r="H53">
        <f>(SUMIF(Hunting!$C$2:$C$10073, $A53, Hunting!$N$2:$N$10073) + SUMIF(Crafting!$B$2:$B$10201, $A53, Crafting!$J$2:$J$10201)) + SUMIF(Mining!$B$2:$B$10023, $A53, Mining!$N$2:$N$10023)</f>
        <v>1266.58</v>
      </c>
      <c s="32" r="I53">
        <f>(SUMIF(Hunting!$C$2:$C$10073, $A53, Hunting!$O$2:$O$10073) + SUMIF(Crafting!$B$2:$B$10201, $A53, Crafting!$K$2:$K$10201)) + SUMIF(Mining!$B$2:$B$10023, $A53, Mining!$O$2:$O$10023)</f>
        <v>287.640592</v>
      </c>
      <c s="32" r="J53">
        <f>SUMIF(Hunting!$C$2:$C$10073, $A53, Hunting!$P$2:$P$10073)</f>
        <v>0</v>
      </c>
      <c s="32" r="K53">
        <v>0</v>
      </c>
      <c s="32" r="L53">
        <f>SUMIF(Purchased!$A$2:$A$9982, $A53, Purchased!$H$2:$H$9982)</f>
        <v>0</v>
      </c>
      <c s="14" r="M53">
        <f>(((H53+I53)+K53)+T53)+L53</f>
        <v>1554.220592</v>
      </c>
      <c s="14" r="N53">
        <f>((((B53+C53)+D53)+E53)-G53)+F53</f>
        <v>1439.084</v>
      </c>
      <c s="33" r="O53">
        <f>M53-N53</f>
        <v>115.136592</v>
      </c>
      <c s="29" r="P53">
        <f> (M53/N53)-1</f>
        <v>0.080006859919226</v>
      </c>
      <c s="36" r="Q53">
        <f>SUMIF(Hunting!$C$2:$C$10073, $A53, Hunting!$S$2:$S$10073)</f>
        <v>52.3524</v>
      </c>
      <c s="36" r="R53">
        <f>SUMIF(Crafting!$B$2:$B$10172, $A53, Crafting!$N$2:$N$10172)</f>
        <v>-15.013308</v>
      </c>
      <c s="36" r="S53">
        <f>SUMIF(Mining!$B$2:$B$10072, $A53, Mining!$S$2:$S$10072)</f>
        <v>77.7975000000001</v>
      </c>
      <c s="22" r="T53">
        <f>SUMIF(Hunting!$C$2:$C$10073, $A53, Hunting!$AA$2:$AA$10073)</f>
        <v>0</v>
      </c>
      <c s="22" r="U53">
        <f>SUMIF(Hunting!$C$2:$C$10073, $A53, Hunting!$AB$2:$AB$10073)</f>
        <v>0</v>
      </c>
      <c s="22" r="V53">
        <f>SUMIF(Hunting!$C$2:$C$10073, $A53, Hunting!$AC$2:$AC$10073)</f>
        <v>3</v>
      </c>
      <c s="22" r="W53">
        <f>SUMIF(Hunting!$C$2:$C$10073, $A53, Hunting!$AD$2:$AD$10073)</f>
        <v>0</v>
      </c>
    </row>
    <row r="54">
      <c s="78" r="A54">
        <v>41610</v>
      </c>
      <c s="9" r="B54">
        <f>(SUMIF(Hunting!$C$2:$C$10073, $A54, Hunting!$E$2:$E$10073) + SUMIF(Crafting!$B$2:$B$10201, $A54, Crafting!$M$2:$M$10201)) + SUMIF(Mining!$B$2:$B$10023, $A54, Mining!$D$2:$D$10023)</f>
        <v>1423.78</v>
      </c>
      <c s="9" r="C54">
        <f>SUMIF(Hunting!$C$2:$C$10073, $A54, Hunting!$L$2:$L$10073) + SUMIF(Mining!$B$2:$B$10023, $A54, Mining!$J$2:$J$10023)</f>
        <v>475.32</v>
      </c>
      <c s="9" r="D54">
        <f>SUMIF(Hunting!$C$2:$C$10073, $A54, Hunting!$F$2:$F$10073)</f>
        <v>0</v>
      </c>
      <c s="9" r="E54">
        <f>SUMIF(Purchased!$A$2:$A$9982, $A54, Purchased!$D$2:$D$9982)-SUMIF(Purchased!$A$2:$A$9982, $A54, Purchased!$I$2:$I$9982)</f>
        <v>0</v>
      </c>
      <c s="9" r="F54">
        <f>SUMIF('Craft Mats'!$A$2:$A$10039, $A54, 'Craft Mats'!$F$2:$F$10039)</f>
        <v>0</v>
      </c>
      <c s="32" r="G54">
        <f>SUMIF(Hunting!$C$2:$C$10073, $A54, Hunting!$M$2:$M$10073) + SUMIF(Mining!$B$2:$B$10023, $A54, Mining!$K$2:$K$10023)</f>
        <v>295.81</v>
      </c>
      <c s="32" r="H54">
        <f>(SUMIF(Hunting!$C$2:$C$10073, $A54, Hunting!$N$2:$N$10073) + SUMIF(Crafting!$B$2:$B$10201, $A54, Crafting!$J$2:$J$10201)) + SUMIF(Mining!$B$2:$B$10023, $A54, Mining!$N$2:$N$10023)</f>
        <v>1082.78</v>
      </c>
      <c s="32" r="I54">
        <f>(SUMIF(Hunting!$C$2:$C$10073, $A54, Hunting!$O$2:$O$10073) + SUMIF(Crafting!$B$2:$B$10201, $A54, Crafting!$K$2:$K$10201)) + SUMIF(Mining!$B$2:$B$10023, $A54, Mining!$O$2:$O$10023)</f>
        <v>347.371117</v>
      </c>
      <c s="32" r="J54">
        <f>SUMIF(Hunting!$C$2:$C$10073, $A54, Hunting!$P$2:$P$10073)</f>
        <v>0</v>
      </c>
      <c s="32" r="K54">
        <v>0</v>
      </c>
      <c s="32" r="L54">
        <f>SUMIF(Purchased!$A$2:$A$9982, $A54, Purchased!$H$2:$H$9982)</f>
        <v>0</v>
      </c>
      <c s="14" r="M54">
        <f>(((H54+I54)+K54)+T54)+L54</f>
        <v>1430.151117</v>
      </c>
      <c s="14" r="N54">
        <f>((((B54+C54)+D54)+E54)-G54)+F54</f>
        <v>1603.29</v>
      </c>
      <c s="33" r="O54">
        <f>M54-N54</f>
        <v>-173.138883</v>
      </c>
      <c s="29" r="P54">
        <f> (M54/N54)-1</f>
        <v>-0.107989747955766</v>
      </c>
      <c s="36" r="Q54">
        <f>SUMIF(Hunting!$C$2:$C$10073, $A54, Hunting!$S$2:$S$10073)</f>
        <v>-103.930675</v>
      </c>
      <c s="36" r="R54">
        <f>SUMIF(Crafting!$B$2:$B$10172, $A54, Crafting!$N$2:$N$10172)</f>
        <v>-68.240208</v>
      </c>
      <c s="36" r="S54">
        <f>SUMIF(Mining!$B$2:$B$10072, $A54, Mining!$S$2:$S$10072)</f>
        <v>-0.968</v>
      </c>
      <c s="22" r="T54">
        <f>SUMIF(Hunting!$C$2:$C$10073, $A54, Hunting!$AA$2:$AA$10073)</f>
        <v>0</v>
      </c>
      <c s="22" r="U54">
        <f>SUMIF(Hunting!$C$2:$C$10073, $A54, Hunting!$AB$2:$AB$10073)</f>
        <v>1</v>
      </c>
      <c s="22" r="V54">
        <f>SUMIF(Hunting!$C$2:$C$10073, $A54, Hunting!$AC$2:$AC$10073)</f>
        <v>3</v>
      </c>
      <c s="22" r="W54">
        <f>SUMIF(Hunting!$C$2:$C$10073, $A54, Hunting!$AD$2:$AD$10073)</f>
        <v>0</v>
      </c>
    </row>
    <row r="55">
      <c s="78" r="A55">
        <v>41611</v>
      </c>
      <c s="9" r="B55">
        <f>(SUMIF(Hunting!$C$2:$C$10073, $A55, Hunting!$E$2:$E$10073) + SUMIF(Crafting!$B$2:$B$10201, $A55, Crafting!$M$2:$M$10201)) + SUMIF(Mining!$B$2:$B$10023, $A55, Mining!$D$2:$D$10023)</f>
        <v>1300</v>
      </c>
      <c s="9" r="C55">
        <f>SUMIF(Hunting!$C$2:$C$10073, $A55, Hunting!$L$2:$L$10073) + SUMIF(Mining!$B$2:$B$10023, $A55, Mining!$J$2:$J$10023)</f>
        <v>503.98</v>
      </c>
      <c s="9" r="D55">
        <f>SUMIF(Hunting!$C$2:$C$10073, $A55, Hunting!$F$2:$F$10073)</f>
        <v>0</v>
      </c>
      <c s="9" r="E55">
        <f>SUMIF(Purchased!$A$2:$A$9982, $A55, Purchased!$D$2:$D$9982)-SUMIF(Purchased!$A$2:$A$9982, $A55, Purchased!$I$2:$I$9982)</f>
        <v>0</v>
      </c>
      <c s="9" r="F55">
        <f>SUMIF('Craft Mats'!$A$2:$A$10039, $A55, 'Craft Mats'!$F$2:$F$10039)</f>
        <v>0</v>
      </c>
      <c s="32" r="G55">
        <f>SUMIF(Hunting!$C$2:$C$10073, $A55, Hunting!$M$2:$M$10073) + SUMIF(Mining!$B$2:$B$10023, $A55, Mining!$K$2:$K$10023)</f>
        <v>39.63</v>
      </c>
      <c s="32" r="H55">
        <f>(SUMIF(Hunting!$C$2:$C$10073, $A55, Hunting!$N$2:$N$10073) + SUMIF(Crafting!$B$2:$B$10201, $A55, Crafting!$J$2:$J$10201)) + SUMIF(Mining!$B$2:$B$10023, $A55, Mining!$N$2:$N$10023)</f>
        <v>1310.28</v>
      </c>
      <c s="32" r="I55">
        <f>(SUMIF(Hunting!$C$2:$C$10073, $A55, Hunting!$O$2:$O$10073) + SUMIF(Crafting!$B$2:$B$10201, $A55, Crafting!$K$2:$K$10201)) + SUMIF(Mining!$B$2:$B$10023, $A55, Mining!$O$2:$O$10023)</f>
        <v>173.07</v>
      </c>
      <c s="32" r="J55">
        <f>SUMIF(Hunting!$C$2:$C$10073, $A55, Hunting!$P$2:$P$10073)</f>
        <v>0</v>
      </c>
      <c s="32" r="K55">
        <v>0</v>
      </c>
      <c s="32" r="L55">
        <f>SUMIF(Purchased!$A$2:$A$9982, $A55, Purchased!$H$2:$H$9982)</f>
        <v>0</v>
      </c>
      <c s="14" r="M55">
        <f>(((H55+I55)+K55)+T55)+L55</f>
        <v>1483.35</v>
      </c>
      <c s="14" r="N55">
        <f>((((B55+C55)+D55)+E55)-G55)+F55</f>
        <v>1764.35</v>
      </c>
      <c s="33" r="O55">
        <f>M55-N55</f>
        <v>-281</v>
      </c>
      <c s="29" r="P55">
        <f> (M55/N55)-1</f>
        <v>-0.159265451866126</v>
      </c>
      <c s="36" r="Q55">
        <f>SUMIF(Hunting!$C$2:$C$10073, $A55, Hunting!$S$2:$S$10073)</f>
        <v>-281</v>
      </c>
      <c s="36" r="R55">
        <f>SUMIF(Crafting!$B$2:$B$10172, $A55, Crafting!$N$2:$N$10172)</f>
        <v>0</v>
      </c>
      <c s="36" r="S55">
        <f>SUMIF(Mining!$B$2:$B$10072, $A55, Mining!$S$2:$S$10072)</f>
        <v>0</v>
      </c>
      <c s="22" r="T55">
        <f>SUMIF(Hunting!$C$2:$C$10073, $A55, Hunting!$AA$2:$AA$10073)</f>
        <v>0</v>
      </c>
      <c s="22" r="U55">
        <f>SUMIF(Hunting!$C$2:$C$10073, $A55, Hunting!$AB$2:$AB$10073)</f>
        <v>1</v>
      </c>
      <c s="22" r="V55">
        <f>SUMIF(Hunting!$C$2:$C$10073, $A55, Hunting!$AC$2:$AC$10073)</f>
        <v>7</v>
      </c>
      <c s="22" r="W55">
        <f>SUMIF(Hunting!$C$2:$C$10073, $A55, Hunting!$AD$2:$AD$10073)</f>
        <v>0</v>
      </c>
    </row>
    <row r="56">
      <c s="78" r="A56">
        <v>41612</v>
      </c>
      <c s="9" r="B56">
        <f>(SUMIF(Hunting!$C$2:$C$10073, $A56, Hunting!$E$2:$E$10073) + SUMIF(Crafting!$B$2:$B$10201, $A56, Crafting!$M$2:$M$10201)) + SUMIF(Mining!$B$2:$B$10023, $A56, Mining!$D$2:$D$10023)</f>
        <v>1788.1</v>
      </c>
      <c s="9" r="C56">
        <f>SUMIF(Hunting!$C$2:$C$10073, $A56, Hunting!$L$2:$L$10073) + SUMIF(Mining!$B$2:$B$10023, $A56, Mining!$J$2:$J$10023)</f>
        <v>575.8</v>
      </c>
      <c s="9" r="D56">
        <f>SUMIF(Hunting!$C$2:$C$10073, $A56, Hunting!$F$2:$F$10073)</f>
        <v>0</v>
      </c>
      <c s="9" r="E56">
        <f>SUMIF(Purchased!$A$2:$A$9982, $A56, Purchased!$D$2:$D$9982)-SUMIF(Purchased!$A$2:$A$9982, $A56, Purchased!$I$2:$I$9982)</f>
        <v>0</v>
      </c>
      <c s="9" r="F56">
        <f>SUMIF('Craft Mats'!$A$2:$A$10039, $A56, 'Craft Mats'!$F$2:$F$10039)</f>
        <v>0</v>
      </c>
      <c s="32" r="G56">
        <f>SUMIF(Hunting!$C$2:$C$10073, $A56, Hunting!$M$2:$M$10073) + SUMIF(Mining!$B$2:$B$10023, $A56, Mining!$K$2:$K$10023)</f>
        <v>335.45</v>
      </c>
      <c s="32" r="H56">
        <f>(SUMIF(Hunting!$C$2:$C$10073, $A56, Hunting!$N$2:$N$10073) + SUMIF(Crafting!$B$2:$B$10201, $A56, Crafting!$J$2:$J$10201)) + SUMIF(Mining!$B$2:$B$10023, $A56, Mining!$N$2:$N$10023)</f>
        <v>2199.89</v>
      </c>
      <c s="32" r="I56">
        <f>(SUMIF(Hunting!$C$2:$C$10073, $A56, Hunting!$O$2:$O$10073) + SUMIF(Crafting!$B$2:$B$10201, $A56, Crafting!$K$2:$K$10201)) + SUMIF(Mining!$B$2:$B$10023, $A56, Mining!$O$2:$O$10023)</f>
        <v>361.9836</v>
      </c>
      <c s="32" r="J56">
        <f>SUMIF(Hunting!$C$2:$C$10073, $A56, Hunting!$P$2:$P$10073)</f>
        <v>0</v>
      </c>
      <c s="32" r="K56">
        <v>0</v>
      </c>
      <c s="32" r="L56">
        <f>SUMIF(Purchased!$A$2:$A$9982, $A56, Purchased!$H$2:$H$9982)</f>
        <v>0</v>
      </c>
      <c s="14" r="M56">
        <f>(((H56+I56)+K56)+T56)+L56</f>
        <v>2561.8736</v>
      </c>
      <c s="14" r="N56">
        <f>((((B56+C56)+D56)+E56)-G56)+F56</f>
        <v>2028.45</v>
      </c>
      <c s="33" r="O56">
        <f>M56-N56</f>
        <v>533.4236</v>
      </c>
      <c s="29" r="P56">
        <f> (M56/N56)-1</f>
        <v>0.262971036998694</v>
      </c>
      <c s="36" r="Q56">
        <f>SUMIF(Hunting!$C$2:$C$10073, $A56, Hunting!$S$2:$S$10073)</f>
        <v>360.9236</v>
      </c>
      <c s="36" r="R56">
        <f>SUMIF(Crafting!$B$2:$B$10172, $A56, Crafting!$N$2:$N$10172)</f>
        <v>172.5</v>
      </c>
      <c s="36" r="S56">
        <f>SUMIF(Mining!$B$2:$B$10072, $A56, Mining!$S$2:$S$10072)</f>
        <v>0</v>
      </c>
      <c s="22" r="T56">
        <f>SUMIF(Hunting!$C$2:$C$10073, $A56, Hunting!$AA$2:$AA$10073)</f>
        <v>0</v>
      </c>
      <c s="22" r="U56">
        <f>SUMIF(Hunting!$C$2:$C$10073, $A56, Hunting!$AB$2:$AB$10073)</f>
        <v>0</v>
      </c>
      <c s="22" r="V56">
        <f>SUMIF(Hunting!$C$2:$C$10073, $A56, Hunting!$AC$2:$AC$10073)</f>
        <v>5</v>
      </c>
      <c s="22" r="W56">
        <f>SUMIF(Hunting!$C$2:$C$10073, $A56, Hunting!$AD$2:$AD$10073)</f>
        <v>1</v>
      </c>
    </row>
    <row r="57">
      <c s="78" r="A57">
        <v>41613</v>
      </c>
      <c s="9" r="B57">
        <f>(SUMIF(Hunting!$C$2:$C$10073, $A57, Hunting!$E$2:$E$10073) + SUMIF(Crafting!$B$2:$B$10201, $A57, Crafting!$M$2:$M$10201)) + SUMIF(Mining!$B$2:$B$10023, $A57, Mining!$D$2:$D$10023)</f>
        <v>2957.9934</v>
      </c>
      <c s="9" r="C57">
        <f>SUMIF(Hunting!$C$2:$C$10073, $A57, Hunting!$L$2:$L$10073) + SUMIF(Mining!$B$2:$B$10023, $A57, Mining!$J$2:$J$10023)</f>
        <v>605.2</v>
      </c>
      <c s="9" r="D57">
        <f>SUMIF(Hunting!$C$2:$C$10073, $A57, Hunting!$F$2:$F$10073)</f>
        <v>0</v>
      </c>
      <c s="9" r="E57">
        <f>SUMIF(Purchased!$A$2:$A$9982, $A57, Purchased!$D$2:$D$9982)-SUMIF(Purchased!$A$2:$A$9982, $A57, Purchased!$I$2:$I$9982)</f>
        <v>0</v>
      </c>
      <c s="9" r="F57">
        <f>SUMIF('Craft Mats'!$A$2:$A$10039, $A57, 'Craft Mats'!$F$2:$F$10039)</f>
        <v>0</v>
      </c>
      <c s="32" r="G57">
        <f>SUMIF(Hunting!$C$2:$C$10073, $A57, Hunting!$M$2:$M$10073) + SUMIF(Mining!$B$2:$B$10023, $A57, Mining!$K$2:$K$10023)</f>
        <v>0</v>
      </c>
      <c s="32" r="H57">
        <f>(SUMIF(Hunting!$C$2:$C$10073, $A57, Hunting!$N$2:$N$10073) + SUMIF(Crafting!$B$2:$B$10201, $A57, Crafting!$J$2:$J$10201)) + SUMIF(Mining!$B$2:$B$10023, $A57, Mining!$N$2:$N$10023)</f>
        <v>3777.63</v>
      </c>
      <c s="32" r="I57">
        <f>(SUMIF(Hunting!$C$2:$C$10073, $A57, Hunting!$O$2:$O$10073) + SUMIF(Crafting!$B$2:$B$10201, $A57, Crafting!$K$2:$K$10201)) + SUMIF(Mining!$B$2:$B$10023, $A57, Mining!$O$2:$O$10023)</f>
        <v>1966.873176</v>
      </c>
      <c s="32" r="J57">
        <f>SUMIF(Hunting!$C$2:$C$10073, $A57, Hunting!$P$2:$P$10073)</f>
        <v>0</v>
      </c>
      <c s="32" r="K57">
        <v>54</v>
      </c>
      <c s="32" r="L57">
        <f>SUMIF(Purchased!$A$2:$A$9982, $A57, Purchased!$H$2:$H$9982)</f>
        <v>0</v>
      </c>
      <c s="14" r="M57">
        <f>(((H57+I57)+K57)+T57)+L57</f>
        <v>5808.503176</v>
      </c>
      <c s="14" r="N57">
        <f>((((B57+C57)+D57)+E57)-G57)+F57</f>
        <v>3563.1934</v>
      </c>
      <c s="33" r="O57">
        <f>M57-N57</f>
        <v>2245.309776</v>
      </c>
      <c s="29" r="P57">
        <f> (M57/N57)-1</f>
        <v>0.630139743747842</v>
      </c>
      <c s="36" r="Q57">
        <f>SUMIF(Hunting!$C$2:$C$10073, $A57, Hunting!$S$2:$S$10073)</f>
        <v>-133.2803</v>
      </c>
      <c s="36" r="R57">
        <f>SUMIF(Crafting!$B$2:$B$10172, $A57, Crafting!$N$2:$N$10172)</f>
        <v>2324.590076</v>
      </c>
      <c s="36" r="S57">
        <f>SUMIF(Mining!$B$2:$B$10072, $A57, Mining!$S$2:$S$10072)</f>
        <v>0</v>
      </c>
      <c s="22" r="T57">
        <f>SUMIF(Hunting!$C$2:$C$10073, $A57, Hunting!$AA$2:$AA$10073) + SUMIF(Crafting!$B$2:$B$10201, $A57, Crafting!$T$2:$T$10201)</f>
        <v>10</v>
      </c>
      <c s="22" r="U57">
        <f>SUMIF(Hunting!$C$2:$C$10073, $A57, Hunting!$AB$2:$AB$10073) + SUMIF(Crafting!$B$2:$B$10201, $A57, Crafting!$U$2:$U$10201)</f>
        <v>1</v>
      </c>
      <c s="22" r="V57">
        <f>SUMIF(Hunting!$C$2:$C$10073, $A57, Hunting!$AC$2:$AC$10073) + SUMIF(Crafting!$B$2:$B$10201, $A57, Crafting!$V$2:$V$10201)</f>
        <v>0</v>
      </c>
      <c s="22" r="W57">
        <f>SUMIF(Hunting!$C$2:$C$10073, $A57, Hunting!$AD$2:$AD$10073) + SUMIF(Crafting!$B$2:$B$10201, $A57, Crafting!$W$2:$W$10201)</f>
        <v>3</v>
      </c>
    </row>
    <row r="58">
      <c s="78" r="A58">
        <v>41614</v>
      </c>
      <c s="9" r="B58">
        <f>(SUMIF(Hunting!$C$2:$C$10073, $A58, Hunting!$E$2:$E$10073) + SUMIF(Crafting!$B$2:$B$10201, $A58, Crafting!$M$2:$M$10201)) + SUMIF(Mining!$B$2:$B$10023, $A58, Mining!$D$2:$D$10023)</f>
        <v>5027.21</v>
      </c>
      <c s="9" r="C58">
        <f>SUMIF(Hunting!$C$2:$C$10073, $A58, Hunting!$L$2:$L$10073) + SUMIF(Mining!$B$2:$B$10023, $A58, Mining!$J$2:$J$10023)</f>
        <v>806.1</v>
      </c>
      <c s="9" r="D58">
        <f>SUMIF(Hunting!$C$2:$C$10073, $A58, Hunting!$F$2:$F$10073)</f>
        <v>0</v>
      </c>
      <c s="9" r="E58">
        <f>SUMIF(Purchased!$A$2:$A$9982, $A58, Purchased!$D$2:$D$9982)-SUMIF(Purchased!$A$2:$A$9982, $A58, Purchased!$I$2:$I$9982)</f>
        <v>0</v>
      </c>
      <c s="9" r="F58">
        <f>SUMIF('Craft Mats'!$A$2:$A$10039, $A58, 'Craft Mats'!$F$2:$F$10039)</f>
        <v>0</v>
      </c>
      <c s="32" r="G58">
        <f>SUMIF(Hunting!$C$2:$C$10073, $A58, Hunting!$M$2:$M$10073) + SUMIF(Mining!$B$2:$B$10023, $A58, Mining!$K$2:$K$10023)</f>
        <v>466.97</v>
      </c>
      <c s="32" r="H58">
        <f>(SUMIF(Hunting!$C$2:$C$10073, $A58, Hunting!$N$2:$N$10073) + SUMIF(Crafting!$B$2:$B$10201, $A58, Crafting!$J$2:$J$10201)) + SUMIF(Mining!$B$2:$B$10023, $A58, Mining!$N$2:$N$10023)</f>
        <v>2753.3</v>
      </c>
      <c s="32" r="I58">
        <f>(SUMIF(Hunting!$C$2:$C$10073, $A58, Hunting!$O$2:$O$10073) + SUMIF(Crafting!$B$2:$B$10201, $A58, Crafting!$K$2:$K$10201)) + SUMIF(Mining!$B$2:$B$10023, $A58, Mining!$O$2:$O$10023)</f>
        <v>3274.501708</v>
      </c>
      <c s="32" r="J58">
        <f>SUMIF(Hunting!$C$2:$C$10073, $A58, Hunting!$P$2:$P$10073)</f>
        <v>20.040678</v>
      </c>
      <c s="32" r="K58">
        <v>200</v>
      </c>
      <c s="32" r="L58">
        <f>SUMIF(Purchased!$A$2:$A$9982, $A58, Purchased!$H$2:$H$9982)</f>
        <v>0</v>
      </c>
      <c s="14" r="M58">
        <f>(((H58+I58)+K58)+T58)+L58</f>
        <v>6227.801708</v>
      </c>
      <c s="14" r="N58">
        <f>((((B58+C58)+D58)+E58)-G58)+F58</f>
        <v>5366.34</v>
      </c>
      <c s="33" r="O58">
        <f>M58-N58</f>
        <v>861.461707999999</v>
      </c>
      <c s="29" r="P58">
        <f> (M58/N58)-1</f>
        <v>0.160530586582289</v>
      </c>
      <c s="36" r="Q58">
        <f>SUMIF(Hunting!$C$2:$C$10073, $A58, Hunting!$S$2:$S$10073)</f>
        <v>408.968628</v>
      </c>
      <c s="36" r="R58">
        <f>SUMIF(Crafting!$B$2:$B$10172, $A58, Crafting!$N$2:$N$10172)</f>
        <v>272.533757999999</v>
      </c>
      <c s="36" r="S58">
        <f>SUMIF(Mining!$B$2:$B$10072, $A58, Mining!$S$2:$S$10072)</f>
        <v>0</v>
      </c>
      <c s="22" r="T58">
        <f>SUMIF(Hunting!$C$2:$C$10073, $A58, Hunting!$AA$2:$AA$10073) + SUMIF(Crafting!$B$2:$B$10201, $A58, Crafting!$T$2:$T$10201)</f>
        <v>0</v>
      </c>
      <c s="22" r="U58">
        <f>SUMIF(Hunting!$C$2:$C$10073, $A58, Hunting!$AB$2:$AB$10073) + SUMIF(Crafting!$B$2:$B$10201, $A58, Crafting!$U$2:$U$10201)</f>
        <v>3</v>
      </c>
      <c s="22" r="V58">
        <f>SUMIF(Hunting!$C$2:$C$10073, $A58, Hunting!$AC$2:$AC$10073) + SUMIF(Crafting!$B$2:$B$10201, $A58, Crafting!$V$2:$V$10201)</f>
        <v>10</v>
      </c>
      <c s="22" r="W58">
        <f>SUMIF(Hunting!$C$2:$C$10073, $A58, Hunting!$AD$2:$AD$10073) + SUMIF(Crafting!$B$2:$B$10201, $A58, Crafting!$W$2:$W$10201)</f>
        <v>2</v>
      </c>
    </row>
    <row r="59">
      <c s="78" r="A59">
        <v>41615</v>
      </c>
      <c s="9" r="B59">
        <f>(SUMIF(Hunting!$C$2:$C$10073, $A59, Hunting!$E$2:$E$10073) + SUMIF(Crafting!$B$2:$B$10201, $A59, Crafting!$M$2:$M$10201)) + SUMIF(Mining!$B$2:$B$10023, $A59, Mining!$D$2:$D$10023)</f>
        <v>1535.48</v>
      </c>
      <c s="9" r="C59">
        <f>SUMIF(Hunting!$C$2:$C$10073, $A59, Hunting!$L$2:$L$10073) + SUMIF(Mining!$B$2:$B$10023, $A59, Mining!$J$2:$J$10023)</f>
        <v>1439.73</v>
      </c>
      <c s="9" r="D59">
        <f>SUMIF(Hunting!$C$2:$C$10073, $A59, Hunting!$F$2:$F$10073)</f>
        <v>0</v>
      </c>
      <c s="9" r="E59">
        <f>SUMIF(Purchased!$A$2:$A$9982, $A59, Purchased!$D$2:$D$9982)-SUMIF(Purchased!$A$2:$A$9982, $A59, Purchased!$I$2:$I$9982)</f>
        <v>0</v>
      </c>
      <c s="9" r="F59">
        <f>SUMIF('Craft Mats'!$A$2:$A$10039, $A59, 'Craft Mats'!$F$2:$F$10039)</f>
        <v>0</v>
      </c>
      <c s="32" r="G59">
        <f>SUMIF(Hunting!$C$2:$C$10073, $A59, Hunting!$M$2:$M$10073) + SUMIF(Mining!$B$2:$B$10023, $A59, Mining!$K$2:$K$10023)</f>
        <v>493.88</v>
      </c>
      <c s="32" r="H59">
        <f>(SUMIF(Hunting!$C$2:$C$10073, $A59, Hunting!$N$2:$N$10073) + SUMIF(Crafting!$B$2:$B$10201, $A59, Crafting!$J$2:$J$10201)) + SUMIF(Mining!$B$2:$B$10023, $A59, Mining!$N$2:$N$10023)</f>
        <v>1658.21</v>
      </c>
      <c s="32" r="I59">
        <f>(SUMIF(Hunting!$C$2:$C$10073, $A59, Hunting!$O$2:$O$10073) + SUMIF(Crafting!$B$2:$B$10201, $A59, Crafting!$K$2:$K$10201)) + SUMIF(Mining!$B$2:$B$10023, $A59, Mining!$O$2:$O$10023)</f>
        <v>1817.923932</v>
      </c>
      <c s="32" r="J59">
        <f>SUMIF(Hunting!$C$2:$C$10073, $A59, Hunting!$P$2:$P$10073)</f>
        <v>0</v>
      </c>
      <c s="32" r="K59">
        <v>198</v>
      </c>
      <c s="32" r="L59">
        <f>SUMIF(Purchased!$A$2:$A$9982, $A59, Purchased!$H$2:$H$9982)</f>
        <v>0</v>
      </c>
      <c s="14" r="M59">
        <f>(((H59+I59)+K59)+T59)+L59</f>
        <v>3674.133932</v>
      </c>
      <c s="14" r="N59">
        <f>((((B59+C59)+D59)+E59)-G59)+F59</f>
        <v>2481.33</v>
      </c>
      <c s="33" r="O59">
        <f>M59-N59</f>
        <v>1192.803932</v>
      </c>
      <c s="29" r="P59">
        <f> (M59/N59)-1</f>
        <v>0.480711526479751</v>
      </c>
      <c s="36" r="Q59">
        <f>SUMIF(Hunting!$C$2:$C$10073, $A59, Hunting!$S$2:$S$10073)</f>
        <v>560.7648</v>
      </c>
      <c s="36" r="R59">
        <f>SUMIF(Crafting!$B$2:$B$10172, $A59, Crafting!$N$2:$N$10172)</f>
        <v>18.377132</v>
      </c>
      <c s="36" r="S59">
        <f>SUMIF(Mining!$B$2:$B$10072, $A59, Mining!$S$2:$S$10072)</f>
        <v>415.662</v>
      </c>
      <c s="22" r="T59">
        <f>SUMIF(Hunting!$C$2:$C$10073, $A59, Hunting!$AA$2:$AA$10073) + SUMIF(Crafting!$B$2:$B$10201, $A59, Crafting!$T$2:$T$10201)</f>
        <v>0</v>
      </c>
      <c s="22" r="U59">
        <f>SUMIF(Hunting!$C$2:$C$10073, $A59, Hunting!$AB$2:$AB$10073) + SUMIF(Crafting!$B$2:$B$10201, $A59, Crafting!$U$2:$U$10201)</f>
        <v>0</v>
      </c>
      <c s="22" r="V59">
        <f>SUMIF(Hunting!$C$2:$C$10073, $A59, Hunting!$AC$2:$AC$10073) + SUMIF(Crafting!$B$2:$B$10201, $A59, Crafting!$V$2:$V$10201)</f>
        <v>4</v>
      </c>
      <c s="22" r="W59">
        <f>SUMIF(Hunting!$C$2:$C$10073, $A59, Hunting!$AD$2:$AD$10073) + SUMIF(Crafting!$B$2:$B$10201, $A59, Crafting!$W$2:$W$10201)</f>
        <v>2</v>
      </c>
    </row>
    <row r="60">
      <c s="78" r="A60">
        <v>41616</v>
      </c>
      <c s="9" r="B60">
        <f>(SUMIF(Hunting!$C$2:$C$10073, $A60, Hunting!$E$2:$E$10073) + SUMIF(Crafting!$B$2:$B$10201, $A60, Crafting!$M$2:$M$10201)) + SUMIF(Mining!$B$2:$B$10023, $A60, Mining!$D$2:$D$10023)</f>
        <v>3816.516</v>
      </c>
      <c s="9" r="C60">
        <f>SUMIF(Hunting!$C$2:$C$10073, $A60, Hunting!$L$2:$L$10073) + SUMIF(Mining!$B$2:$B$10023, $A60, Mining!$J$2:$J$10023)</f>
        <v>1276.36</v>
      </c>
      <c s="9" r="D60">
        <f>SUMIF(Hunting!$C$2:$C$10073, $A60, Hunting!$F$2:$F$10073)</f>
        <v>0</v>
      </c>
      <c s="9" r="E60">
        <f>SUMIF(Purchased!$A$2:$A$9982, $A60, Purchased!$D$2:$D$9982)-SUMIF(Purchased!$A$2:$A$9982, $A60, Purchased!$I$2:$I$9982)</f>
        <v>0</v>
      </c>
      <c s="9" r="F60">
        <f>SUMIF('Craft Mats'!$A$2:$A$10039, $A60, 'Craft Mats'!$F$2:$F$10039)</f>
        <v>0</v>
      </c>
      <c s="32" r="G60">
        <f>SUMIF(Hunting!$C$2:$C$10073, $A60, Hunting!$M$2:$M$10073) + SUMIF(Mining!$B$2:$B$10023, $A60, Mining!$K$2:$K$10023)</f>
        <v>1061.69</v>
      </c>
      <c s="32" r="H60">
        <f>(SUMIF(Hunting!$C$2:$C$10073, $A60, Hunting!$N$2:$N$10073) + SUMIF(Crafting!$B$2:$B$10201, $A60, Crafting!$J$2:$J$10201)) + SUMIF(Mining!$B$2:$B$10023, $A60, Mining!$N$2:$N$10023)</f>
        <v>4226.3</v>
      </c>
      <c s="32" r="I60">
        <f>(SUMIF(Hunting!$C$2:$C$10073, $A60, Hunting!$O$2:$O$10073) + SUMIF(Crafting!$B$2:$B$10201, $A60, Crafting!$K$2:$K$10201)) + SUMIF(Mining!$B$2:$B$10023, $A60, Mining!$O$2:$O$10023)</f>
        <v>891.525678</v>
      </c>
      <c s="32" r="J60">
        <f>SUMIF(Hunting!$C$2:$C$10073, $A60, Hunting!$P$2:$P$10073)</f>
        <v>151.956</v>
      </c>
      <c s="32" r="K60">
        <v>129</v>
      </c>
      <c s="32" r="L60">
        <f>SUMIF(Purchased!$A$2:$A$9982, $A60, Purchased!$H$2:$H$9982)</f>
        <v>3.6</v>
      </c>
      <c s="14" r="M60">
        <f>(((H60+I60)+K60)+T60)+L60</f>
        <v>5243.425678</v>
      </c>
      <c s="14" r="N60">
        <f>((((B60+C60)+D60)+E60)-G60)+F60</f>
        <v>4031.186</v>
      </c>
      <c s="33" r="O60">
        <f>M60-N60</f>
        <v>1212.239678</v>
      </c>
      <c s="29" r="P60">
        <f> (M60/N60)-1</f>
        <v>0.300715391946687</v>
      </c>
      <c s="36" r="Q60">
        <f>SUMIF(Hunting!$C$2:$C$10073, $A60, Hunting!$S$2:$S$10073)</f>
        <v>1199.789</v>
      </c>
      <c s="36" r="R60">
        <f>SUMIF(Crafting!$B$2:$B$10172, $A60, Crafting!$N$2:$N$10172)</f>
        <v>-21.937022</v>
      </c>
      <c s="36" r="S60">
        <f>SUMIF(Mining!$B$2:$B$10072, $A60, Mining!$S$2:$S$10072)</f>
        <v>60.7437</v>
      </c>
      <c s="22" r="T60">
        <f>SUMIF(Hunting!$C$2:$C$10073, $A60, Hunting!$AA$2:$AA$10073) + SUMIF(Crafting!$B$2:$B$10201, $A60, Crafting!$T$2:$T$10201)</f>
        <v>-7</v>
      </c>
      <c s="22" r="U60">
        <f>SUMIF(Hunting!$C$2:$C$10073, $A60, Hunting!$AB$2:$AB$10073) + SUMIF(Crafting!$B$2:$B$10201, $A60, Crafting!$U$2:$U$10201)</f>
        <v>1</v>
      </c>
      <c s="22" r="V60">
        <f>SUMIF(Hunting!$C$2:$C$10073, $A60, Hunting!$AC$2:$AC$10073) + SUMIF(Crafting!$B$2:$B$10201, $A60, Crafting!$V$2:$V$10201)</f>
        <v>12</v>
      </c>
      <c s="22" r="W60">
        <f>SUMIF(Hunting!$C$2:$C$10073, $A60, Hunting!$AD$2:$AD$10073) + SUMIF(Crafting!$B$2:$B$10201, $A60, Crafting!$W$2:$W$10201)</f>
        <v>1</v>
      </c>
    </row>
    <row r="61">
      <c s="78" r="A61">
        <v>41617</v>
      </c>
      <c s="9" r="B61">
        <f>(SUMIF(Hunting!$C$2:$C$10073, $A61, Hunting!$E$2:$E$10073) + SUMIF(Crafting!$B$2:$B$10201, $A61, Crafting!$M$2:$M$10201)) + SUMIF(Mining!$B$2:$B$10023, $A61, Mining!$D$2:$D$10023)</f>
        <v>2696.3</v>
      </c>
      <c s="9" r="C61">
        <f>SUMIF(Hunting!$C$2:$C$10073, $A61, Hunting!$L$2:$L$10073) + SUMIF(Mining!$B$2:$B$10023, $A61, Mining!$J$2:$J$10023)</f>
        <v>346</v>
      </c>
      <c s="9" r="D61">
        <f>SUMIF(Hunting!$C$2:$C$10073, $A61, Hunting!$F$2:$F$10073)</f>
        <v>0</v>
      </c>
      <c s="9" r="E61">
        <f>SUMIF(Purchased!$A$2:$A$9982, $A61, Purchased!$D$2:$D$9982)-SUMIF(Purchased!$A$2:$A$9982, $A61, Purchased!$I$2:$I$9982)</f>
        <v>210</v>
      </c>
      <c s="9" r="F61">
        <f>SUMIF('Craft Mats'!$A$2:$A$10039, $A61, 'Craft Mats'!$F$2:$F$10039)</f>
        <v>0</v>
      </c>
      <c s="32" r="G61">
        <f>SUMIF(Hunting!$C$2:$C$10073, $A61, Hunting!$M$2:$M$10073) + SUMIF(Mining!$B$2:$B$10023, $A61, Mining!$K$2:$K$10023)</f>
        <v>661.02</v>
      </c>
      <c s="32" r="H61">
        <f>(SUMIF(Hunting!$C$2:$C$10073, $A61, Hunting!$N$2:$N$10073) + SUMIF(Crafting!$B$2:$B$10201, $A61, Crafting!$J$2:$J$10201)) + SUMIF(Mining!$B$2:$B$10023, $A61, Mining!$N$2:$N$10023)</f>
        <v>1390.3</v>
      </c>
      <c s="32" r="I61">
        <f>(SUMIF(Hunting!$C$2:$C$10073, $A61, Hunting!$O$2:$O$10073) + SUMIF(Crafting!$B$2:$B$10201, $A61, Crafting!$K$2:$K$10201)) + SUMIF(Mining!$B$2:$B$10023, $A61, Mining!$O$2:$O$10023)</f>
        <v>685.623624</v>
      </c>
      <c s="32" r="J61">
        <f>SUMIF(Hunting!$C$2:$C$10073, $A61, Hunting!$P$2:$P$10073)</f>
        <v>11.88</v>
      </c>
      <c s="32" r="K61">
        <v>30</v>
      </c>
      <c s="32" r="L61">
        <f>SUMIF(Purchased!$A$2:$A$9982, $A61, Purchased!$H$2:$H$9982)</f>
        <v>43.52</v>
      </c>
      <c s="14" r="M61">
        <f>(((H61+I61)+K61)+T61)+L61</f>
        <v>2149.443624</v>
      </c>
      <c s="14" r="N61">
        <f>((((B61+C61)+D61)+E61)-G61)+F61</f>
        <v>2591.28</v>
      </c>
      <c s="33" r="O61">
        <f>M61-N61</f>
        <v>-441.836376</v>
      </c>
      <c s="29" r="P61">
        <f> (M61/N61)-1</f>
        <v>-0.170508928406039</v>
      </c>
      <c s="36" r="Q61">
        <f>SUMIF(Hunting!$C$2:$C$10073, $A61, Hunting!$S$2:$S$10073)</f>
        <v>-233.13135</v>
      </c>
      <c s="36" r="R61">
        <f>SUMIF(Crafting!$B$2:$B$10172, $A61, Crafting!$N$2:$N$10172)</f>
        <v>-60.3450260000001</v>
      </c>
      <c s="36" r="S61">
        <f>SUMIF(Mining!$B$2:$B$10072, $A61, Mining!$S$2:$S$10072)</f>
        <v>0</v>
      </c>
      <c s="22" r="T61">
        <f>SUMIF(Hunting!$C$2:$C$10073, $A61, Hunting!$AA$2:$AA$10073) + SUMIF(Crafting!$B$2:$B$10201, $A61, Crafting!$T$2:$T$10201)</f>
        <v>0</v>
      </c>
      <c s="22" r="U61">
        <f>SUMIF(Hunting!$C$2:$C$10073, $A61, Hunting!$AB$2:$AB$10073) + SUMIF(Crafting!$B$2:$B$10201, $A61, Crafting!$U$2:$U$10201)</f>
        <v>1</v>
      </c>
      <c s="22" r="V61">
        <f>SUMIF(Hunting!$C$2:$C$10073, $A61, Hunting!$AC$2:$AC$10073) + SUMIF(Crafting!$B$2:$B$10201, $A61, Crafting!$V$2:$V$10201)</f>
        <v>0</v>
      </c>
      <c s="22" r="W61">
        <f>SUMIF(Hunting!$C$2:$C$10073, $A61, Hunting!$AD$2:$AD$10073) + SUMIF(Crafting!$B$2:$B$10201, $A61, Crafting!$W$2:$W$10201)</f>
        <v>0</v>
      </c>
    </row>
    <row r="62">
      <c s="78" r="A62">
        <v>41618</v>
      </c>
      <c s="9" r="B62">
        <f>(SUMIF(Hunting!$C$2:$C$10073, $A62, Hunting!$E$2:$E$10073) + SUMIF(Crafting!$B$2:$B$10201, $A62, Crafting!$M$2:$M$10201)) + SUMIF(Mining!$B$2:$B$10023, $A62, Mining!$D$2:$D$10023)</f>
        <v>1200</v>
      </c>
      <c s="9" r="C62">
        <f>SUMIF(Hunting!$C$2:$C$10073, $A62, Hunting!$L$2:$L$10073) + SUMIF(Mining!$B$2:$B$10023, $A62, Mining!$J$2:$J$10023)</f>
        <v>386.94</v>
      </c>
      <c s="9" r="D62">
        <f>SUMIF(Hunting!$C$2:$C$10073, $A62, Hunting!$F$2:$F$10073)</f>
        <v>0</v>
      </c>
      <c s="9" r="E62">
        <f>SUMIF(Purchased!$A$2:$A$9982, $A62, Purchased!$D$2:$D$9982)-SUMIF(Purchased!$A$2:$A$9982, $A62, Purchased!$I$2:$I$9982)</f>
        <v>0</v>
      </c>
      <c s="9" r="F62">
        <f>SUMIF('Craft Mats'!$A$2:$A$10039, $A62, 'Craft Mats'!$F$2:$F$10039)</f>
        <v>0</v>
      </c>
      <c s="32" r="G62">
        <f>SUMIF(Hunting!$C$2:$C$10073, $A62, Hunting!$M$2:$M$10073) + SUMIF(Mining!$B$2:$B$10023, $A62, Mining!$K$2:$K$10023)</f>
        <v>136.3</v>
      </c>
      <c s="32" r="H62">
        <f>(SUMIF(Hunting!$C$2:$C$10073, $A62, Hunting!$N$2:$N$10073) + SUMIF(Crafting!$B$2:$B$10201, $A62, Crafting!$J$2:$J$10201)) + SUMIF(Mining!$B$2:$B$10023, $A62, Mining!$N$2:$N$10023)</f>
        <v>1160.65</v>
      </c>
      <c s="32" r="I62">
        <f>(SUMIF(Hunting!$C$2:$C$10073, $A62, Hunting!$O$2:$O$10073) + SUMIF(Crafting!$B$2:$B$10201, $A62, Crafting!$K$2:$K$10201)) + SUMIF(Mining!$B$2:$B$10023, $A62, Mining!$O$2:$O$10023)</f>
        <v>502.3547</v>
      </c>
      <c s="32" r="J62">
        <f>SUMIF(Hunting!$C$2:$C$10073, $A62, Hunting!$P$2:$P$10073)</f>
        <v>0</v>
      </c>
      <c s="32" r="K62">
        <v>0</v>
      </c>
      <c s="32" r="L62">
        <f>SUMIF(Purchased!$A$2:$A$9982, $A62, Purchased!$H$2:$H$9982)</f>
        <v>0</v>
      </c>
      <c s="14" r="M62">
        <f>(((H62+I62)+K62)+T62)+L62</f>
        <v>1663.0047</v>
      </c>
      <c s="14" r="N62">
        <f>((((B62+C62)+D62)+E62)-G62)+F62</f>
        <v>1450.64</v>
      </c>
      <c s="33" r="O62">
        <f>M62-N62</f>
        <v>212.3647</v>
      </c>
      <c s="29" r="P62">
        <f> (M62/N62)-1</f>
        <v>0.146393798599239</v>
      </c>
      <c s="36" r="Q62">
        <f>SUMIF(Hunting!$C$2:$C$10073, $A62, Hunting!$S$2:$S$10073)</f>
        <v>212.3647</v>
      </c>
      <c s="36" r="R62">
        <f>SUMIF(Crafting!$B$2:$B$10172, $A62, Crafting!$N$2:$N$10172)</f>
        <v>0</v>
      </c>
      <c s="36" r="S62">
        <f>SUMIF(Mining!$B$2:$B$10072, $A62, Mining!$S$2:$S$10072)</f>
        <v>0</v>
      </c>
      <c s="22" r="T62">
        <f>SUMIF(Hunting!$C$2:$C$10073, $A62, Hunting!$AA$2:$AA$10073) + SUMIF(Crafting!$B$2:$B$10201, $A62, Crafting!$T$2:$T$10201)</f>
        <v>0</v>
      </c>
      <c s="22" r="U62">
        <f>SUMIF(Hunting!$C$2:$C$10073, $A62, Hunting!$AB$2:$AB$10073) + SUMIF(Crafting!$B$2:$B$10201, $A62, Crafting!$U$2:$U$10201)</f>
        <v>0</v>
      </c>
      <c s="22" r="V62">
        <f>SUMIF(Hunting!$C$2:$C$10073, $A62, Hunting!$AC$2:$AC$10073) + SUMIF(Crafting!$B$2:$B$10201, $A62, Crafting!$V$2:$V$10201)</f>
        <v>5</v>
      </c>
      <c s="22" r="W62">
        <f>SUMIF(Hunting!$C$2:$C$10073, $A62, Hunting!$AD$2:$AD$10073) + SUMIF(Crafting!$B$2:$B$10201, $A62, Crafting!$W$2:$W$10201)</f>
        <v>0</v>
      </c>
    </row>
    <row r="63">
      <c s="78" r="A63">
        <v>41619</v>
      </c>
      <c s="9" r="B63">
        <f>(SUMIF(Hunting!$C$2:$C$10073, $A63, Hunting!$E$2:$E$10073) + SUMIF(Crafting!$B$2:$B$10201, $A63, Crafting!$M$2:$M$10201)) + SUMIF(Mining!$B$2:$B$10023, $A63, Mining!$D$2:$D$10023)</f>
        <v>3643.81</v>
      </c>
      <c s="9" r="C63">
        <f>SUMIF(Hunting!$C$2:$C$10073, $A63, Hunting!$L$2:$L$10073) + SUMIF(Mining!$B$2:$B$10023, $A63, Mining!$J$2:$J$10023)</f>
        <v>797.96</v>
      </c>
      <c s="9" r="D63">
        <f>SUMIF(Hunting!$C$2:$C$10073, $A63, Hunting!$F$2:$F$10073)</f>
        <v>0</v>
      </c>
      <c s="9" r="E63">
        <f>SUMIF(Purchased!$A$2:$A$9982, $A63, Purchased!$D$2:$D$9982)-SUMIF(Purchased!$A$2:$A$9982, $A63, Purchased!$I$2:$I$9982)</f>
        <v>0</v>
      </c>
      <c s="9" r="F63">
        <f>SUMIF('Craft Mats'!$A$2:$A$10039, $A63, 'Craft Mats'!$F$2:$F$10039)</f>
        <v>0</v>
      </c>
      <c s="32" r="G63">
        <f>SUMIF(Hunting!$C$2:$C$10073, $A63, Hunting!$M$2:$M$10073) + SUMIF(Mining!$B$2:$B$10023, $A63, Mining!$K$2:$K$10023)</f>
        <v>237.43</v>
      </c>
      <c s="32" r="H63">
        <f>(SUMIF(Hunting!$C$2:$C$10073, $A63, Hunting!$N$2:$N$10073) + SUMIF(Crafting!$B$2:$B$10201, $A63, Crafting!$J$2:$J$10201)) + SUMIF(Mining!$B$2:$B$10023, $A63, Mining!$N$2:$N$10023)</f>
        <v>3199.02</v>
      </c>
      <c s="32" r="I63">
        <f>(SUMIF(Hunting!$C$2:$C$10073, $A63, Hunting!$O$2:$O$10073) + SUMIF(Crafting!$B$2:$B$10201, $A63, Crafting!$K$2:$K$10201)) + SUMIF(Mining!$B$2:$B$10023, $A63, Mining!$O$2:$O$10023)</f>
        <v>702.25835</v>
      </c>
      <c s="32" r="J63">
        <f>SUMIF(Hunting!$C$2:$C$10073, $A63, Hunting!$P$2:$P$10073)</f>
        <v>0</v>
      </c>
      <c s="32" r="K63">
        <v>0</v>
      </c>
      <c s="32" r="L63">
        <f>SUMIF(Purchased!$A$2:$A$9982, $A63, Purchased!$H$2:$H$9982)</f>
        <v>0</v>
      </c>
      <c s="14" r="M63">
        <f>(((H63+I63)+K63)+T63)+L63</f>
        <v>3901.27835</v>
      </c>
      <c s="14" r="N63">
        <f>((((B63+C63)+D63)+E63)-G63)+F63</f>
        <v>4204.34</v>
      </c>
      <c s="33" r="O63">
        <f>M63-N63</f>
        <v>-303.06165</v>
      </c>
      <c s="29" r="P63">
        <f> (M63/N63)-1</f>
        <v>-0.07208304989606</v>
      </c>
      <c s="36" r="Q63">
        <f>SUMIF(Hunting!$C$2:$C$10073, $A63, Hunting!$S$2:$S$10073)</f>
        <v>-548.24183</v>
      </c>
      <c s="36" r="R63">
        <f>SUMIF(Crafting!$B$2:$B$10172, $A63, Crafting!$N$2:$N$10172)</f>
        <v>245.18018</v>
      </c>
      <c s="36" r="S63">
        <f>SUMIF(Mining!$B$2:$B$10072, $A63, Mining!$S$2:$S$10072)</f>
        <v>0</v>
      </c>
      <c s="22" r="T63">
        <f>SUMIF(Hunting!$C$2:$C$10073, $A63, Hunting!$AA$2:$AA$10073) + SUMIF(Crafting!$B$2:$B$10201, $A63, Crafting!$T$2:$T$10201)</f>
        <v>0</v>
      </c>
      <c s="22" r="U63">
        <f>SUMIF(Hunting!$C$2:$C$10073, $A63, Hunting!$AB$2:$AB$10073) + SUMIF(Crafting!$B$2:$B$10201, $A63, Crafting!$U$2:$U$10201)</f>
        <v>2</v>
      </c>
      <c s="22" r="V63">
        <f>SUMIF(Hunting!$C$2:$C$10073, $A63, Hunting!$AC$2:$AC$10073) + SUMIF(Crafting!$B$2:$B$10201, $A63, Crafting!$V$2:$V$10201)</f>
        <v>10</v>
      </c>
      <c s="22" r="W63">
        <f>SUMIF(Hunting!$C$2:$C$10073, $A63, Hunting!$AD$2:$AD$10073) + SUMIF(Crafting!$B$2:$B$10201, $A63, Crafting!$W$2:$W$10201)</f>
        <v>1</v>
      </c>
    </row>
    <row r="64">
      <c s="78" r="A64">
        <v>41620</v>
      </c>
      <c s="9" r="B64">
        <f>(SUMIF(Hunting!$C$2:$C$10073, $A64, Hunting!$E$2:$E$10073) + SUMIF(Crafting!$B$2:$B$10201, $A64, Crafting!$M$2:$M$10201)) + SUMIF(Mining!$B$2:$B$10023, $A64, Mining!$D$2:$D$10023)</f>
        <v>2868.52</v>
      </c>
      <c s="9" r="C64">
        <f>SUMIF(Hunting!$C$2:$C$10073, $A64, Hunting!$L$2:$L$10073) + SUMIF(Mining!$B$2:$B$10023, $A64, Mining!$J$2:$J$10023)</f>
        <v>556.22</v>
      </c>
      <c s="9" r="D64">
        <f>SUMIF(Hunting!$C$2:$C$10073, $A64, Hunting!$F$2:$F$10073)</f>
        <v>0</v>
      </c>
      <c s="9" r="E64">
        <f>SUMIF(Purchased!$A$2:$A$9982, $A64, Purchased!$D$2:$D$9982)-SUMIF(Purchased!$A$2:$A$9982, $A64, Purchased!$I$2:$I$9982)</f>
        <v>0</v>
      </c>
      <c s="9" r="F64">
        <f>SUMIF('Craft Mats'!$A$2:$A$10039, $A64, 'Craft Mats'!$F$2:$F$10039)</f>
        <v>0</v>
      </c>
      <c s="32" r="G64">
        <f>SUMIF(Hunting!$C$2:$C$10073, $A64, Hunting!$M$2:$M$10073) + SUMIF(Mining!$B$2:$B$10023, $A64, Mining!$K$2:$K$10023)</f>
        <v>161.74</v>
      </c>
      <c s="32" r="H64">
        <f>(SUMIF(Hunting!$C$2:$C$10073, $A64, Hunting!$N$2:$N$10073) + SUMIF(Crafting!$B$2:$B$10201, $A64, Crafting!$J$2:$J$10201)) + SUMIF(Mining!$B$2:$B$10023, $A64, Mining!$N$2:$N$10023)</f>
        <v>2180.82</v>
      </c>
      <c s="32" r="I64">
        <f>(SUMIF(Hunting!$C$2:$C$10073, $A64, Hunting!$O$2:$O$10073) + SUMIF(Crafting!$B$2:$B$10201, $A64, Crafting!$K$2:$K$10201)) + SUMIF(Mining!$B$2:$B$10023, $A64, Mining!$O$2:$O$10023)</f>
        <v>464.45772</v>
      </c>
      <c s="32" r="J64">
        <f>SUMIF(Hunting!$C$2:$C$10073, $A64, Hunting!$P$2:$P$10073)</f>
        <v>0</v>
      </c>
      <c s="32" r="K64">
        <v>0</v>
      </c>
      <c s="32" r="L64">
        <f>SUMIF(Purchased!$A$2:$A$9982, $A64, Purchased!$H$2:$H$9982)</f>
        <v>0</v>
      </c>
      <c s="14" r="M64">
        <f>(((H64+I64)+K64)+T64)+L64</f>
        <v>2645.27772</v>
      </c>
      <c s="14" r="N64">
        <f>((((B64+C64)+D64)+E64)-G64)+F64</f>
        <v>3263</v>
      </c>
      <c s="33" r="O64">
        <f>M64-N64</f>
        <v>-617.72228</v>
      </c>
      <c s="29" r="P64">
        <f> (M64/N64)-1</f>
        <v>-0.189311149249157</v>
      </c>
      <c s="36" r="Q64">
        <f>SUMIF(Hunting!$C$2:$C$10073, $A64, Hunting!$S$2:$S$10073)</f>
        <v>-548.53503</v>
      </c>
      <c s="36" r="R64">
        <f>SUMIF(Crafting!$B$2:$B$10172, $A64, Crafting!$N$2:$N$10172)</f>
        <v>-69.1872500000001</v>
      </c>
      <c s="36" r="S64">
        <f>SUMIF(Mining!$B$2:$B$10072, $A64, Mining!$S$2:$S$10072)</f>
        <v>0</v>
      </c>
      <c s="22" r="T64">
        <f>SUMIF(Hunting!$C$2:$C$10073, $A64, Hunting!$AA$2:$AA$10073) + SUMIF(Crafting!$B$2:$B$10201, $A64, Crafting!$T$2:$T$10201)</f>
        <v>0</v>
      </c>
      <c s="22" r="U64">
        <f>SUMIF(Hunting!$C$2:$C$10073, $A64, Hunting!$AB$2:$AB$10073) + SUMIF(Crafting!$B$2:$B$10201, $A64, Crafting!$U$2:$U$10201)</f>
        <v>2</v>
      </c>
      <c s="22" r="V64">
        <f>SUMIF(Hunting!$C$2:$C$10073, $A64, Hunting!$AC$2:$AC$10073) + SUMIF(Crafting!$B$2:$B$10201, $A64, Crafting!$V$2:$V$10201)</f>
        <v>7</v>
      </c>
      <c s="22" r="W64">
        <f>SUMIF(Hunting!$C$2:$C$10073, $A64, Hunting!$AD$2:$AD$10073) + SUMIF(Crafting!$B$2:$B$10201, $A64, Crafting!$W$2:$W$10201)</f>
        <v>0</v>
      </c>
    </row>
    <row r="65">
      <c s="78" r="A65">
        <v>41621</v>
      </c>
      <c s="9" r="B65">
        <f>(SUMIF(Hunting!$C$2:$C$10073, $A65, Hunting!$E$2:$E$10073) + SUMIF(Crafting!$B$2:$B$10201, $A65, Crafting!$M$2:$M$10201)) + SUMIF(Mining!$B$2:$B$10023, $A65, Mining!$D$2:$D$10023)</f>
        <v>2814.58</v>
      </c>
      <c s="9" r="C65">
        <f>SUMIF(Hunting!$C$2:$C$10073, $A65, Hunting!$L$2:$L$10073) + SUMIF(Mining!$B$2:$B$10023, $A65, Mining!$J$2:$J$10023)</f>
        <v>337.29</v>
      </c>
      <c s="9" r="D65">
        <f>SUMIF(Hunting!$C$2:$C$10073, $A65, Hunting!$F$2:$F$10073)</f>
        <v>0</v>
      </c>
      <c s="9" r="E65">
        <f>SUMIF(Purchased!$A$2:$A$9982, $A65, Purchased!$D$2:$D$9982)-SUMIF(Purchased!$A$2:$A$9982, $A65, Purchased!$I$2:$I$9982)</f>
        <v>0</v>
      </c>
      <c s="9" r="F65">
        <f>SUMIF('Craft Mats'!$A$2:$A$10039, $A65, 'Craft Mats'!$F$2:$F$10039)</f>
        <v>0</v>
      </c>
      <c s="32" r="G65">
        <f>SUMIF(Hunting!$C$2:$C$10073, $A65, Hunting!$M$2:$M$10073) + SUMIF(Mining!$B$2:$B$10023, $A65, Mining!$K$2:$K$10023)</f>
        <v>114.1</v>
      </c>
      <c s="32" r="H65">
        <f>(SUMIF(Hunting!$C$2:$C$10073, $A65, Hunting!$N$2:$N$10073) + SUMIF(Crafting!$B$2:$B$10201, $A65, Crafting!$J$2:$J$10201)) + SUMIF(Mining!$B$2:$B$10023, $A65, Mining!$N$2:$N$10023)</f>
        <v>1586.09</v>
      </c>
      <c s="32" r="I65">
        <f>(SUMIF(Hunting!$C$2:$C$10073, $A65, Hunting!$O$2:$O$10073) + SUMIF(Crafting!$B$2:$B$10201, $A65, Crafting!$K$2:$K$10201)) + SUMIF(Mining!$B$2:$B$10023, $A65, Mining!$O$2:$O$10023)</f>
        <v>1515.21352</v>
      </c>
      <c s="32" r="J65">
        <f>SUMIF(Hunting!$C$2:$C$10073, $A65, Hunting!$P$2:$P$10073)</f>
        <v>0</v>
      </c>
      <c s="32" r="K65">
        <v>0</v>
      </c>
      <c s="32" r="L65">
        <f>SUMIF(Purchased!$A$2:$A$9982, $A65, Purchased!$H$2:$H$9982)</f>
        <v>0</v>
      </c>
      <c s="14" r="M65">
        <f>(((H65+I65)+K65)+T65)+L65</f>
        <v>3101.30352</v>
      </c>
      <c s="14" r="N65">
        <f>((((B65+C65)+D65)+E65)-G65)+F65</f>
        <v>3037.77</v>
      </c>
      <c s="33" r="O65">
        <f>M65-N65</f>
        <v>63.5335200000004</v>
      </c>
      <c s="29" r="P65">
        <f> (M65/N65)-1</f>
        <v>0.020914526116197</v>
      </c>
      <c s="36" r="Q65">
        <f>SUMIF(Hunting!$C$2:$C$10073, $A65, Hunting!$S$2:$S$10073)</f>
        <v>-361.67923</v>
      </c>
      <c s="36" r="R65">
        <f>SUMIF(Crafting!$B$2:$B$10172, $A65, Crafting!$N$2:$N$10172)</f>
        <v>425.21275</v>
      </c>
      <c s="36" r="S65">
        <f>SUMIF(Mining!$B$2:$B$10072, $A65, Mining!$S$2:$S$10072)</f>
        <v>0</v>
      </c>
      <c s="22" r="T65">
        <f>SUMIF(Hunting!$C$2:$C$10073, $A65, Hunting!$AA$2:$AA$10073) + SUMIF(Crafting!$B$2:$B$10201, $A65, Crafting!$T$2:$T$10201)</f>
        <v>0</v>
      </c>
      <c s="22" r="U65">
        <f>SUMIF(Hunting!$C$2:$C$10073, $A65, Hunting!$AB$2:$AB$10073) + SUMIF(Crafting!$B$2:$B$10201, $A65, Crafting!$U$2:$U$10201)</f>
        <v>3</v>
      </c>
      <c s="22" r="V65">
        <f>SUMIF(Hunting!$C$2:$C$10073, $A65, Hunting!$AC$2:$AC$10073) + SUMIF(Crafting!$B$2:$B$10201, $A65, Crafting!$V$2:$V$10201)</f>
        <v>4</v>
      </c>
      <c s="22" r="W65">
        <f>SUMIF(Hunting!$C$2:$C$10073, $A65, Hunting!$AD$2:$AD$10073) + SUMIF(Crafting!$B$2:$B$10201, $A65, Crafting!$W$2:$W$10201)</f>
        <v>0</v>
      </c>
    </row>
    <row r="66">
      <c s="78" r="A66">
        <v>41622</v>
      </c>
      <c s="9" r="B66">
        <f>(SUMIF(Hunting!$C$2:$C$10073, $A66, Hunting!$E$2:$E$10073) + SUMIF(Crafting!$B$2:$B$10201, $A66, Crafting!$M$2:$M$10201)) + SUMIF(Mining!$B$2:$B$10023, $A66, Mining!$D$2:$D$10023)</f>
        <v>6616.35</v>
      </c>
      <c s="9" r="C66">
        <f>SUMIF(Hunting!$C$2:$C$10073, $A66, Hunting!$L$2:$L$10073) + SUMIF(Mining!$B$2:$B$10023, $A66, Mining!$J$2:$J$10023)</f>
        <v>1042.07</v>
      </c>
      <c s="9" r="D66">
        <f>SUMIF(Hunting!$C$2:$C$10073, $A66, Hunting!$F$2:$F$10073)</f>
        <v>0</v>
      </c>
      <c s="9" r="E66">
        <f>SUMIF(Purchased!$A$2:$A$9982, $A66, Purchased!$D$2:$D$9982)-SUMIF(Purchased!$A$2:$A$9982, $A66, Purchased!$I$2:$I$9982)</f>
        <v>95.2</v>
      </c>
      <c s="9" r="F66">
        <f>SUMIF('Craft Mats'!$A$2:$A$10039, $A66, 'Craft Mats'!$F$2:$F$10039)</f>
        <v>0</v>
      </c>
      <c s="32" r="G66">
        <f>SUMIF(Hunting!$C$2:$C$10073, $A66, Hunting!$M$2:$M$10073) + SUMIF(Mining!$B$2:$B$10023, $A66, Mining!$K$2:$K$10023)</f>
        <v>580.66</v>
      </c>
      <c s="32" r="H66">
        <f>(SUMIF(Hunting!$C$2:$C$10073, $A66, Hunting!$N$2:$N$10073) + SUMIF(Crafting!$B$2:$B$10201, $A66, Crafting!$J$2:$J$10201)) + SUMIF(Mining!$B$2:$B$10023, $A66, Mining!$N$2:$N$10023)</f>
        <v>3966.81</v>
      </c>
      <c s="32" r="I66">
        <f>(SUMIF(Hunting!$C$2:$C$10073, $A66, Hunting!$O$2:$O$10073) + SUMIF(Crafting!$B$2:$B$10201, $A66, Crafting!$K$2:$K$10201)) + SUMIF(Mining!$B$2:$B$10023, $A66, Mining!$O$2:$O$10023)</f>
        <v>1860.77652</v>
      </c>
      <c s="32" r="J66">
        <f>SUMIF(Hunting!$C$2:$C$10073, $A66, Hunting!$P$2:$P$10073)</f>
        <v>0</v>
      </c>
      <c s="32" r="K66">
        <v>0</v>
      </c>
      <c s="32" r="L66">
        <f>SUMIF(Purchased!$A$2:$A$9982, $A66, Purchased!$H$2:$H$9982)</f>
        <v>101</v>
      </c>
      <c s="14" r="M66">
        <f>(((H66+I66)+K66)+T66)+L66</f>
        <v>5928.58652</v>
      </c>
      <c s="14" r="N66">
        <f>((((B66+C66)+D66)+E66)-G66)+F66</f>
        <v>7172.96</v>
      </c>
      <c s="33" r="O66">
        <f>M66-N66</f>
        <v>-1244.37348</v>
      </c>
      <c s="29" r="P66">
        <f> (M66/N66)-1</f>
        <v>-0.173481168164886</v>
      </c>
      <c s="36" r="Q66">
        <f>SUMIF(Hunting!$C$2:$C$10073, $A66, Hunting!$S$2:$S$10073)</f>
        <v>-814.20823</v>
      </c>
      <c s="36" r="R66">
        <f>SUMIF(Crafting!$B$2:$B$10172, $A66, Crafting!$N$2:$N$10172)</f>
        <v>-435.96525</v>
      </c>
      <c s="36" r="S66">
        <f>SUMIF(Mining!$B$2:$B$10072, $A66, Mining!$S$2:$S$10072)</f>
        <v>0</v>
      </c>
      <c s="22" r="T66">
        <f>SUMIF(Hunting!$C$2:$C$10073, $A66, Hunting!$AA$2:$AA$10073) + SUMIF(Crafting!$B$2:$B$10201, $A66, Crafting!$T$2:$T$10201)</f>
        <v>0</v>
      </c>
      <c s="22" r="U66">
        <f>SUMIF(Hunting!$C$2:$C$10073, $A66, Hunting!$AB$2:$AB$10073) + SUMIF(Crafting!$B$2:$B$10201, $A66, Crafting!$U$2:$U$10201)</f>
        <v>2</v>
      </c>
      <c s="22" r="V66">
        <f>SUMIF(Hunting!$C$2:$C$10073, $A66, Hunting!$AC$2:$AC$10073) + SUMIF(Crafting!$B$2:$B$10201, $A66, Crafting!$V$2:$V$10201)</f>
        <v>9</v>
      </c>
      <c s="22" r="W66">
        <f>SUMIF(Hunting!$C$2:$C$10073, $A66, Hunting!$AD$2:$AD$10073) + SUMIF(Crafting!$B$2:$B$10201, $A66, Crafting!$W$2:$W$10201)</f>
        <v>0</v>
      </c>
    </row>
    <row r="67">
      <c s="78" r="A67">
        <v>41623</v>
      </c>
      <c s="9" r="B67">
        <f>(SUMIF(Hunting!$C$2:$C$10073, $A67, Hunting!$E$2:$E$10073) + SUMIF(Crafting!$B$2:$B$10201, $A67, Crafting!$M$2:$M$10201)) + SUMIF(Mining!$B$2:$B$10023, $A67, Mining!$D$2:$D$10023)</f>
        <v>8023.5</v>
      </c>
      <c s="9" r="C67">
        <f>SUMIF(Hunting!$C$2:$C$10073, $A67, Hunting!$L$2:$L$10073) + SUMIF(Mining!$B$2:$B$10023, $A67, Mining!$J$2:$J$10023)</f>
        <v>1810.69</v>
      </c>
      <c s="9" r="D67">
        <f>SUMIF(Hunting!$C$2:$C$10073, $A67, Hunting!$F$2:$F$10073)</f>
        <v>0</v>
      </c>
      <c s="9" r="E67">
        <f>SUMIF(Purchased!$A$2:$A$9982, $A67, Purchased!$D$2:$D$9982)-SUMIF(Purchased!$A$2:$A$9982, $A67, Purchased!$I$2:$I$9982)</f>
        <v>0</v>
      </c>
      <c s="9" r="F67">
        <f>SUMIF('Craft Mats'!$A$2:$A$10039, $A67, 'Craft Mats'!$F$2:$F$10039)</f>
        <v>0</v>
      </c>
      <c s="32" r="G67">
        <f>SUMIF(Hunting!$C$2:$C$10073, $A67, Hunting!$M$2:$M$10073) + SUMIF(Mining!$B$2:$B$10023, $A67, Mining!$K$2:$K$10023)</f>
        <v>1110.02</v>
      </c>
      <c s="32" r="H67">
        <f>(SUMIF(Hunting!$C$2:$C$10073, $A67, Hunting!$N$2:$N$10073) + SUMIF(Crafting!$B$2:$B$10201, $A67, Crafting!$J$2:$J$10201)) + SUMIF(Mining!$B$2:$B$10023, $A67, Mining!$N$2:$N$10023)</f>
        <v>7063.01</v>
      </c>
      <c s="32" r="I67">
        <f>(SUMIF(Hunting!$C$2:$C$10073, $A67, Hunting!$O$2:$O$10073) + SUMIF(Crafting!$B$2:$B$10201, $A67, Crafting!$K$2:$K$10201)) + SUMIF(Mining!$B$2:$B$10023, $A67, Mining!$O$2:$O$10023)</f>
        <v>950.64185</v>
      </c>
      <c s="32" r="J67">
        <f>SUMIF(Hunting!$C$2:$C$10073, $A67, Hunting!$P$2:$P$10073)</f>
        <v>0</v>
      </c>
      <c s="32" r="K67">
        <v>0</v>
      </c>
      <c s="32" r="L67">
        <f>SUMIF(Purchased!$A$2:$A$9982, $A67, Purchased!$H$2:$H$9982)</f>
        <v>3.45</v>
      </c>
      <c s="14" r="M67">
        <f>(((H67+I67)+K67)+T67)+L67</f>
        <v>8017.10185</v>
      </c>
      <c s="14" r="N67">
        <f>((((B67+C67)+D67)+E67)-G67)+F67</f>
        <v>8724.17</v>
      </c>
      <c s="33" r="O67">
        <f>M67-N67</f>
        <v>-707.06815</v>
      </c>
      <c s="29" r="P67">
        <f> (M67/N67)-1</f>
        <v>-0.081047039431831</v>
      </c>
      <c s="36" r="Q67">
        <f>SUMIF(Hunting!$C$2:$C$10073, $A67, Hunting!$S$2:$S$10073)</f>
        <v>-817.01815</v>
      </c>
      <c s="36" r="R67">
        <f>SUMIF(Crafting!$B$2:$B$10172, $A67, Crafting!$N$2:$N$10172)</f>
        <v>106.5</v>
      </c>
      <c s="36" r="S67">
        <f>SUMIF(Mining!$B$2:$B$10072, $A67, Mining!$S$2:$S$10072)</f>
        <v>0</v>
      </c>
      <c s="22" r="T67">
        <f>SUMIF(Hunting!$C$2:$C$10073, $A67, Hunting!$AA$2:$AA$10073) + SUMIF(Crafting!$B$2:$B$10201, $A67, Crafting!$T$2:$T$10201)</f>
        <v>0</v>
      </c>
      <c s="22" r="U67">
        <f>SUMIF(Hunting!$C$2:$C$10073, $A67, Hunting!$AB$2:$AB$10073) + SUMIF(Crafting!$B$2:$B$10201, $A67, Crafting!$U$2:$U$10201)</f>
        <v>2</v>
      </c>
      <c s="22" r="V67">
        <f>SUMIF(Hunting!$C$2:$C$10073, $A67, Hunting!$AC$2:$AC$10073) + SUMIF(Crafting!$B$2:$B$10201, $A67, Crafting!$V$2:$V$10201)</f>
        <v>24</v>
      </c>
      <c s="22" r="W67">
        <f>SUMIF(Hunting!$C$2:$C$10073, $A67, Hunting!$AD$2:$AD$10073) + SUMIF(Crafting!$B$2:$B$10201, $A67, Crafting!$W$2:$W$10201)</f>
        <v>0</v>
      </c>
    </row>
    <row r="68">
      <c s="78" r="A68">
        <v>41624</v>
      </c>
      <c s="9" r="B68">
        <f>(SUMIF(Hunting!$C$2:$C$10073, $A68, Hunting!$E$2:$E$10073) + SUMIF(Crafting!$B$2:$B$10201, $A68, Crafting!$M$2:$M$10201)) + SUMIF(Mining!$B$2:$B$10023, $A68, Mining!$D$2:$D$10023)</f>
        <v>5636.76</v>
      </c>
      <c s="9" r="C68">
        <f>SUMIF(Hunting!$C$2:$C$10073, $A68, Hunting!$L$2:$L$10073) + SUMIF(Mining!$B$2:$B$10023, $A68, Mining!$J$2:$J$10023)</f>
        <v>361.08</v>
      </c>
      <c s="9" r="D68">
        <f>SUMIF(Hunting!$C$2:$C$10073, $A68, Hunting!$F$2:$F$10073)</f>
        <v>0</v>
      </c>
      <c s="9" r="E68">
        <f>SUMIF(Purchased!$A$2:$A$9982, $A68, Purchased!$D$2:$D$9982)-SUMIF(Purchased!$A$2:$A$9982, $A68, Purchased!$I$2:$I$9982)</f>
        <v>0</v>
      </c>
      <c s="9" r="F68">
        <f>SUMIF('Craft Mats'!$A$2:$A$10039, $A68, 'Craft Mats'!$F$2:$F$10039)</f>
        <v>0</v>
      </c>
      <c s="32" r="G68">
        <f>SUMIF(Hunting!$C$2:$C$10073, $A68, Hunting!$M$2:$M$10073) + SUMIF(Mining!$B$2:$B$10023, $A68, Mining!$K$2:$K$10023)</f>
        <v>66.46</v>
      </c>
      <c s="32" r="H68">
        <f>(SUMIF(Hunting!$C$2:$C$10073, $A68, Hunting!$N$2:$N$10073) + SUMIF(Crafting!$B$2:$B$10201, $A68, Crafting!$J$2:$J$10201)) + SUMIF(Mining!$B$2:$B$10023, $A68, Mining!$N$2:$N$10023)</f>
        <v>3377.16</v>
      </c>
      <c s="32" r="I68">
        <f>(SUMIF(Hunting!$C$2:$C$10073, $A68, Hunting!$O$2:$O$10073) + SUMIF(Crafting!$B$2:$B$10201, $A68, Crafting!$K$2:$K$10201)) + SUMIF(Mining!$B$2:$B$10023, $A68, Mining!$O$2:$O$10023)</f>
        <v>1604.01652</v>
      </c>
      <c s="32" r="J68">
        <f>SUMIF(Hunting!$C$2:$C$10073, $A68, Hunting!$P$2:$P$10073)</f>
        <v>0</v>
      </c>
      <c s="32" r="K68">
        <v>0</v>
      </c>
      <c s="32" r="L68">
        <f>SUMIF(Purchased!$A$2:$A$9982, $A68, Purchased!$H$2:$H$9982)</f>
        <v>0</v>
      </c>
      <c s="14" r="M68">
        <f>(((H68+I68)+K68)+T68)+L68</f>
        <v>4981.17652</v>
      </c>
      <c s="14" r="N68">
        <f>((((B68+C68)+D68)+E68)-G68)+F68</f>
        <v>5931.38</v>
      </c>
      <c s="33" r="O68">
        <f>M68-N68</f>
        <v>-950.203479999999</v>
      </c>
      <c s="29" r="P68">
        <f> (M68/N68)-1</f>
        <v>-0.160199393732993</v>
      </c>
      <c s="36" r="Q68">
        <f>SUMIF(Hunting!$C$2:$C$10073, $A68, Hunting!$S$2:$S$10073)</f>
        <v>-273.45523</v>
      </c>
      <c s="36" r="R68">
        <f>SUMIF(Crafting!$B$2:$B$10172, $A68, Crafting!$N$2:$N$10172)</f>
        <v>-676.74825</v>
      </c>
      <c s="36" r="S68">
        <f>SUMIF(Mining!$B$2:$B$10072, $A68, Mining!$S$2:$S$10072)</f>
        <v>0</v>
      </c>
      <c s="22" r="T68">
        <f>SUMIF(Hunting!$C$2:$C$10073, $A68, Hunting!$AA$2:$AA$10073) + SUMIF(Crafting!$B$2:$B$10201, $A68, Crafting!$T$2:$T$10201)</f>
        <v>0</v>
      </c>
      <c s="22" r="U68">
        <f>SUMIF(Hunting!$C$2:$C$10073, $A68, Hunting!$AB$2:$AB$10073) + SUMIF(Crafting!$B$2:$B$10201, $A68, Crafting!$U$2:$U$10201)</f>
        <v>0</v>
      </c>
      <c s="22" r="V68">
        <f>SUMIF(Hunting!$C$2:$C$10073, $A68, Hunting!$AC$2:$AC$10073) + SUMIF(Crafting!$B$2:$B$10201, $A68, Crafting!$V$2:$V$10201)</f>
        <v>5</v>
      </c>
      <c s="22" r="W68">
        <f>SUMIF(Hunting!$C$2:$C$10073, $A68, Hunting!$AD$2:$AD$10073) + SUMIF(Crafting!$B$2:$B$10201, $A68, Crafting!$W$2:$W$10201)</f>
        <v>0</v>
      </c>
    </row>
    <row r="69">
      <c s="78" r="A69">
        <v>41625</v>
      </c>
      <c s="9" r="B69">
        <f>(SUMIF(Hunting!$C$2:$C$10073, $A69, Hunting!$E$2:$E$10073) + SUMIF(Crafting!$B$2:$B$10201, $A69, Crafting!$M$2:$M$10201)) + SUMIF(Mining!$B$2:$B$10023, $A69, Mining!$D$2:$D$10023)</f>
        <v>3422.07</v>
      </c>
      <c s="9" r="C69">
        <f>SUMIF(Hunting!$C$2:$C$10073, $A69, Hunting!$L$2:$L$10073) + SUMIF(Mining!$B$2:$B$10023, $A69, Mining!$J$2:$J$10023)</f>
        <v>816.24</v>
      </c>
      <c s="9" r="D69">
        <f>SUMIF(Hunting!$C$2:$C$10073, $A69, Hunting!$F$2:$F$10073)</f>
        <v>0</v>
      </c>
      <c s="9" r="E69">
        <f>SUMIF(Purchased!$A$2:$A$9982, $A69, Purchased!$D$2:$D$9982)-SUMIF(Purchased!$A$2:$A$9982, $A69, Purchased!$I$2:$I$9982)</f>
        <v>0</v>
      </c>
      <c s="9" r="F69">
        <f>SUMIF('Craft Mats'!$A$2:$A$10039, $A69, 'Craft Mats'!$F$2:$F$10039)</f>
        <v>0</v>
      </c>
      <c s="32" r="G69">
        <f>SUMIF(Hunting!$C$2:$C$10073, $A69, Hunting!$M$2:$M$10073) + SUMIF(Mining!$B$2:$B$10023, $A69, Mining!$K$2:$K$10023)</f>
        <v>438.34</v>
      </c>
      <c s="32" r="H69">
        <f>(SUMIF(Hunting!$C$2:$C$10073, $A69, Hunting!$N$2:$N$10073) + SUMIF(Crafting!$B$2:$B$10201, $A69, Crafting!$J$2:$J$10201)) + SUMIF(Mining!$B$2:$B$10023, $A69, Mining!$N$2:$N$10023)</f>
        <v>2846.23</v>
      </c>
      <c s="32" r="I69">
        <f>(SUMIF(Hunting!$C$2:$C$10073, $A69, Hunting!$O$2:$O$10073) + SUMIF(Crafting!$B$2:$B$10201, $A69, Crafting!$K$2:$K$10201)) + SUMIF(Mining!$B$2:$B$10023, $A69, Mining!$O$2:$O$10023)</f>
        <v>183.10354</v>
      </c>
      <c s="32" r="J69">
        <f>SUMIF(Hunting!$C$2:$C$10073, $A69, Hunting!$P$2:$P$10073)</f>
        <v>616.875</v>
      </c>
      <c s="32" r="K69">
        <v>616.88</v>
      </c>
      <c s="32" r="L69">
        <f>SUMIF(Purchased!$A$2:$A$9982, $A69, Purchased!$H$2:$H$9982)</f>
        <v>0</v>
      </c>
      <c s="14" r="M69">
        <f>(((H69+I69)+K69)+T69)+L69</f>
        <v>3646.21354</v>
      </c>
      <c s="14" r="N69">
        <f>((((B69+C69)+D69)+E69)-G69)+F69</f>
        <v>3799.97</v>
      </c>
      <c s="33" r="O69">
        <f>M69-N69</f>
        <v>-153.756460000001</v>
      </c>
      <c s="29" r="P69">
        <f> (M69/N69)-1</f>
        <v>-0.04046254575694</v>
      </c>
      <c s="36" r="Q69">
        <f>SUMIF(Hunting!$C$2:$C$10073, $A69, Hunting!$S$2:$S$10073)</f>
        <v>-65.8114600000002</v>
      </c>
      <c s="36" r="R69">
        <f>SUMIF(Crafting!$B$2:$B$10172, $A69, Crafting!$N$2:$N$10172)</f>
        <v>-87.95</v>
      </c>
      <c s="36" r="S69">
        <f>SUMIF(Mining!$B$2:$B$10072, $A69, Mining!$S$2:$S$10072)</f>
        <v>0</v>
      </c>
      <c s="22" r="T69">
        <f>SUMIF(Hunting!$C$2:$C$10073, $A69, Hunting!$AA$2:$AA$10073) + SUMIF(Crafting!$B$2:$B$10201, $A69, Crafting!$T$2:$T$10201)</f>
        <v>0</v>
      </c>
      <c s="22" r="U69">
        <f>SUMIF(Hunting!$C$2:$C$10073, $A69, Hunting!$AB$2:$AB$10073) + SUMIF(Crafting!$B$2:$B$10201, $A69, Crafting!$U$2:$U$10201)</f>
        <v>0</v>
      </c>
      <c s="22" r="V69">
        <f>SUMIF(Hunting!$C$2:$C$10073, $A69, Hunting!$AC$2:$AC$10073) + SUMIF(Crafting!$B$2:$B$10201, $A69, Crafting!$V$2:$V$10201)</f>
        <v>8</v>
      </c>
      <c s="22" r="W69">
        <f>SUMIF(Hunting!$C$2:$C$10073, $A69, Hunting!$AD$2:$AD$10073) + SUMIF(Crafting!$B$2:$B$10201, $A69, Crafting!$W$2:$W$10201)</f>
        <v>0</v>
      </c>
    </row>
    <row r="70">
      <c s="78" r="A70">
        <v>41626</v>
      </c>
      <c s="9" r="B70">
        <f>(SUMIF(Hunting!$C$2:$C$10073, $A70, Hunting!$E$2:$E$10073) + SUMIF(Crafting!$B$2:$B$10201, $A70, Crafting!$M$2:$M$10201)) + SUMIF(Mining!$B$2:$B$10023, $A70, Mining!$D$2:$D$10023)</f>
        <v>10226.03</v>
      </c>
      <c s="9" r="C70">
        <f>SUMIF(Hunting!$C$2:$C$10073, $A70, Hunting!$L$2:$L$10073) + SUMIF(Mining!$B$2:$B$10023, $A70, Mining!$J$2:$J$10023)</f>
        <v>491.81</v>
      </c>
      <c s="9" r="D70">
        <f>SUMIF(Hunting!$C$2:$C$10073, $A70, Hunting!$F$2:$F$10073)</f>
        <v>0</v>
      </c>
      <c s="9" r="E70">
        <f>SUMIF(Purchased!$A$2:$A$9982, $A70, Purchased!$D$2:$D$9982)-SUMIF(Purchased!$A$2:$A$9982, $A70, Purchased!$I$2:$I$9982)</f>
        <v>0</v>
      </c>
      <c s="9" r="F70">
        <f>SUMIF('Craft Mats'!$A$2:$A$10039, $A70, 'Craft Mats'!$F$2:$F$10039)</f>
        <v>0</v>
      </c>
      <c s="32" r="G70">
        <f>SUMIF(Hunting!$C$2:$C$10073, $A70, Hunting!$M$2:$M$10073) + SUMIF(Mining!$B$2:$B$10023, $A70, Mining!$K$2:$K$10023)</f>
        <v>771.33</v>
      </c>
      <c s="32" r="H70">
        <f>(SUMIF(Hunting!$C$2:$C$10073, $A70, Hunting!$N$2:$N$10073) + SUMIF(Crafting!$B$2:$B$10201, $A70, Crafting!$J$2:$J$10201)) + SUMIF(Mining!$B$2:$B$10023, $A70, Mining!$N$2:$N$10023)</f>
        <v>5598.23</v>
      </c>
      <c s="32" r="I70">
        <f>(SUMIF(Hunting!$C$2:$C$10073, $A70, Hunting!$O$2:$O$10073) + SUMIF(Crafting!$B$2:$B$10201, $A70, Crafting!$K$2:$K$10201)) + SUMIF(Mining!$B$2:$B$10023, $A70, Mining!$O$2:$O$10023)</f>
        <v>6718.5778</v>
      </c>
      <c s="32" r="J70">
        <f>SUMIF(Hunting!$C$2:$C$10073, $A70, Hunting!$P$2:$P$10073)</f>
        <v>0</v>
      </c>
      <c s="32" r="K70">
        <v>0</v>
      </c>
      <c s="32" r="L70">
        <f>SUMIF(Purchased!$A$2:$A$9982, $A70, Purchased!$H$2:$H$9982)</f>
        <v>0</v>
      </c>
      <c s="14" r="M70">
        <f>(((H70+I70)+K70)+T70)+L70</f>
        <v>12309.8078</v>
      </c>
      <c s="14" r="N70">
        <f>((((B70+C70)+D70)+E70)-G70)+F70</f>
        <v>9946.51</v>
      </c>
      <c s="33" r="O70">
        <f>M70-N70</f>
        <v>2363.2978</v>
      </c>
      <c s="29" r="P70">
        <f> (M70/N70)-1</f>
        <v>0.237600706177343</v>
      </c>
      <c s="36" r="Q70">
        <f>SUMIF(Hunting!$C$2:$C$10073, $A70, Hunting!$S$2:$S$10073)</f>
        <v>396.89</v>
      </c>
      <c s="36" r="R70">
        <f>SUMIF(Crafting!$B$2:$B$10172, $A70, Crafting!$N$2:$N$10172)</f>
        <v>1973.4078</v>
      </c>
      <c s="36" r="S70">
        <f>SUMIF(Mining!$B$2:$B$10072, $A70, Mining!$S$2:$S$10072)</f>
        <v>0</v>
      </c>
      <c s="22" r="T70">
        <f>SUMIF(Hunting!$C$2:$C$10073, $A70, Hunting!$AA$2:$AA$10073) + SUMIF(Crafting!$B$2:$B$10201, $A70, Crafting!$T$2:$T$10201)</f>
        <v>-7</v>
      </c>
      <c s="22" r="U70">
        <f>SUMIF(Hunting!$C$2:$C$10073, $A70, Hunting!$AB$2:$AB$10073) + SUMIF(Crafting!$B$2:$B$10201, $A70, Crafting!$U$2:$U$10201)</f>
        <v>2</v>
      </c>
      <c s="22" r="V70">
        <f>SUMIF(Hunting!$C$2:$C$10073, $A70, Hunting!$AC$2:$AC$10073) + SUMIF(Crafting!$B$2:$B$10201, $A70, Crafting!$V$2:$V$10201)</f>
        <v>9</v>
      </c>
      <c s="22" r="W70">
        <f>SUMIF(Hunting!$C$2:$C$10073, $A70, Hunting!$AD$2:$AD$10073) + SUMIF(Crafting!$B$2:$B$10201, $A70, Crafting!$W$2:$W$10201)</f>
        <v>1</v>
      </c>
    </row>
    <row r="71">
      <c s="78" r="A71">
        <v>41627</v>
      </c>
      <c s="9" r="B71">
        <f>(SUMIF(Hunting!$C$2:$C$10073, $A71, Hunting!$E$2:$E$10073) + SUMIF(Crafting!$B$2:$B$10201, $A71, Crafting!$M$2:$M$10201)) + SUMIF(Mining!$B$2:$B$10023, $A71, Mining!$D$2:$D$10023)</f>
        <v>4259.56</v>
      </c>
      <c s="9" r="C71">
        <f>SUMIF(Hunting!$C$2:$C$10073, $A71, Hunting!$L$2:$L$10073) + SUMIF(Mining!$B$2:$B$10023, $A71, Mining!$J$2:$J$10023)</f>
        <v>390.01</v>
      </c>
      <c s="9" r="D71">
        <f>SUMIF(Hunting!$C$2:$C$10073, $A71, Hunting!$F$2:$F$10073)</f>
        <v>0</v>
      </c>
      <c s="9" r="E71">
        <f>SUMIF(Purchased!$A$2:$A$9982, $A71, Purchased!$D$2:$D$9982)-SUMIF(Purchased!$A$2:$A$9982, $A71, Purchased!$I$2:$I$9982)</f>
        <v>300</v>
      </c>
      <c s="9" r="F71">
        <f>SUMIF('Craft Mats'!$A$2:$A$10039, $A71, 'Craft Mats'!$F$2:$F$10039)</f>
        <v>0</v>
      </c>
      <c s="32" r="G71">
        <f>SUMIF(Hunting!$C$2:$C$10073, $A71, Hunting!$M$2:$M$10073) + SUMIF(Mining!$B$2:$B$10023, $A71, Mining!$K$2:$K$10023)</f>
        <v>444.68</v>
      </c>
      <c s="32" r="H71">
        <f>(SUMIF(Hunting!$C$2:$C$10073, $A71, Hunting!$N$2:$N$10073) + SUMIF(Crafting!$B$2:$B$10201, $A71, Crafting!$J$2:$J$10201)) + SUMIF(Mining!$B$2:$B$10023, $A71, Mining!$N$2:$N$10023)</f>
        <v>1126.57</v>
      </c>
      <c s="32" r="I71">
        <f>(SUMIF(Hunting!$C$2:$C$10073, $A71, Hunting!$O$2:$O$10073) + SUMIF(Crafting!$B$2:$B$10201, $A71, Crafting!$K$2:$K$10201)) + SUMIF(Mining!$B$2:$B$10023, $A71, Mining!$O$2:$O$10023)</f>
        <v>3067.64125</v>
      </c>
      <c s="32" r="J71">
        <f>SUMIF(Hunting!$C$2:$C$10073, $A71, Hunting!$P$2:$P$10073)</f>
        <v>19.662</v>
      </c>
      <c s="32" r="K71">
        <v>19.66</v>
      </c>
      <c s="32" r="L71">
        <f>SUMIF(Purchased!$A$2:$A$9982, $A71, Purchased!$H$2:$H$9982)</f>
        <v>347</v>
      </c>
      <c s="14" r="M71">
        <f>(((H71+I71)+K71)+T71)+L71</f>
        <v>4560.87125</v>
      </c>
      <c s="14" r="N71">
        <f>((((B71+C71)+D71)+E71)-G71)+F71</f>
        <v>4504.89</v>
      </c>
      <c s="33" r="O71">
        <f>M71-N71</f>
        <v>55.9812499999998</v>
      </c>
      <c s="29" r="P71">
        <f> (M71/N71)-1</f>
        <v>0.01242677401668</v>
      </c>
      <c s="36" r="Q71">
        <f>SUMIF(Hunting!$C$2:$C$10073, $A71, Hunting!$S$2:$S$10073)</f>
        <v>30.612</v>
      </c>
      <c s="36" r="R71">
        <f>SUMIF(Crafting!$B$2:$B$10172, $A71, Crafting!$N$2:$N$10172)</f>
        <v>-21.6287499999999</v>
      </c>
      <c s="36" r="S71">
        <f>SUMIF(Mining!$B$2:$B$10072, $A71, Mining!$S$2:$S$10072)</f>
        <v>0</v>
      </c>
      <c s="22" r="T71">
        <f>SUMIF(Hunting!$C$2:$C$10073, $A71, Hunting!$AA$2:$AA$10073) + SUMIF(Crafting!$B$2:$B$10201, $A71, Crafting!$T$2:$T$10201)</f>
        <v>0</v>
      </c>
      <c s="22" r="U71">
        <f>SUMIF(Hunting!$C$2:$C$10073, $A71, Hunting!$AB$2:$AB$10073) + SUMIF(Crafting!$B$2:$B$10201, $A71, Crafting!$U$2:$U$10201)</f>
        <v>1</v>
      </c>
      <c s="22" r="V71">
        <f>SUMIF(Hunting!$C$2:$C$10073, $A71, Hunting!$AC$2:$AC$10073) + SUMIF(Crafting!$B$2:$B$10201, $A71, Crafting!$V$2:$V$10201)</f>
        <v>4</v>
      </c>
      <c s="22" r="W71">
        <f>SUMIF(Hunting!$C$2:$C$10073, $A71, Hunting!$AD$2:$AD$10073) + SUMIF(Crafting!$B$2:$B$10201, $A71, Crafting!$W$2:$W$10201)</f>
        <v>0</v>
      </c>
    </row>
    <row r="72">
      <c s="78" r="A72">
        <v>41628</v>
      </c>
      <c s="9" r="B72">
        <f>(SUMIF(Hunting!$C$2:$C$10073, $A72, Hunting!$E$2:$E$10073) + SUMIF(Crafting!$B$2:$B$10201, $A72, Crafting!$M$2:$M$10201)) + SUMIF(Mining!$B$2:$B$10023, $A72, Mining!$D$2:$D$10023)</f>
        <v>7391.96</v>
      </c>
      <c s="9" r="C72">
        <f>SUMIF(Hunting!$C$2:$C$10073, $A72, Hunting!$L$2:$L$10073) + SUMIF(Mining!$B$2:$B$10023, $A72, Mining!$J$2:$J$10023)</f>
        <v>402.43</v>
      </c>
      <c s="9" r="D72">
        <f>SUMIF(Hunting!$C$2:$C$10073, $A72, Hunting!$F$2:$F$10073)</f>
        <v>0</v>
      </c>
      <c s="9" r="E72">
        <f>SUMIF(Purchased!$A$2:$A$9982, $A72, Purchased!$D$2:$D$9982)-SUMIF(Purchased!$A$2:$A$9982, $A72, Purchased!$I$2:$I$9982)</f>
        <v>0</v>
      </c>
      <c s="9" r="F72">
        <f>SUMIF('Craft Mats'!$A$2:$A$10039, $A72, 'Craft Mats'!$F$2:$F$10039)</f>
        <v>0</v>
      </c>
      <c s="32" r="G72">
        <f>SUMIF(Hunting!$C$2:$C$10073, $A72, Hunting!$M$2:$M$10073) + SUMIF(Mining!$B$2:$B$10023, $A72, Mining!$K$2:$K$10023)</f>
        <v>923.54</v>
      </c>
      <c s="32" r="H72">
        <f>(SUMIF(Hunting!$C$2:$C$10073, $A72, Hunting!$N$2:$N$10073) + SUMIF(Crafting!$B$2:$B$10201, $A72, Crafting!$J$2:$J$10201)) + SUMIF(Mining!$B$2:$B$10023, $A72, Mining!$N$2:$N$10023)</f>
        <v>3968.74</v>
      </c>
      <c s="32" r="I72">
        <f>(SUMIF(Hunting!$C$2:$C$10073, $A72, Hunting!$O$2:$O$10073) + SUMIF(Crafting!$B$2:$B$10201, $A72, Crafting!$K$2:$K$10201)) + SUMIF(Mining!$B$2:$B$10023, $A72, Mining!$O$2:$O$10023)</f>
        <v>2183.355</v>
      </c>
      <c s="32" r="J72">
        <f>SUMIF(Hunting!$C$2:$C$10073, $A72, Hunting!$P$2:$P$10073)</f>
        <v>0</v>
      </c>
      <c s="32" r="K72">
        <v>0</v>
      </c>
      <c s="32" r="L72">
        <f>SUMIF(Purchased!$A$2:$A$9982, $A72, Purchased!$H$2:$H$9982)</f>
        <v>0</v>
      </c>
      <c s="14" r="M72">
        <f>(((H72+I72)+K72)+T72)+L72</f>
        <v>6152.095</v>
      </c>
      <c s="14" r="N72">
        <f>((((B72+C72)+D72)+E72)-G72)+F72</f>
        <v>6870.85</v>
      </c>
      <c s="33" r="O72">
        <f>M72-N72</f>
        <v>-718.755000000001</v>
      </c>
      <c s="29" r="P72">
        <f> (M72/N72)-1</f>
        <v>-0.104609327812425</v>
      </c>
      <c s="36" r="Q72">
        <f>SUMIF(Hunting!$C$2:$C$10073, $A72, Hunting!$S$2:$S$10073)</f>
        <v>-582.7448</v>
      </c>
      <c s="36" r="R72">
        <f>SUMIF(Crafting!$B$2:$B$10172, $A72, Crafting!$N$2:$N$10172)</f>
        <v>-136.0102</v>
      </c>
      <c s="36" r="S72">
        <f>SUMIF(Mining!$B$2:$B$10072, $A72, Mining!$S$2:$S$10072)</f>
        <v>0</v>
      </c>
      <c s="22" r="T72">
        <f>SUMIF(Hunting!$C$2:$C$10073, $A72, Hunting!$AA$2:$AA$10073) + SUMIF(Crafting!$B$2:$B$10201, $A72, Crafting!$T$2:$T$10201)</f>
        <v>0</v>
      </c>
      <c s="22" r="U72">
        <f>SUMIF(Hunting!$C$2:$C$10073, $A72, Hunting!$AB$2:$AB$10073) + SUMIF(Crafting!$B$2:$B$10201, $A72, Crafting!$U$2:$U$10201)</f>
        <v>2</v>
      </c>
      <c s="22" r="V72">
        <f>SUMIF(Hunting!$C$2:$C$10073, $A72, Hunting!$AC$2:$AC$10073) + SUMIF(Crafting!$B$2:$B$10201, $A72, Crafting!$V$2:$V$10201)</f>
        <v>9</v>
      </c>
      <c s="22" r="W72">
        <f>SUMIF(Hunting!$C$2:$C$10073, $A72, Hunting!$AD$2:$AD$10073) + SUMIF(Crafting!$B$2:$B$10201, $A72, Crafting!$W$2:$W$10201)</f>
        <v>0</v>
      </c>
    </row>
    <row r="73">
      <c s="78" r="A73">
        <v>41629</v>
      </c>
      <c s="9" r="B73">
        <f>(SUMIF(Hunting!$C$2:$C$10073, $A73, Hunting!$E$2:$E$10073) + SUMIF(Crafting!$B$2:$B$10201, $A73, Crafting!$M$2:$M$10201)) + SUMIF(Mining!$B$2:$B$10023, $A73, Mining!$D$2:$D$10023)</f>
        <v>7639.5</v>
      </c>
      <c s="9" r="C73">
        <f>SUMIF(Hunting!$C$2:$C$10073, $A73, Hunting!$L$2:$L$10073) + SUMIF(Mining!$B$2:$B$10023, $A73, Mining!$J$2:$J$10023)</f>
        <v>1999.49</v>
      </c>
      <c s="9" r="D73">
        <f>SUMIF(Hunting!$C$2:$C$10073, $A73, Hunting!$F$2:$F$10073)</f>
        <v>0</v>
      </c>
      <c s="9" r="E73">
        <f>SUMIF(Purchased!$A$2:$A$9982, $A73, Purchased!$D$2:$D$9982)-SUMIF(Purchased!$A$2:$A$9982, $A73, Purchased!$I$2:$I$9982)</f>
        <v>0</v>
      </c>
      <c s="9" r="F73">
        <f>SUMIF('Craft Mats'!$A$2:$A$10039, $A73, 'Craft Mats'!$F$2:$F$10039)</f>
        <v>0</v>
      </c>
      <c s="32" r="G73">
        <f>SUMIF(Hunting!$C$2:$C$10073, $A73, Hunting!$M$2:$M$10073) + SUMIF(Mining!$B$2:$B$10023, $A73, Mining!$K$2:$K$10023)</f>
        <v>560.9</v>
      </c>
      <c s="32" r="H73">
        <f>(SUMIF(Hunting!$C$2:$C$10073, $A73, Hunting!$N$2:$N$10073) + SUMIF(Crafting!$B$2:$B$10201, $A73, Crafting!$J$2:$J$10201)) + SUMIF(Mining!$B$2:$B$10023, $A73, Mining!$N$2:$N$10023)</f>
        <v>7393.08</v>
      </c>
      <c s="32" r="I73">
        <f>(SUMIF(Hunting!$C$2:$C$10073, $A73, Hunting!$O$2:$O$10073) + SUMIF(Crafting!$B$2:$B$10201, $A73, Crafting!$K$2:$K$10201)) + SUMIF(Mining!$B$2:$B$10023, $A73, Mining!$O$2:$O$10023)</f>
        <v>867.7047</v>
      </c>
      <c s="32" r="J73">
        <f>SUMIF(Hunting!$C$2:$C$10073, $A73, Hunting!$P$2:$P$10073)</f>
        <v>0</v>
      </c>
      <c s="32" r="K73">
        <v>0</v>
      </c>
      <c s="32" r="L73">
        <f>SUMIF(Purchased!$A$2:$A$9982, $A73, Purchased!$H$2:$H$9982)</f>
        <v>0</v>
      </c>
      <c s="14" r="M73">
        <f>(((H73+I73)+K73)+T73)+L73</f>
        <v>8253.7847</v>
      </c>
      <c s="14" r="N73">
        <f>((((B73+C73)+D73)+E73)-G73)+F73</f>
        <v>9078.09</v>
      </c>
      <c s="33" r="O73">
        <f>M73-N73</f>
        <v>-824.3053</v>
      </c>
      <c s="29" r="P73">
        <f> (M73/N73)-1</f>
        <v>-0.090801622367701</v>
      </c>
      <c s="36" r="Q73">
        <f>SUMIF(Hunting!$C$2:$C$10073, $A73, Hunting!$S$2:$S$10073)</f>
        <v>-553.8884</v>
      </c>
      <c s="36" r="R73">
        <f>SUMIF(Crafting!$B$2:$B$10172, $A73, Crafting!$N$2:$N$10172)</f>
        <v>-263.4169</v>
      </c>
      <c s="36" r="S73">
        <f>SUMIF(Mining!$B$2:$B$10072, $A73, Mining!$S$2:$S$10072)</f>
        <v>0</v>
      </c>
      <c s="22" r="T73">
        <f>SUMIF(Hunting!$C$2:$C$10073, $A73, Hunting!$AA$2:$AA$10073) + SUMIF(Crafting!$B$2:$B$10201, $A73, Crafting!$T$2:$T$10201)</f>
        <v>-7</v>
      </c>
      <c s="22" r="U73">
        <f>SUMIF(Hunting!$C$2:$C$10073, $A73, Hunting!$AB$2:$AB$10073) + SUMIF(Crafting!$B$2:$B$10201, $A73, Crafting!$U$2:$U$10201)</f>
        <v>1</v>
      </c>
      <c s="22" r="V73">
        <f>SUMIF(Hunting!$C$2:$C$10073, $A73, Hunting!$AC$2:$AC$10073) + SUMIF(Crafting!$B$2:$B$10201, $A73, Crafting!$V$2:$V$10201)</f>
        <v>34</v>
      </c>
      <c s="22" r="W73">
        <f>SUMIF(Hunting!$C$2:$C$10073, $A73, Hunting!$AD$2:$AD$10073) + SUMIF(Crafting!$B$2:$B$10201, $A73, Crafting!$W$2:$W$10201)</f>
        <v>0</v>
      </c>
    </row>
    <row r="74">
      <c s="78" r="A74">
        <v>41630</v>
      </c>
      <c s="9" r="B74">
        <f>(SUMIF(Hunting!$C$2:$C$10073, $A74, Hunting!$E$2:$E$10073) + SUMIF(Crafting!$B$2:$B$10201, $A74, Crafting!$M$2:$M$10201)) + SUMIF(Mining!$B$2:$B$10023, $A74, Mining!$D$2:$D$10023)</f>
        <v>9658.18</v>
      </c>
      <c s="9" r="C74">
        <f>SUMIF(Hunting!$C$2:$C$10073, $A74, Hunting!$L$2:$L$10073) + SUMIF(Mining!$B$2:$B$10023, $A74, Mining!$J$2:$J$10023)</f>
        <v>392.77</v>
      </c>
      <c s="9" r="D74">
        <f>SUMIF(Hunting!$C$2:$C$10073, $A74, Hunting!$F$2:$F$10073)</f>
        <v>0</v>
      </c>
      <c s="9" r="E74">
        <f>SUMIF(Purchased!$A$2:$A$9982, $A74, Purchased!$D$2:$D$9982)-SUMIF(Purchased!$A$2:$A$9982, $A74, Purchased!$I$2:$I$9982)</f>
        <v>0</v>
      </c>
      <c s="9" r="F74">
        <f>SUMIF('Craft Mats'!$A$2:$A$10039, $A74, 'Craft Mats'!$F$2:$F$10039)</f>
        <v>0</v>
      </c>
      <c s="32" r="G74">
        <f>SUMIF(Hunting!$C$2:$C$10073, $A74, Hunting!$M$2:$M$10073) + SUMIF(Mining!$B$2:$B$10023, $A74, Mining!$K$2:$K$10023)</f>
        <v>782.55</v>
      </c>
      <c s="32" r="H74">
        <f>(SUMIF(Hunting!$C$2:$C$10073, $A74, Hunting!$N$2:$N$10073) + SUMIF(Crafting!$B$2:$B$10201, $A74, Crafting!$J$2:$J$10201)) + SUMIF(Mining!$B$2:$B$10023, $A74, Mining!$N$2:$N$10023)</f>
        <v>4915.44</v>
      </c>
      <c s="32" r="I74">
        <f>(SUMIF(Hunting!$C$2:$C$10073, $A74, Hunting!$O$2:$O$10073) + SUMIF(Crafting!$B$2:$B$10201, $A74, Crafting!$K$2:$K$10201)) + SUMIF(Mining!$B$2:$B$10023, $A74, Mining!$O$2:$O$10023)</f>
        <v>3986.78815</v>
      </c>
      <c s="32" r="J74">
        <f>SUMIF(Hunting!$C$2:$C$10073, $A74, Hunting!$P$2:$P$10073)</f>
        <v>0</v>
      </c>
      <c s="32" r="K74">
        <v>0</v>
      </c>
      <c s="32" r="L74">
        <f>SUMIF(Purchased!$A$2:$A$9982, $A74, Purchased!$H$2:$H$9982)</f>
        <v>3.73</v>
      </c>
      <c s="14" r="M74">
        <f>(((H74+I74)+K74)+T74)+L74</f>
        <v>8898.95815</v>
      </c>
      <c s="14" r="N74">
        <f>((((B74+C74)+D74)+E74)-G74)+F74</f>
        <v>9268.4</v>
      </c>
      <c s="33" r="O74">
        <f>M74-N74</f>
        <v>-369.441850000001</v>
      </c>
      <c s="29" r="P74">
        <f> (M74/N74)-1</f>
        <v>-0.039860369643088</v>
      </c>
      <c s="36" r="Q74">
        <f>SUMIF(Hunting!$C$2:$C$10073, $A74, Hunting!$S$2:$S$10073)</f>
        <v>-231.16</v>
      </c>
      <c s="36" r="R74">
        <f>SUMIF(Crafting!$B$2:$B$10172, $A74, Crafting!$N$2:$N$10172)</f>
        <v>-135.01185</v>
      </c>
      <c s="36" r="S74">
        <f>SUMIF(Mining!$B$2:$B$10072, $A74, Mining!$S$2:$S$10072)</f>
        <v>0</v>
      </c>
      <c s="22" r="T74">
        <f>SUMIF(Hunting!$C$2:$C$10073, $A74, Hunting!$AA$2:$AA$10073) + SUMIF(Crafting!$B$2:$B$10201, $A74, Crafting!$T$2:$T$10201)</f>
        <v>-7</v>
      </c>
      <c s="22" r="U74">
        <f>SUMIF(Hunting!$C$2:$C$10073, $A74, Hunting!$AB$2:$AB$10073) + SUMIF(Crafting!$B$2:$B$10201, $A74, Crafting!$U$2:$U$10201)</f>
        <v>1</v>
      </c>
      <c s="22" r="V74">
        <f>SUMIF(Hunting!$C$2:$C$10073, $A74, Hunting!$AC$2:$AC$10073) + SUMIF(Crafting!$B$2:$B$10201, $A74, Crafting!$V$2:$V$10201)</f>
        <v>7</v>
      </c>
      <c s="22" r="W74">
        <f>SUMIF(Hunting!$C$2:$C$10073, $A74, Hunting!$AD$2:$AD$10073) + SUMIF(Crafting!$B$2:$B$10201, $A74, Crafting!$W$2:$W$10201)</f>
        <v>0</v>
      </c>
    </row>
    <row r="75">
      <c s="78" r="A75">
        <v>41631</v>
      </c>
      <c s="9" r="B75">
        <f>(SUMIF(Hunting!$C$2:$C$10073, $A75, Hunting!$E$2:$E$10073) + SUMIF(Crafting!$B$2:$B$10201, $A75, Crafting!$M$2:$M$10201)) + SUMIF(Mining!$B$2:$B$10023, $A75, Mining!$D$2:$D$10023)</f>
        <v>8260</v>
      </c>
      <c s="9" r="C75">
        <f>SUMIF(Hunting!$C$2:$C$10073, $A75, Hunting!$L$2:$L$10073) + SUMIF(Mining!$B$2:$B$10023, $A75, Mining!$J$2:$J$10023)</f>
        <v>915.59</v>
      </c>
      <c s="9" r="D75">
        <f>SUMIF(Hunting!$C$2:$C$10073, $A75, Hunting!$F$2:$F$10073)</f>
        <v>0</v>
      </c>
      <c s="9" r="E75">
        <f>SUMIF(Purchased!$A$2:$A$9982, $A75, Purchased!$D$2:$D$9982)-SUMIF(Purchased!$A$2:$A$9982, $A75, Purchased!$I$2:$I$9982)</f>
        <v>0</v>
      </c>
      <c s="9" r="F75">
        <f>SUMIF('Craft Mats'!$A$2:$A$10039, $A75, 'Craft Mats'!$F$2:$F$10039)</f>
        <v>0</v>
      </c>
      <c s="32" r="G75">
        <f>SUMIF(Hunting!$C$2:$C$10073, $A75, Hunting!$M$2:$M$10073) + SUMIF(Mining!$B$2:$B$10023, $A75, Mining!$K$2:$K$10023)</f>
        <v>1693.43</v>
      </c>
      <c s="32" r="H75">
        <f>(SUMIF(Hunting!$C$2:$C$10073, $A75, Hunting!$N$2:$N$10073) + SUMIF(Crafting!$B$2:$B$10201, $A75, Crafting!$J$2:$J$10201)) + SUMIF(Mining!$B$2:$B$10023, $A75, Mining!$N$2:$N$10023)</f>
        <v>4493.61</v>
      </c>
      <c s="32" r="I75">
        <f>(SUMIF(Hunting!$C$2:$C$10073, $A75, Hunting!$O$2:$O$10073) + SUMIF(Crafting!$B$2:$B$10201, $A75, Crafting!$K$2:$K$10201)) + SUMIF(Mining!$B$2:$B$10023, $A75, Mining!$O$2:$O$10023)</f>
        <v>1549.1227</v>
      </c>
      <c s="32" r="J75">
        <f>SUMIF(Hunting!$C$2:$C$10073, $A75, Hunting!$P$2:$P$10073)</f>
        <v>0</v>
      </c>
      <c s="32" r="K75">
        <v>0</v>
      </c>
      <c s="32" r="L75">
        <f>SUMIF(Purchased!$A$2:$A$9982, $A75, Purchased!$H$2:$H$9982)</f>
        <v>0</v>
      </c>
      <c s="14" r="M75">
        <f>(((H75+I75)+K75)+T75)+L75</f>
        <v>6028.7327</v>
      </c>
      <c s="14" r="N75">
        <f>((((B75+C75)+D75)+E75)-G75)+F75</f>
        <v>7482.16</v>
      </c>
      <c s="33" r="O75">
        <f>M75-N75</f>
        <v>-1453.4273</v>
      </c>
      <c s="29" r="P75">
        <f> (M75/N75)-1</f>
        <v>-0.194252368300063</v>
      </c>
      <c s="36" r="Q75">
        <f>SUMIF(Hunting!$C$2:$C$10073, $A75, Hunting!$S$2:$S$10073)</f>
        <v>-1046.385</v>
      </c>
      <c s="36" r="R75">
        <f>SUMIF(Crafting!$B$2:$B$10172, $A75, Crafting!$N$2:$N$10172)</f>
        <v>-393.0423</v>
      </c>
      <c s="36" r="S75">
        <f>SUMIF(Mining!$B$2:$B$10072, $A75, Mining!$S$2:$S$10072)</f>
        <v>0</v>
      </c>
      <c s="22" r="T75">
        <f>SUMIF(Hunting!$C$2:$C$10073, $A75, Hunting!$AA$2:$AA$10073) + SUMIF(Crafting!$B$2:$B$10201, $A75, Crafting!$T$2:$T$10201)</f>
        <v>-14</v>
      </c>
      <c s="22" r="U75">
        <f>SUMIF(Hunting!$C$2:$C$10073, $A75, Hunting!$AB$2:$AB$10073) + SUMIF(Crafting!$B$2:$B$10201, $A75, Crafting!$U$2:$U$10201)</f>
        <v>2</v>
      </c>
      <c s="22" r="V75">
        <f>SUMIF(Hunting!$C$2:$C$10073, $A75, Hunting!$AC$2:$AC$10073) + SUMIF(Crafting!$B$2:$B$10201, $A75, Crafting!$V$2:$V$10201)</f>
        <v>11</v>
      </c>
      <c s="22" r="W75">
        <f>SUMIF(Hunting!$C$2:$C$10073, $A75, Hunting!$AD$2:$AD$10073) + SUMIF(Crafting!$B$2:$B$10201, $A75, Crafting!$W$2:$W$10201)</f>
        <v>0</v>
      </c>
    </row>
    <row r="76">
      <c s="78" r="A76">
        <v>41632</v>
      </c>
      <c s="9" r="B76">
        <f>(SUMIF(Hunting!$C$2:$C$10073, $A76, Hunting!$E$2:$E$10073) + SUMIF(Crafting!$B$2:$B$10201, $A76, Crafting!$M$2:$M$10201)) + SUMIF(Mining!$B$2:$B$10023, $A76, Mining!$D$2:$D$10023)</f>
        <v>2266.82</v>
      </c>
      <c s="9" r="C76">
        <f>SUMIF(Hunting!$C$2:$C$10073, $A76, Hunting!$L$2:$L$10073) + SUMIF(Mining!$B$2:$B$10023, $A76, Mining!$J$2:$J$10023)</f>
        <v>0</v>
      </c>
      <c s="9" r="D76">
        <f>SUMIF(Hunting!$C$2:$C$10073, $A76, Hunting!$F$2:$F$10073)</f>
        <v>0</v>
      </c>
      <c s="9" r="E76">
        <f>SUMIF(Purchased!$A$2:$A$9982, $A76, Purchased!$D$2:$D$9982)-SUMIF(Purchased!$A$2:$A$9982, $A76, Purchased!$I$2:$I$9982)</f>
        <v>0</v>
      </c>
      <c s="9" r="F76">
        <f>SUMIF('Craft Mats'!$A$2:$A$10039, $A76, 'Craft Mats'!$F$2:$F$10039)</f>
        <v>0</v>
      </c>
      <c s="32" r="G76">
        <f>SUMIF(Hunting!$C$2:$C$10073, $A76, Hunting!$M$2:$M$10073) + SUMIF(Mining!$B$2:$B$10023, $A76, Mining!$K$2:$K$10023)</f>
        <v>0</v>
      </c>
      <c s="32" r="H76">
        <f>(SUMIF(Hunting!$C$2:$C$10073, $A76, Hunting!$N$2:$N$10073) + SUMIF(Crafting!$B$2:$B$10201, $A76, Crafting!$J$2:$J$10201)) + SUMIF(Mining!$B$2:$B$10023, $A76, Mining!$N$2:$N$10023)</f>
        <v>656.16</v>
      </c>
      <c s="32" r="I76">
        <f>(SUMIF(Hunting!$C$2:$C$10073, $A76, Hunting!$O$2:$O$10073) + SUMIF(Crafting!$B$2:$B$10201, $A76, Crafting!$K$2:$K$10201)) + SUMIF(Mining!$B$2:$B$10023, $A76, Mining!$O$2:$O$10023)</f>
        <v>1559.06865</v>
      </c>
      <c s="32" r="J76">
        <f>SUMIF(Hunting!$C$2:$C$10073, $A76, Hunting!$P$2:$P$10073)</f>
        <v>0</v>
      </c>
      <c s="32" r="K76">
        <v>0</v>
      </c>
      <c s="32" r="L76">
        <f>SUMIF(Purchased!$A$2:$A$9982, $A76, Purchased!$H$2:$H$9982)</f>
        <v>0</v>
      </c>
      <c s="14" r="M76">
        <f>(((H76+I76)+K76)+T76)+L76</f>
        <v>2215.22865</v>
      </c>
      <c s="14" r="N76">
        <f>((((B76+C76)+D76)+E76)-G76)+F76</f>
        <v>2266.82</v>
      </c>
      <c s="33" r="O76">
        <f>M76-N76</f>
        <v>-51.5913500000002</v>
      </c>
      <c s="29" r="P76">
        <f> (M76/N76)-1</f>
        <v>-0.022759350102787</v>
      </c>
      <c s="36" r="Q76">
        <f>SUMIF(Hunting!$C$2:$C$10073, $A76, Hunting!$S$2:$S$10073)</f>
        <v>0</v>
      </c>
      <c s="36" r="R76">
        <f>SUMIF(Crafting!$B$2:$B$10172, $A76, Crafting!$N$2:$N$10172)</f>
        <v>-51.59135</v>
      </c>
      <c s="36" r="S76">
        <f>SUMIF(Mining!$B$2:$B$10072, $A76, Mining!$S$2:$S$10072)</f>
        <v>0</v>
      </c>
      <c s="22" r="T76">
        <f>SUMIF(Hunting!$C$2:$C$10073, $A76, Hunting!$AA$2:$AA$10073) + SUMIF(Crafting!$B$2:$B$10201, $A76, Crafting!$T$2:$T$10201)</f>
        <v>0</v>
      </c>
      <c s="22" r="U76">
        <f>SUMIF(Hunting!$C$2:$C$10073, $A76, Hunting!$AB$2:$AB$10073) + SUMIF(Crafting!$B$2:$B$10201, $A76, Crafting!$U$2:$U$10201)</f>
        <v>0</v>
      </c>
      <c s="22" r="V76">
        <f>SUMIF(Hunting!$C$2:$C$10073, $A76, Hunting!$AC$2:$AC$10073) + SUMIF(Crafting!$B$2:$B$10201, $A76, Crafting!$V$2:$V$10201)</f>
        <v>2</v>
      </c>
      <c s="22" r="W76">
        <f>SUMIF(Hunting!$C$2:$C$10073, $A76, Hunting!$AD$2:$AD$10073) + SUMIF(Crafting!$B$2:$B$10201, $A76, Crafting!$W$2:$W$10201)</f>
        <v>0</v>
      </c>
    </row>
    <row r="77">
      <c s="78" r="A77">
        <v>41633</v>
      </c>
      <c s="9" r="B77">
        <f>(SUMIF(Hunting!$C$2:$C$10073, $A77, Hunting!$E$2:$E$10073) + SUMIF(Crafting!$B$2:$B$10201, $A77, Crafting!$M$2:$M$10201)) + SUMIF(Mining!$B$2:$B$10023, $A77, Mining!$D$2:$D$10023)</f>
        <v>513.18</v>
      </c>
      <c s="9" r="C77">
        <f>SUMIF(Hunting!$C$2:$C$10073, $A77, Hunting!$L$2:$L$10073) + SUMIF(Mining!$B$2:$B$10023, $A77, Mining!$J$2:$J$10023)</f>
        <v>171.32</v>
      </c>
      <c s="9" r="D77">
        <f>SUMIF(Hunting!$C$2:$C$10073, $A77, Hunting!$F$2:$F$10073)</f>
        <v>0</v>
      </c>
      <c s="9" r="E77">
        <f>SUMIF(Purchased!$A$2:$A$9982, $A77, Purchased!$D$2:$D$9982)-SUMIF(Purchased!$A$2:$A$9982, $A77, Purchased!$I$2:$I$9982)</f>
        <v>0</v>
      </c>
      <c s="9" r="F77">
        <f>SUMIF('Craft Mats'!$A$2:$A$10039, $A77, 'Craft Mats'!$F$2:$F$10039)</f>
        <v>0</v>
      </c>
      <c s="32" r="G77">
        <f>SUMIF(Hunting!$C$2:$C$10073, $A77, Hunting!$M$2:$M$10073) + SUMIF(Mining!$B$2:$B$10023, $A77, Mining!$K$2:$K$10023)</f>
        <v>0</v>
      </c>
      <c s="32" r="H77">
        <f>(SUMIF(Hunting!$C$2:$C$10073, $A77, Hunting!$N$2:$N$10073) + SUMIF(Crafting!$B$2:$B$10201, $A77, Crafting!$J$2:$J$10201)) + SUMIF(Mining!$B$2:$B$10023, $A77, Mining!$N$2:$N$10023)</f>
        <v>430.12</v>
      </c>
      <c s="32" r="I77">
        <f>(SUMIF(Hunting!$C$2:$C$10073, $A77, Hunting!$O$2:$O$10073) + SUMIF(Crafting!$B$2:$B$10201, $A77, Crafting!$K$2:$K$10201)) + SUMIF(Mining!$B$2:$B$10023, $A77, Mining!$O$2:$O$10023)</f>
        <v>217.4218</v>
      </c>
      <c s="32" r="J77">
        <f>SUMIF(Hunting!$C$2:$C$10073, $A77, Hunting!$P$2:$P$10073)</f>
        <v>0</v>
      </c>
      <c s="32" r="K77">
        <v>0</v>
      </c>
      <c s="32" r="L77">
        <f>SUMIF(Purchased!$A$2:$A$9982, $A77, Purchased!$H$2:$H$9982)</f>
        <v>0</v>
      </c>
      <c s="14" r="M77">
        <f>(((H77+I77)+K77)+T77)+L77</f>
        <v>647.5418</v>
      </c>
      <c s="14" r="N77">
        <f>((((B77+C77)+D77)+E77)-G77)+F77</f>
        <v>684.5</v>
      </c>
      <c s="33" r="O77">
        <f>M77-N77</f>
        <v>-36.9582</v>
      </c>
      <c s="29" r="P77">
        <f> (M77/N77)-1</f>
        <v>-0.053992987582177</v>
      </c>
      <c s="36" r="Q77">
        <f>SUMIF(Hunting!$C$2:$C$10073, $A77, Hunting!$S$2:$S$10073)</f>
        <v>-37.0884</v>
      </c>
      <c s="36" r="R77">
        <f>SUMIF(Crafting!$B$2:$B$10172, $A77, Crafting!$N$2:$N$10172)</f>
        <v>0.130200000000002</v>
      </c>
      <c s="36" r="S77">
        <f>SUMIF(Mining!$B$2:$B$10072, $A77, Mining!$S$2:$S$10072)</f>
        <v>0</v>
      </c>
      <c s="22" r="T77">
        <f>SUMIF(Hunting!$C$2:$C$10073, $A77, Hunting!$AA$2:$AA$10073) + SUMIF(Crafting!$B$2:$B$10201, $A77, Crafting!$T$2:$T$10201)</f>
        <v>0</v>
      </c>
      <c s="22" r="U77">
        <f>SUMIF(Hunting!$C$2:$C$10073, $A77, Hunting!$AB$2:$AB$10073) + SUMIF(Crafting!$B$2:$B$10201, $A77, Crafting!$U$2:$U$10201)</f>
        <v>0</v>
      </c>
      <c s="22" r="V77">
        <f>SUMIF(Hunting!$C$2:$C$10073, $A77, Hunting!$AC$2:$AC$10073) + SUMIF(Crafting!$B$2:$B$10201, $A77, Crafting!$V$2:$V$10201)</f>
        <v>0</v>
      </c>
      <c s="22" r="W77">
        <f>SUMIF(Hunting!$C$2:$C$10073, $A77, Hunting!$AD$2:$AD$10073) + SUMIF(Crafting!$B$2:$B$10201, $A77, Crafting!$W$2:$W$10201)</f>
        <v>0</v>
      </c>
    </row>
    <row r="78">
      <c s="78" r="A78">
        <v>41634</v>
      </c>
      <c s="9" r="B78">
        <f>(SUMIF(Hunting!$C$2:$C$10073, $A78, Hunting!$E$2:$E$10073) + SUMIF(Crafting!$B$2:$B$10201, $A78, Crafting!$M$2:$M$10201)) + SUMIF(Mining!$B$2:$B$10023, $A78, Mining!$D$2:$D$10023)</f>
        <v>7068.12</v>
      </c>
      <c s="9" r="C78">
        <f>SUMIF(Hunting!$C$2:$C$10073, $A78, Hunting!$L$2:$L$10073) + SUMIF(Mining!$B$2:$B$10023, $A78, Mining!$J$2:$J$10023)</f>
        <v>1912.3</v>
      </c>
      <c s="9" r="D78">
        <f>SUMIF(Hunting!$C$2:$C$10073, $A78, Hunting!$F$2:$F$10073)</f>
        <v>0</v>
      </c>
      <c s="9" r="E78">
        <f>SUMIF(Purchased!$A$2:$A$9982, $A78, Purchased!$D$2:$D$9982)-SUMIF(Purchased!$A$2:$A$9982, $A78, Purchased!$I$2:$I$9982)</f>
        <v>0</v>
      </c>
      <c s="9" r="F78">
        <f>SUMIF('Craft Mats'!$A$2:$A$10039, $A78, 'Craft Mats'!$F$2:$F$10039)</f>
        <v>0</v>
      </c>
      <c s="32" r="G78">
        <f>SUMIF(Hunting!$C$2:$C$10073, $A78, Hunting!$M$2:$M$10073) + SUMIF(Mining!$B$2:$B$10023, $A78, Mining!$K$2:$K$10023)</f>
        <v>2014.46</v>
      </c>
      <c s="32" r="H78">
        <f>(SUMIF(Hunting!$C$2:$C$10073, $A78, Hunting!$N$2:$N$10073) + SUMIF(Crafting!$B$2:$B$10201, $A78, Crafting!$J$2:$J$10201)) + SUMIF(Mining!$B$2:$B$10023, $A78, Mining!$N$2:$N$10023)</f>
        <v>4325.89</v>
      </c>
      <c s="32" r="I78">
        <f>(SUMIF(Hunting!$C$2:$C$10073, $A78, Hunting!$O$2:$O$10073) + SUMIF(Crafting!$B$2:$B$10201, $A78, Crafting!$K$2:$K$10201)) + SUMIF(Mining!$B$2:$B$10023, $A78, Mining!$O$2:$O$10023)</f>
        <v>2537.47913</v>
      </c>
      <c s="32" r="J78">
        <f>SUMIF(Hunting!$C$2:$C$10073, $A78, Hunting!$P$2:$P$10073)</f>
        <v>0</v>
      </c>
      <c s="32" r="K78">
        <v>0</v>
      </c>
      <c s="32" r="L78">
        <f>SUMIF(Purchased!$A$2:$A$9982, $A78, Purchased!$H$2:$H$9982)</f>
        <v>0</v>
      </c>
      <c s="14" r="M78">
        <f>(((H78+I78)+K78)+T78)+L78</f>
        <v>6863.36913</v>
      </c>
      <c s="14" r="N78">
        <f>((((B78+C78)+D78)+E78)-G78)+F78</f>
        <v>6965.96</v>
      </c>
      <c s="33" r="O78">
        <f>M78-N78</f>
        <v>-102.590869999999</v>
      </c>
      <c s="29" r="P78">
        <f> (M78/N78)-1</f>
        <v>-0.014727456086454</v>
      </c>
      <c s="36" r="Q78">
        <f>SUMIF(Hunting!$C$2:$C$10073, $A78, Hunting!$S$2:$S$10073)</f>
        <v>-367.2372</v>
      </c>
      <c s="36" r="R78">
        <f>SUMIF(Crafting!$B$2:$B$10172, $A78, Crafting!$N$2:$N$10172)</f>
        <v>108.6353</v>
      </c>
      <c s="36" r="S78">
        <f>SUMIF(Mining!$B$2:$B$10072, $A78, Mining!$S$2:$S$10072)</f>
        <v>156.01103</v>
      </c>
      <c s="22" r="T78">
        <f>SUMIF(Hunting!$C$2:$C$10073, $A78, Hunting!$AA$2:$AA$10073) + SUMIF(Crafting!$B$2:$B$10201, $A78, Crafting!$T$2:$T$10201)</f>
        <v>0</v>
      </c>
      <c s="22" r="U78">
        <f>SUMIF(Hunting!$C$2:$C$10073, $A78, Hunting!$AB$2:$AB$10073) + SUMIF(Crafting!$B$2:$B$10201, $A78, Crafting!$U$2:$U$10201)</f>
        <v>0</v>
      </c>
      <c s="22" r="V78">
        <f>SUMIF(Hunting!$C$2:$C$10073, $A78, Hunting!$AC$2:$AC$10073) + SUMIF(Crafting!$B$2:$B$10201, $A78, Crafting!$V$2:$V$10201)</f>
        <v>14</v>
      </c>
      <c s="22" r="W78">
        <f>SUMIF(Hunting!$C$2:$C$10073, $A78, Hunting!$AD$2:$AD$10073) + SUMIF(Crafting!$B$2:$B$10201, $A78, Crafting!$W$2:$W$10201)</f>
        <v>0</v>
      </c>
    </row>
    <row r="79">
      <c s="78" r="A79">
        <v>41635</v>
      </c>
      <c s="9" r="B79">
        <f>(SUMIF(Hunting!$C$2:$C$10073, $A79, Hunting!$E$2:$E$10073) + SUMIF(Crafting!$B$2:$B$10201, $A79, Crafting!$M$2:$M$10201)) + SUMIF(Mining!$B$2:$B$10023, $A79, Mining!$D$2:$D$10023)</f>
        <v>10026.93</v>
      </c>
      <c s="9" r="C79">
        <f>SUMIF(Hunting!$C$2:$C$10073, $A79, Hunting!$L$2:$L$10073) + SUMIF(Mining!$B$2:$B$10023, $A79, Mining!$J$2:$J$10023)</f>
        <v>938.46</v>
      </c>
      <c s="9" r="D79">
        <f>SUMIF(Hunting!$C$2:$C$10073, $A79, Hunting!$F$2:$F$10073)</f>
        <v>0</v>
      </c>
      <c s="9" r="E79">
        <f>SUMIF(Purchased!$A$2:$A$9982, $A79, Purchased!$D$2:$D$9982)-SUMIF(Purchased!$A$2:$A$9982, $A79, Purchased!$I$2:$I$9982)</f>
        <v>103</v>
      </c>
      <c s="9" r="F79">
        <f>SUMIF('Craft Mats'!$A$2:$A$10039, $A79, 'Craft Mats'!$F$2:$F$10039)</f>
        <v>0</v>
      </c>
      <c s="32" r="G79">
        <f>SUMIF(Hunting!$C$2:$C$10073, $A79, Hunting!$M$2:$M$10073) + SUMIF(Mining!$B$2:$B$10023, $A79, Mining!$K$2:$K$10023)</f>
        <v>2272.81</v>
      </c>
      <c s="32" r="H79">
        <f>(SUMIF(Hunting!$C$2:$C$10073, $A79, Hunting!$N$2:$N$10073) + SUMIF(Crafting!$B$2:$B$10201, $A79, Crafting!$J$2:$J$10201)) + SUMIF(Mining!$B$2:$B$10023, $A79, Mining!$N$2:$N$10023)</f>
        <v>6381.2152</v>
      </c>
      <c s="32" r="I79">
        <f>(SUMIF(Hunting!$C$2:$C$10073, $A79, Hunting!$O$2:$O$10073) + SUMIF(Crafting!$B$2:$B$10201, $A79, Crafting!$K$2:$K$10201)) + SUMIF(Mining!$B$2:$B$10023, $A79, Mining!$O$2:$O$10023)</f>
        <v>2570.7948704</v>
      </c>
      <c s="32" r="J79">
        <f>SUMIF(Hunting!$C$2:$C$10073, $A79, Hunting!$P$2:$P$10073)</f>
        <v>0</v>
      </c>
      <c s="32" r="K79">
        <v>0</v>
      </c>
      <c s="32" r="L79">
        <f>SUMIF(Purchased!$A$2:$A$9982, $A79, Purchased!$H$2:$H$9982)</f>
        <v>0</v>
      </c>
      <c s="14" r="M79">
        <f>(((H79+I79)+K79)+T79)+L79</f>
        <v>8904.6100704</v>
      </c>
      <c s="14" r="N79">
        <f>((((B79+C79)+D79)+E79)-G79)+F79</f>
        <v>8795.58</v>
      </c>
      <c s="33" r="O79">
        <f>M79-N79</f>
        <v>109.0300704</v>
      </c>
      <c s="29" r="P79">
        <f> (M79/N79)-1</f>
        <v>0.012396006903467</v>
      </c>
      <c s="36" r="Q79">
        <f>SUMIF(Hunting!$C$2:$C$10073, $A79, Hunting!$S$2:$S$10073)</f>
        <v>485.287714000001</v>
      </c>
      <c s="36" r="R79">
        <f>SUMIF(Crafting!$B$2:$B$10172, $A79, Crafting!$N$2:$N$10172)</f>
        <v>-225.8576436</v>
      </c>
      <c s="36" r="S79">
        <f>SUMIF(Mining!$B$2:$B$10072, $A79, Mining!$S$2:$S$10072)</f>
        <v>0</v>
      </c>
      <c s="22" r="T79">
        <f>SUMIF(Hunting!$C$2:$C$10073, $A79, Hunting!$AA$2:$AA$10073) + SUMIF(Crafting!$B$2:$B$10201, $A79, Crafting!$T$2:$T$10201)</f>
        <v>-47.4</v>
      </c>
      <c s="22" r="U79">
        <f>SUMIF(Hunting!$C$2:$C$10073, $A79, Hunting!$AB$2:$AB$10073) + SUMIF(Crafting!$B$2:$B$10201, $A79, Crafting!$U$2:$U$10201)</f>
        <v>3</v>
      </c>
      <c s="22" r="V79">
        <f>SUMIF(Hunting!$C$2:$C$10073, $A79, Hunting!$AC$2:$AC$10073) + SUMIF(Crafting!$B$2:$B$10201, $A79, Crafting!$V$2:$V$10201)</f>
        <v>19</v>
      </c>
      <c s="22" r="W79">
        <f>SUMIF(Hunting!$C$2:$C$10073, $A79, Hunting!$AD$2:$AD$10073) + SUMIF(Crafting!$B$2:$B$10201, $A79, Crafting!$W$2:$W$10201)</f>
        <v>0</v>
      </c>
    </row>
    <row r="80">
      <c s="78" r="A80">
        <v>41636</v>
      </c>
      <c s="9" r="B80">
        <f>(SUMIF(Hunting!$C$2:$C$10073, $A80, Hunting!$E$2:$E$10073) + SUMIF(Crafting!$B$2:$B$10201, $A80, Crafting!$M$2:$M$10201)) + SUMIF(Mining!$B$2:$B$10023, $A80, Mining!$D$2:$D$10023)</f>
        <v>8165.82</v>
      </c>
      <c s="9" r="C80">
        <f>SUMIF(Hunting!$C$2:$C$10073, $A80, Hunting!$L$2:$L$10073) + SUMIF(Mining!$B$2:$B$10023, $A80, Mining!$J$2:$J$10023)</f>
        <v>777.54</v>
      </c>
      <c s="9" r="D80">
        <f>SUMIF(Hunting!$C$2:$C$10073, $A80, Hunting!$F$2:$F$10073)</f>
        <v>0</v>
      </c>
      <c s="9" r="E80">
        <f>SUMIF(Purchased!$A$2:$A$9982, $A80, Purchased!$D$2:$D$9982)-SUMIF(Purchased!$A$2:$A$9982, $A80, Purchased!$I$2:$I$9982)</f>
        <v>465.2</v>
      </c>
      <c s="9" r="F80">
        <f>SUMIF('Craft Mats'!$A$2:$A$10039, $A80, 'Craft Mats'!$F$2:$F$10039)</f>
        <v>0</v>
      </c>
      <c s="32" r="G80">
        <f>SUMIF(Hunting!$C$2:$C$10073, $A80, Hunting!$M$2:$M$10073) + SUMIF(Mining!$B$2:$B$10023, $A80, Mining!$K$2:$K$10023)</f>
        <v>4705.08</v>
      </c>
      <c s="32" r="H80">
        <f>(SUMIF(Hunting!$C$2:$C$10073, $A80, Hunting!$N$2:$N$10073) + SUMIF(Crafting!$B$2:$B$10201, $A80, Crafting!$J$2:$J$10201)) + SUMIF(Mining!$B$2:$B$10023, $A80, Mining!$N$2:$N$10023)</f>
        <v>2665.6</v>
      </c>
      <c s="32" r="I80">
        <f>(SUMIF(Hunting!$C$2:$C$10073, $A80, Hunting!$O$2:$O$10073) + SUMIF(Crafting!$B$2:$B$10201, $A80, Crafting!$K$2:$K$10201)) + SUMIF(Mining!$B$2:$B$10023, $A80, Mining!$O$2:$O$10023)</f>
        <v>2020.52282</v>
      </c>
      <c s="32" r="J80">
        <f>SUMIF(Hunting!$C$2:$C$10073, $A80, Hunting!$P$2:$P$10073)</f>
        <v>36.2219</v>
      </c>
      <c s="32" r="K80">
        <v>0</v>
      </c>
      <c s="32" r="L80">
        <f>SUMIF(Purchased!$A$2:$A$9982, $A80, Purchased!$H$2:$H$9982)</f>
        <v>0</v>
      </c>
      <c s="14" r="M80">
        <f>(((H80+I80)+K80)+T80)+L80</f>
        <v>4686.12282</v>
      </c>
      <c s="14" r="N80">
        <f>((((B80+C80)+D80)+E80)-G80)+F80</f>
        <v>4703.48</v>
      </c>
      <c s="33" r="O80">
        <f>M80-N80</f>
        <v>-17.3571800000018</v>
      </c>
      <c s="29" r="P80">
        <f> (M80/N80)-1</f>
        <v>-0.003690284640309</v>
      </c>
      <c s="36" r="Q80">
        <f>SUMIF(Hunting!$C$2:$C$10073, $A80, Hunting!$S$2:$S$10073)</f>
        <v>98.5772999999997</v>
      </c>
      <c s="36" r="R80">
        <f>SUMIF(Crafting!$B$2:$B$10172, $A80, Crafting!$N$2:$N$10172)</f>
        <v>385.48742</v>
      </c>
      <c s="36" r="S80">
        <f>SUMIF(Mining!$B$2:$B$10072, $A80, Mining!$S$2:$S$10072)</f>
        <v>0</v>
      </c>
      <c s="22" r="T80">
        <f>SUMIF(Hunting!$C$2:$C$10073, $A80, Hunting!$AA$2:$AA$10073) + SUMIF(Crafting!$B$2:$B$10201, $A80, Crafting!$T$2:$T$10201)</f>
        <v>0</v>
      </c>
      <c s="22" r="U80">
        <f>SUMIF(Hunting!$C$2:$C$10073, $A80, Hunting!$AB$2:$AB$10073) + SUMIF(Crafting!$B$2:$B$10201, $A80, Crafting!$U$2:$U$10201)</f>
        <v>3</v>
      </c>
      <c s="22" r="V80">
        <f>SUMIF(Hunting!$C$2:$C$10073, $A80, Hunting!$AC$2:$AC$10073) + SUMIF(Crafting!$B$2:$B$10201, $A80, Crafting!$V$2:$V$10201)</f>
        <v>8</v>
      </c>
      <c s="22" r="W80">
        <f>SUMIF(Hunting!$C$2:$C$10073, $A80, Hunting!$AD$2:$AD$10073) + SUMIF(Crafting!$B$2:$B$10201, $A80, Crafting!$W$2:$W$10201)</f>
        <v>3</v>
      </c>
    </row>
    <row r="81">
      <c s="78" r="A81">
        <v>41637</v>
      </c>
      <c s="9" r="B81">
        <f>(SUMIF(Hunting!$C$2:$C$10073, $A81, Hunting!$E$2:$E$10073) + SUMIF(Crafting!$B$2:$B$10201, $A81, Crafting!$M$2:$M$10201)) + SUMIF(Mining!$B$2:$B$10023, $A81, Mining!$D$2:$D$10023)</f>
        <v>8942.55</v>
      </c>
      <c s="9" r="C81">
        <f>SUMIF(Hunting!$C$2:$C$10073, $A81, Hunting!$L$2:$L$10073) + SUMIF(Mining!$B$2:$B$10023, $A81, Mining!$J$2:$J$10023)</f>
        <v>1119.5</v>
      </c>
      <c s="9" r="D81">
        <f>SUMIF(Hunting!$C$2:$C$10073, $A81, Hunting!$F$2:$F$10073)</f>
        <v>0</v>
      </c>
      <c s="9" r="E81">
        <f>SUMIF(Purchased!$A$2:$A$9982, $A81, Purchased!$D$2:$D$9982)-SUMIF(Purchased!$A$2:$A$9982, $A81, Purchased!$I$2:$I$9982)</f>
        <v>650</v>
      </c>
      <c s="9" r="F81">
        <f>SUMIF('Craft Mats'!$A$2:$A$10039, $A81, 'Craft Mats'!$F$2:$F$10039)</f>
        <v>0</v>
      </c>
      <c s="32" r="G81">
        <f>SUMIF(Hunting!$C$2:$C$10073, $A81, Hunting!$M$2:$M$10073) + SUMIF(Mining!$B$2:$B$10023, $A81, Mining!$K$2:$K$10023)</f>
        <v>2981.99</v>
      </c>
      <c s="32" r="H81">
        <f>(SUMIF(Hunting!$C$2:$C$10073, $A81, Hunting!$N$2:$N$10073) + SUMIF(Crafting!$B$2:$B$10201, $A81, Crafting!$J$2:$J$10201)) + SUMIF(Mining!$B$2:$B$10023, $A81, Mining!$N$2:$N$10023)</f>
        <v>5022.61</v>
      </c>
      <c s="32" r="I81">
        <f>(SUMIF(Hunting!$C$2:$C$10073, $A81, Hunting!$O$2:$O$10073) + SUMIF(Crafting!$B$2:$B$10201, $A81, Crafting!$K$2:$K$10201)) + SUMIF(Mining!$B$2:$B$10023, $A81, Mining!$O$2:$O$10023)</f>
        <v>1074.63619</v>
      </c>
      <c s="32" r="J81">
        <f>SUMIF(Hunting!$C$2:$C$10073, $A81, Hunting!$P$2:$P$10073)</f>
        <v>0</v>
      </c>
      <c s="32" r="K81">
        <v>0</v>
      </c>
      <c s="32" r="L81">
        <f>SUMIF(Purchased!$A$2:$A$9982, $A81, Purchased!$H$2:$H$9982)</f>
        <v>600</v>
      </c>
      <c s="14" r="M81">
        <f>(((H81+I81)+K81)+T81)+L81</f>
        <v>6697.24619</v>
      </c>
      <c s="14" r="N81">
        <f>((((B81+C81)+D81)+E81)-G81)+F81</f>
        <v>7730.06</v>
      </c>
      <c s="33" r="O81">
        <f>M81-N81</f>
        <v>-1032.81381</v>
      </c>
      <c s="29" r="P81">
        <f> (M81/N81)-1</f>
        <v>-0.133610063828741</v>
      </c>
      <c s="36" r="Q81">
        <f>SUMIF(Hunting!$C$2:$C$10073, $A81, Hunting!$S$2:$S$10073)</f>
        <v>-405.76577</v>
      </c>
      <c s="36" r="R81">
        <f>SUMIF(Crafting!$B$2:$B$10172, $A81, Crafting!$N$2:$N$10172)</f>
        <v>-577.04804</v>
      </c>
      <c s="36" r="S81">
        <f>SUMIF(Mining!$B$2:$B$10072, $A81, Mining!$S$2:$S$10072)</f>
        <v>0</v>
      </c>
      <c s="22" r="T81">
        <f>SUMIF(Hunting!$C$2:$C$10073, $A81, Hunting!$AA$2:$AA$10073) + SUMIF(Crafting!$B$2:$B$10201, $A81, Crafting!$T$2:$T$10201)</f>
        <v>0</v>
      </c>
      <c s="22" r="U81">
        <f>SUMIF(Hunting!$C$2:$C$10073, $A81, Hunting!$AB$2:$AB$10073) + SUMIF(Crafting!$B$2:$B$10201, $A81, Crafting!$U$2:$U$10201)</f>
        <v>0</v>
      </c>
      <c s="22" r="V81">
        <f>SUMIF(Hunting!$C$2:$C$10073, $A81, Hunting!$AC$2:$AC$10073) + SUMIF(Crafting!$B$2:$B$10201, $A81, Crafting!$V$2:$V$10201)</f>
        <v>16</v>
      </c>
      <c s="22" r="W81">
        <f>SUMIF(Hunting!$C$2:$C$10073, $A81, Hunting!$AD$2:$AD$10073) + SUMIF(Crafting!$B$2:$B$10201, $A81, Crafting!$W$2:$W$10201)</f>
        <v>1</v>
      </c>
    </row>
    <row r="82">
      <c s="78" r="A82">
        <v>41638</v>
      </c>
      <c s="9" r="B82">
        <f>(SUMIF(Hunting!$C$2:$C$10073, $A82, Hunting!$E$2:$E$10073) + SUMIF(Crafting!$B$2:$B$10201, $A82, Crafting!$M$2:$M$10201)) + SUMIF(Mining!$B$2:$B$10023, $A82, Mining!$D$2:$D$10023)</f>
        <v>8784.1</v>
      </c>
      <c s="9" r="C82">
        <f>SUMIF(Hunting!$C$2:$C$10073, $A82, Hunting!$L$2:$L$10073) + SUMIF(Mining!$B$2:$B$10023, $A82, Mining!$J$2:$J$10023)</f>
        <v>857.24</v>
      </c>
      <c s="9" r="D82">
        <f>SUMIF(Hunting!$C$2:$C$10073, $A82, Hunting!$F$2:$F$10073)</f>
        <v>0</v>
      </c>
      <c s="9" r="E82">
        <f>SUMIF(Purchased!$A$2:$A$9982, $A82, Purchased!$D$2:$D$9982)-SUMIF(Purchased!$A$2:$A$9982, $A82, Purchased!$I$2:$I$9982)</f>
        <v>0</v>
      </c>
      <c s="9" r="F82">
        <f>SUMIF('Craft Mats'!$A$2:$A$10039, $A82, 'Craft Mats'!$F$2:$F$10039)</f>
        <v>0</v>
      </c>
      <c s="32" r="G82">
        <f>SUMIF(Hunting!$C$2:$C$10073, $A82, Hunting!$M$2:$M$10073) + SUMIF(Mining!$B$2:$B$10023, $A82, Mining!$K$2:$K$10023)</f>
        <v>4268.78</v>
      </c>
      <c s="32" r="H82">
        <f>(SUMIF(Hunting!$C$2:$C$10073, $A82, Hunting!$N$2:$N$10073) + SUMIF(Crafting!$B$2:$B$10201, $A82, Crafting!$J$2:$J$10201)) + SUMIF(Mining!$B$2:$B$10023, $A82, Mining!$N$2:$N$10023)</f>
        <v>4275.22</v>
      </c>
      <c s="32" r="I82">
        <f>(SUMIF(Hunting!$C$2:$C$10073, $A82, Hunting!$O$2:$O$10073) + SUMIF(Crafting!$B$2:$B$10201, $A82, Crafting!$K$2:$K$10201)) + SUMIF(Mining!$B$2:$B$10023, $A82, Mining!$O$2:$O$10023)</f>
        <v>964.89052</v>
      </c>
      <c s="32" r="J82">
        <f>SUMIF(Hunting!$C$2:$C$10073, $A82, Hunting!$P$2:$P$10073)</f>
        <v>0</v>
      </c>
      <c s="32" r="K82">
        <v>0</v>
      </c>
      <c s="32" r="L82">
        <f>SUMIF(Purchased!$A$2:$A$9982, $A82, Purchased!$H$2:$H$9982)</f>
        <v>0</v>
      </c>
      <c s="14" r="M82">
        <f>(((H82+I82)+K82)+T82)+L82</f>
        <v>5240.11052</v>
      </c>
      <c s="14" r="N82">
        <f>((((B82+C82)+D82)+E82)-G82)+F82</f>
        <v>5372.56</v>
      </c>
      <c s="33" r="O82">
        <f>M82-N82</f>
        <v>-132.44948</v>
      </c>
      <c s="29" r="P82">
        <f> (M82/N82)-1</f>
        <v>-0.024652955015858</v>
      </c>
      <c s="36" r="Q82">
        <f>SUMIF(Hunting!$C$2:$C$10073, $A82, Hunting!$S$2:$S$10073)</f>
        <v>-282.9332</v>
      </c>
      <c s="36" r="R82">
        <f>SUMIF(Crafting!$B$2:$B$10172, $A82, Crafting!$N$2:$N$10172)</f>
        <v>150.48372</v>
      </c>
      <c s="36" r="S82">
        <f>SUMIF(Mining!$B$2:$B$10072, $A82, Mining!$S$2:$S$10072)</f>
        <v>0</v>
      </c>
      <c s="22" r="T82">
        <f>SUMIF(Hunting!$C$2:$C$10073, $A82, Hunting!$AA$2:$AA$10073) + SUMIF(Crafting!$B$2:$B$10201, $A82, Crafting!$T$2:$T$10201)</f>
        <v>0</v>
      </c>
      <c s="22" r="U82">
        <f>SUMIF(Hunting!$C$2:$C$10073, $A82, Hunting!$AB$2:$AB$10073) + SUMIF(Crafting!$B$2:$B$10201, $A82, Crafting!$U$2:$U$10201)</f>
        <v>1</v>
      </c>
      <c s="22" r="V82">
        <f>SUMIF(Hunting!$C$2:$C$10073, $A82, Hunting!$AC$2:$AC$10073) + SUMIF(Crafting!$B$2:$B$10201, $A82, Crafting!$V$2:$V$10201)</f>
        <v>27</v>
      </c>
      <c s="22" r="W82">
        <f>SUMIF(Hunting!$C$2:$C$10073, $A82, Hunting!$AD$2:$AD$10073) + SUMIF(Crafting!$B$2:$B$10201, $A82, Crafting!$W$2:$W$10201)</f>
        <v>1</v>
      </c>
    </row>
    <row r="83">
      <c s="78" r="A83">
        <v>41639</v>
      </c>
      <c s="9" r="B83">
        <f>(SUMIF(Hunting!$C$2:$C$10073, $A83, Hunting!$E$2:$E$10073) + SUMIF(Crafting!$B$2:$B$10201, $A83, Crafting!$M$2:$M$10201)) + SUMIF(Mining!$B$2:$B$10023, $A83, Mining!$D$2:$D$10023)</f>
        <v>8814.396</v>
      </c>
      <c s="9" r="C83">
        <f>SUMIF(Hunting!$C$2:$C$10073, $A83, Hunting!$L$2:$L$10073) + SUMIF(Mining!$B$2:$B$10023, $A83, Mining!$J$2:$J$10023)</f>
        <v>1356.42</v>
      </c>
      <c s="9" r="D83">
        <f>SUMIF(Hunting!$C$2:$C$10073, $A83, Hunting!$F$2:$F$10073)</f>
        <v>0</v>
      </c>
      <c s="9" r="E83">
        <f>SUMIF(Purchased!$A$2:$A$9982, $A83, Purchased!$D$2:$D$9982)-SUMIF(Purchased!$A$2:$A$9982, $A83, Purchased!$I$2:$I$9982)</f>
        <v>0</v>
      </c>
      <c s="9" r="F83">
        <f>SUMIF('Craft Mats'!$A$2:$A$10039, $A83, 'Craft Mats'!$F$2:$F$10039)</f>
        <v>0</v>
      </c>
      <c s="32" r="G83">
        <f>SUMIF(Hunting!$C$2:$C$10073, $A83, Hunting!$M$2:$M$10073) + SUMIF(Mining!$B$2:$B$10023, $A83, Mining!$K$2:$K$10023)</f>
        <v>1750.18</v>
      </c>
      <c s="32" r="H83">
        <f>(SUMIF(Hunting!$C$2:$C$10073, $A83, Hunting!$N$2:$N$10073) + SUMIF(Crafting!$B$2:$B$10201, $A83, Crafting!$J$2:$J$10201)) + SUMIF(Mining!$B$2:$B$10023, $A83, Mining!$N$2:$N$10023)</f>
        <v>5819.54</v>
      </c>
      <c s="32" r="I83">
        <f>(SUMIF(Hunting!$C$2:$C$10073, $A83, Hunting!$O$2:$O$10073) + SUMIF(Crafting!$B$2:$B$10201, $A83, Crafting!$K$2:$K$10201)) + SUMIF(Mining!$B$2:$B$10023, $A83, Mining!$O$2:$O$10023)</f>
        <v>2598.976294</v>
      </c>
      <c s="32" r="J83">
        <f>SUMIF(Hunting!$C$2:$C$10073, $A83, Hunting!$P$2:$P$10073)</f>
        <v>0</v>
      </c>
      <c s="32" r="K83">
        <v>0</v>
      </c>
      <c s="32" r="L83">
        <f>SUMIF(Purchased!$A$2:$A$9982, $A83, Purchased!$H$2:$H$9982)</f>
        <v>0</v>
      </c>
      <c s="14" r="M83">
        <f>(((H83+I83)+K83)+T83)+L83</f>
        <v>8400.516294</v>
      </c>
      <c s="14" r="N83">
        <f>(((B83+C83)+E83)-G83)+F83</f>
        <v>8420.636</v>
      </c>
      <c s="33" r="O83">
        <f>M83-N83</f>
        <v>-20.1197059999995</v>
      </c>
      <c s="29" r="P83">
        <f> (M83/N83)-1</f>
        <v>-0.002389333299765</v>
      </c>
      <c s="36" r="Q83">
        <f>SUMIF(Hunting!$C$2:$C$10073, $A83, Hunting!$S$2:$S$10073)</f>
        <v>-469.649210999999</v>
      </c>
      <c s="36" r="R83">
        <f>SUMIF(Crafting!$B$2:$B$10172, $A83, Crafting!$N$2:$N$10172)</f>
        <v>466.919505</v>
      </c>
      <c s="36" r="S83">
        <f>SUMIF(Mining!$B$2:$B$10072, $A83, Mining!$S$2:$S$10072)</f>
        <v>0.610000000000014</v>
      </c>
      <c s="22" r="T83">
        <f>SUMIF(Hunting!$C$2:$C$10073, $A83, Hunting!$AA$2:$AA$10073) + SUMIF(Crafting!$B$2:$B$10201, $A83, Crafting!$T$2:$T$10201)</f>
        <v>-18</v>
      </c>
      <c s="22" r="U83">
        <f>SUMIF(Hunting!$C$2:$C$10073, $A83, Hunting!$AB$2:$AB$10073) + SUMIF(Crafting!$B$2:$B$10201, $A83, Crafting!$U$2:$U$10201)</f>
        <v>0</v>
      </c>
      <c s="22" r="V83">
        <f>SUMIF(Hunting!$C$2:$C$10073, $A83, Hunting!$AC$2:$AC$10073) + SUMIF(Crafting!$B$2:$B$10201, $A83, Crafting!$V$2:$V$10201)</f>
        <v>22</v>
      </c>
      <c s="22" r="W83">
        <f>SUMIF(Hunting!$C$2:$C$10073, $A83, Hunting!$AD$2:$AD$10073) + SUMIF(Crafting!$B$2:$B$10201, $A83, Crafting!$W$2:$W$10201)</f>
        <v>2</v>
      </c>
    </row>
    <row r="84">
      <c s="78" r="A84">
        <v>41640</v>
      </c>
      <c s="9" r="B84">
        <f>(SUMIF(Hunting!$C$2:$C$10073, $A84, Hunting!$E$2:$E$10073) + SUMIF(Crafting!$B$2:$B$10201, $A84, Crafting!$M$2:$M$10201)) + SUMIF(Mining!$B$2:$B$10023, $A84, Mining!$D$2:$D$10023)</f>
        <v>13995.28</v>
      </c>
      <c s="9" r="C84">
        <f>SUMIF(Hunting!$C$2:$C$10073, $A84, Hunting!$L$2:$L$10073) + SUMIF(Mining!$B$2:$B$10023, $A84, Mining!$J$2:$J$10023)</f>
        <v>1988.67</v>
      </c>
      <c s="9" r="D84">
        <f>SUMIF(Hunting!$C$2:$C$10073, $A84, Hunting!$F$2:$F$10073)</f>
        <v>10.3</v>
      </c>
      <c s="9" r="E84">
        <f>SUMIF(Purchased!$A$2:$A$9982, $A84, Purchased!$D$2:$D$9982)-SUMIF(Purchased!$A$2:$A$9982, $A84, Purchased!$I$2:$I$9982)</f>
        <v>0</v>
      </c>
      <c s="9" r="F84">
        <f>SUMIF('Craft Mats'!$A$2:$A$10039, $A84, 'Craft Mats'!$F$2:$F$10039)</f>
        <v>0</v>
      </c>
      <c s="32" r="G84">
        <f>SUMIF(Hunting!$C$2:$C$10073, $A84, Hunting!$M$2:$M$10073) + SUMIF(Mining!$B$2:$B$10023, $A84, Mining!$K$2:$K$10023)</f>
        <v>2389.46</v>
      </c>
      <c s="32" r="H84">
        <f>(SUMIF(Hunting!$C$2:$C$10073, $A84, Hunting!$N$2:$N$10073) + SUMIF(Crafting!$B$2:$B$10201, $A84, Crafting!$J$2:$J$10201)) + SUMIF(Mining!$B$2:$B$10023, $A84, Mining!$N$2:$N$10023)</f>
        <v>9378.16</v>
      </c>
      <c s="32" r="I84">
        <f>(SUMIF(Hunting!$C$2:$C$10073, $A84, Hunting!$O$2:$O$10073) + SUMIF(Crafting!$B$2:$B$10201, $A84, Crafting!$K$2:$K$10201)) + SUMIF(Mining!$B$2:$B$10023, $A84, Mining!$O$2:$O$10023)</f>
        <v>6876.98501</v>
      </c>
      <c s="32" r="J84">
        <f>SUMIF(Hunting!$C$2:$C$10073, $A84, Hunting!$P$2:$P$10073)</f>
        <v>0</v>
      </c>
      <c s="32" r="K84">
        <v>0</v>
      </c>
      <c s="32" r="L84">
        <f>SUMIF(Purchased!$A$2:$A$9982, $A84, Purchased!$H$2:$H$9982)</f>
        <v>3</v>
      </c>
      <c s="14" r="M84">
        <f>(((H84+I84)+K84)+T84)+L84</f>
        <v>16258.14501</v>
      </c>
      <c s="14" r="N84">
        <f>(((B84+C84)+E84)-G84)+F84</f>
        <v>13594.49</v>
      </c>
      <c s="33" r="O84">
        <f>M84-N84</f>
        <v>2663.65501</v>
      </c>
      <c s="29" r="P84">
        <f> (M84/N84)-1</f>
        <v>0.195936369073058</v>
      </c>
      <c s="36" r="Q84">
        <f>SUMIF(Hunting!$C$2:$C$10073, $A84, Hunting!$S$2:$S$10073)</f>
        <v>-657.4878</v>
      </c>
      <c s="36" r="R84">
        <f>SUMIF(Crafting!$B$2:$B$10172, $A84, Crafting!$N$2:$N$10172)</f>
        <v>2323.04855</v>
      </c>
      <c s="36" r="S84">
        <f>SUMIF(Mining!$B$2:$B$10072, $A84, Mining!$S$2:$S$10072)</f>
        <v>256.17426</v>
      </c>
      <c s="22" r="T84">
        <f>SUMIF(Hunting!$C$2:$C$10073, $A84, Hunting!$AA$2:$AA$10073) + SUMIF(Crafting!$B$2:$B$10201, $A84, Crafting!$T$2:$T$10201)</f>
        <v>0</v>
      </c>
      <c s="22" r="U84">
        <f>SUMIF(Hunting!$C$2:$C$10073, $A84, Hunting!$AB$2:$AB$10073) + SUMIF(Crafting!$B$2:$B$10201, $A84, Crafting!$U$2:$U$10201)</f>
        <v>0</v>
      </c>
      <c s="22" r="V84">
        <f>SUMIF(Hunting!$C$2:$C$10073, $A84, Hunting!$AC$2:$AC$10073) + SUMIF(Crafting!$B$2:$B$10201, $A84, Crafting!$V$2:$V$10201)</f>
        <v>44</v>
      </c>
      <c s="22" r="W84">
        <f>SUMIF(Hunting!$C$2:$C$10073, $A84, Hunting!$AD$2:$AD$10073) + SUMIF(Crafting!$B$2:$B$10201, $A84, Crafting!$W$2:$W$10201)</f>
        <v>3</v>
      </c>
    </row>
    <row r="85">
      <c s="78" r="A85">
        <v>41641</v>
      </c>
      <c s="9" r="B85">
        <f>(SUMIF(Hunting!$C$2:$C$10073, $A85, Hunting!$E$2:$E$10073) + SUMIF(Crafting!$B$2:$B$10201, $A85, Crafting!$M$2:$M$10201)) + SUMIF(Mining!$B$2:$B$10023, $A85, Mining!$D$2:$D$10023)</f>
        <v>8670.99</v>
      </c>
      <c s="9" r="C85">
        <f>SUMIF(Hunting!$C$2:$C$10073, $A85, Hunting!$L$2:$L$10073) + SUMIF(Mining!$B$2:$B$10023, $A85, Mining!$J$2:$J$10023)</f>
        <v>537.47</v>
      </c>
      <c s="9" r="D85">
        <f>SUMIF(Hunting!$C$2:$C$10073, $A85, Hunting!$F$2:$F$10073)</f>
        <v>0.45</v>
      </c>
      <c s="9" r="E85">
        <f>SUMIF(Purchased!$A$2:$A$9982, $A85, Purchased!$D$2:$D$9982)-SUMIF(Purchased!$A$2:$A$9982, $A85, Purchased!$I$2:$I$9982)</f>
        <v>53.72</v>
      </c>
      <c s="9" r="F85">
        <f>SUMIF('Craft Mats'!$A$2:$A$10039, $A85, 'Craft Mats'!$F$2:$F$10039)</f>
        <v>140.74</v>
      </c>
      <c s="32" r="G85">
        <f>SUMIF(Hunting!$C$2:$C$10073, $A85, Hunting!$M$2:$M$10073) + SUMIF(Mining!$B$2:$B$10023, $A85, Mining!$K$2:$K$10023)</f>
        <v>2631.9</v>
      </c>
      <c s="32" r="H85">
        <f>(SUMIF(Hunting!$C$2:$C$10073, $A85, Hunting!$N$2:$N$10073) + SUMIF(Crafting!$B$2:$B$10201, $A85, Crafting!$J$2:$J$10201)) + SUMIF(Mining!$B$2:$B$10023, $A85, Mining!$N$2:$N$10023)</f>
        <v>4650.93</v>
      </c>
      <c s="32" r="I85">
        <f>(SUMIF(Hunting!$C$2:$C$10073, $A85, Hunting!$O$2:$O$10073) + SUMIF(Crafting!$B$2:$B$10201, $A85, Crafting!$K$2:$K$10201)) + SUMIF(Mining!$B$2:$B$10023, $A85, Mining!$O$2:$O$10023)</f>
        <v>2333.82568</v>
      </c>
      <c s="32" r="J85">
        <f>SUMIF(Hunting!$C$2:$C$10073, $A85, Hunting!$P$2:$P$10073)</f>
        <v>0</v>
      </c>
      <c s="32" r="K85">
        <v>0</v>
      </c>
      <c s="32" r="L85">
        <f>SUMIF(Purchased!$A$2:$A$9982, $A85, Purchased!$H$2:$H$9982)</f>
        <v>0</v>
      </c>
      <c s="14" r="M85">
        <f>(((H85+I85)+K85)+T85)+L85</f>
        <v>7004.75568</v>
      </c>
      <c s="14" r="N85">
        <f>(((B85+C85)+E85)-G85)+F85</f>
        <v>6771.02</v>
      </c>
      <c s="33" r="O85">
        <f>M85-N85</f>
        <v>233.73568</v>
      </c>
      <c s="29" r="P85">
        <f> (M85/N85)-1</f>
        <v>0.034520010279101</v>
      </c>
      <c s="36" r="Q85">
        <f>SUMIF(Hunting!$C$2:$C$10073, $A85, Hunting!$S$2:$S$10073)</f>
        <v>76.0892000000001</v>
      </c>
      <c s="36" r="R85">
        <f>SUMIF(Crafting!$B$2:$B$10172, $A85, Crafting!$N$2:$N$10172)</f>
        <v>351.65648</v>
      </c>
      <c s="36" r="S85">
        <f>SUMIF(Mining!$B$2:$B$10072, $A85, Mining!$S$2:$S$10072)</f>
        <v>0</v>
      </c>
      <c s="22" r="T85">
        <f>SUMIF(Hunting!$C$2:$C$10073, $A85, Hunting!$AA$2:$AA$10073) + SUMIF(Crafting!$B$2:$B$10201, $A85, Crafting!$T$2:$T$10201)</f>
        <v>20</v>
      </c>
      <c s="22" r="U85">
        <f>SUMIF(Hunting!$C$2:$C$10073, $A85, Hunting!$AB$2:$AB$10073) + SUMIF(Crafting!$B$2:$B$10201, $A85, Crafting!$U$2:$U$10201)</f>
        <v>2</v>
      </c>
      <c s="22" r="V85">
        <f>SUMIF(Hunting!$C$2:$C$10073, $A85, Hunting!$AC$2:$AC$10073) + SUMIF(Crafting!$B$2:$B$10201, $A85, Crafting!$V$2:$V$10201)</f>
        <v>34</v>
      </c>
      <c s="22" r="W85">
        <f>SUMIF(Hunting!$C$2:$C$10073, $A85, Hunting!$AD$2:$AD$10073) + SUMIF(Crafting!$B$2:$B$10201, $A85, Crafting!$W$2:$W$10201)</f>
        <v>1</v>
      </c>
    </row>
    <row r="86">
      <c s="78" r="A86">
        <v>41642</v>
      </c>
      <c s="9" r="B86">
        <f>(SUMIF(Hunting!$C$2:$C$10073, $A86, Hunting!$E$2:$E$10073) + SUMIF(Crafting!$B$2:$B$10201, $A86, Crafting!$M$2:$M$10201)) + SUMIF(Mining!$B$2:$B$10023, $A86, Mining!$D$2:$D$10023)</f>
        <v>6623.7</v>
      </c>
      <c s="9" r="C86">
        <f>SUMIF(Hunting!$C$2:$C$10073, $A86, Hunting!$L$2:$L$10073) + SUMIF(Mining!$B$2:$B$10023, $A86, Mining!$J$2:$J$10023)</f>
        <v>810.75</v>
      </c>
      <c s="9" r="D86">
        <f>SUMIF(Hunting!$C$2:$C$10073, $A86, Hunting!$F$2:$F$10073)</f>
        <v>0.3</v>
      </c>
      <c s="9" r="E86">
        <f>SUMIF(Purchased!$A$2:$A$9982, $A86, Purchased!$D$2:$D$9982)-SUMIF(Purchased!$A$2:$A$9982, $A86, Purchased!$I$2:$I$9982)</f>
        <v>116</v>
      </c>
      <c s="9" r="F86">
        <f>SUMIF('Craft Mats'!$A$2:$A$10039, $A86, 'Craft Mats'!$F$2:$F$10039)</f>
        <v>269.63</v>
      </c>
      <c s="32" r="G86">
        <f>SUMIF(Hunting!$C$2:$C$10073, $A86, Hunting!$M$2:$M$10073) + SUMIF(Mining!$B$2:$B$10023, $A86, Mining!$K$2:$K$10023)</f>
        <v>908.99</v>
      </c>
      <c s="32" r="H86">
        <f>(SUMIF(Hunting!$C$2:$C$10073, $A86, Hunting!$N$2:$N$10073) + SUMIF(Crafting!$B$2:$B$10201, $A86, Crafting!$J$2:$J$10201)) + SUMIF(Mining!$B$2:$B$10023, $A86, Mining!$N$2:$N$10023)</f>
        <v>3715.28</v>
      </c>
      <c s="32" r="I86">
        <f>(SUMIF(Hunting!$C$2:$C$10073, $A86, Hunting!$O$2:$O$10073) + SUMIF(Crafting!$B$2:$B$10201, $A86, Crafting!$K$2:$K$10201)) + SUMIF(Mining!$B$2:$B$10023, $A86, Mining!$O$2:$O$10023)</f>
        <v>1583.8414</v>
      </c>
      <c s="32" r="J86">
        <f>SUMIF(Hunting!$C$2:$C$10073, $A86, Hunting!$P$2:$P$10073)</f>
        <v>0</v>
      </c>
      <c s="32" r="K86">
        <v>0</v>
      </c>
      <c s="32" r="L86">
        <f>SUMIF(Purchased!$A$2:$A$9982, $A86, Purchased!$H$2:$H$9982)</f>
        <v>0</v>
      </c>
      <c s="14" r="M86">
        <f>(((H86+I86)+K86)+T86)+L86</f>
        <v>5299.1214</v>
      </c>
      <c s="14" r="N86">
        <f>(((B86+C86)+E86)-G86)+F86</f>
        <v>6911.09</v>
      </c>
      <c s="33" r="O86">
        <f>M86-N86</f>
        <v>-1611.9686</v>
      </c>
      <c s="29" r="P86">
        <f> (M86/N86)-1</f>
        <v>-0.233243757497008</v>
      </c>
      <c s="36" r="Q86">
        <f>SUMIF(Hunting!$C$2:$C$10073, $A86, Hunting!$S$2:$S$10073)</f>
        <v>-336.650999999999</v>
      </c>
      <c s="36" r="R86">
        <f>SUMIF(Crafting!$B$2:$B$10172, $A86, Crafting!$N$2:$N$10172)</f>
        <v>-889.9876</v>
      </c>
      <c s="36" r="S86">
        <f>SUMIF(Mining!$B$2:$B$10072, $A86, Mining!$S$2:$S$10072)</f>
        <v>0</v>
      </c>
      <c s="22" r="T86">
        <f>SUMIF(Hunting!$C$2:$C$10073, $A86, Hunting!$AA$2:$AA$10073) + SUMIF(Crafting!$B$2:$B$10201, $A86, Crafting!$T$2:$T$10201)</f>
        <v>0</v>
      </c>
      <c s="22" r="U86">
        <f>SUMIF(Hunting!$C$2:$C$10073, $A86, Hunting!$AB$2:$AB$10073) + SUMIF(Crafting!$B$2:$B$10201, $A86, Crafting!$U$2:$U$10201)</f>
        <v>0</v>
      </c>
      <c s="22" r="V86">
        <f>SUMIF(Hunting!$C$2:$C$10073, $A86, Hunting!$AC$2:$AC$10073) + SUMIF(Crafting!$B$2:$B$10201, $A86, Crafting!$V$2:$V$10201)</f>
        <v>31</v>
      </c>
      <c s="22" r="W86">
        <f>SUMIF(Hunting!$C$2:$C$10073, $A86, Hunting!$AD$2:$AD$10073) + SUMIF(Crafting!$B$2:$B$10201, $A86, Crafting!$W$2:$W$10201)</f>
        <v>0</v>
      </c>
    </row>
    <row r="87">
      <c s="78" r="A87">
        <v>41643</v>
      </c>
      <c s="9" r="B87">
        <f>(SUMIF(Hunting!$C$2:$C$10073, $A87, Hunting!$E$2:$E$10073) + SUMIF(Crafting!$B$2:$B$10201, $A87, Crafting!$M$2:$M$10201)) + SUMIF(Mining!$B$2:$B$10023, $A87, Mining!$D$2:$D$10023)</f>
        <v>5516.74</v>
      </c>
      <c s="9" r="C87">
        <f>SUMIF(Hunting!$C$2:$C$10073, $A87, Hunting!$L$2:$L$10073) + SUMIF(Mining!$B$2:$B$10023, $A87, Mining!$J$2:$J$10023)</f>
        <v>2051.68</v>
      </c>
      <c s="9" r="D87">
        <f>SUMIF(Hunting!$C$2:$C$10073, $A87, Hunting!$F$2:$F$10073)</f>
        <v>305.7</v>
      </c>
      <c s="9" r="E87">
        <f>SUMIF(Purchased!$A$2:$A$9982, $A87, Purchased!$D$2:$D$9982)-SUMIF(Purchased!$A$2:$A$9982, $A87, Purchased!$I$2:$I$9982)</f>
        <v>684</v>
      </c>
      <c s="9" r="F87">
        <f>SUMIF('Craft Mats'!$A$2:$A$10039, $A87, 'Craft Mats'!$F$2:$F$10039)</f>
        <v>47.03</v>
      </c>
      <c s="32" r="G87">
        <f>(SUMIF(Hunting!$C$2:$C$10073, $A87, Hunting!$M$2:$M$10073) + SUMIF(Mining!$B$2:$B$10023, $A87, Mining!$K$2:$K$10023)) + SUMIF(Mining!$B$2:$B$10023, $A87, Mining!$L$2:$L$10023)</f>
        <v>3406.04</v>
      </c>
      <c s="32" r="H87">
        <f>(SUMIF(Hunting!$C$2:$C$10073, $A87, Hunting!$N$2:$N$10073) + SUMIF(Crafting!$B$2:$B$10201, $A87, Crafting!$J$2:$J$10201)) + SUMIF(Mining!$B$2:$B$10023, $A87, Mining!$N$2:$N$10023)</f>
        <v>2897.5</v>
      </c>
      <c s="32" r="I87">
        <f>(SUMIF(Hunting!$C$2:$C$10073, $A87, Hunting!$O$2:$O$10073) + SUMIF(Crafting!$B$2:$B$10201, $A87, Crafting!$K$2:$K$10201)) + SUMIF(Mining!$B$2:$B$10023, $A87, Mining!$O$2:$O$10023)</f>
        <v>2506.8303</v>
      </c>
      <c s="32" r="J87">
        <f>SUMIF(Hunting!$C$2:$C$10073, $A87, Hunting!$P$2:$P$10073)</f>
        <v>0</v>
      </c>
      <c s="32" r="K87">
        <v>0</v>
      </c>
      <c s="32" r="L87">
        <f>SUMIF(Purchased!$A$2:$A$9982, $A87, Purchased!$H$2:$H$9982)</f>
        <v>0</v>
      </c>
      <c s="14" r="M87">
        <f>(((H87+I87)+K87)+T87)+L87</f>
        <v>5404.3303</v>
      </c>
      <c s="14" r="N87">
        <f>(((B87+C87)+E87)-G87)+F87</f>
        <v>4893.41</v>
      </c>
      <c s="33" r="O87">
        <f>M87-N87</f>
        <v>510.9203</v>
      </c>
      <c s="29" r="P87">
        <f> (M87/N87)-1</f>
        <v>0.104409869600136</v>
      </c>
      <c s="36" r="Q87">
        <f>SUMIF(Hunting!$C$2:$C$10073, $A87, Hunting!$S$2:$S$10073)</f>
        <v>696.7692</v>
      </c>
      <c s="36" r="R87">
        <f>SUMIF(Crafting!$B$2:$B$10172, $A87, Crafting!$N$2:$N$10172)</f>
        <v>-58.6921999999998</v>
      </c>
      <c s="36" r="S87">
        <f>SUMIF(Mining!$B$2:$B$10072, $A87, Mining!$S$2:$S$10072)</f>
        <v>58.1732999999997</v>
      </c>
      <c s="22" r="T87">
        <f>SUMIF(Hunting!$C$2:$C$10073, $A87, Hunting!$AA$2:$AA$10073) + SUMIF(Crafting!$B$2:$B$10201, $A87, Crafting!$T$2:$T$10201)</f>
        <v>0</v>
      </c>
      <c s="22" r="U87">
        <f>SUMIF(Hunting!$C$2:$C$10073, $A87, Hunting!$AB$2:$AB$10073) + SUMIF(Crafting!$B$2:$B$10201, $A87, Crafting!$U$2:$U$10201)</f>
        <v>0</v>
      </c>
      <c s="22" r="V87">
        <f>SUMIF(Hunting!$C$2:$C$10073, $A87, Hunting!$AC$2:$AC$10073) + SUMIF(Crafting!$B$2:$B$10201, $A87, Crafting!$V$2:$V$10201)</f>
        <v>13</v>
      </c>
      <c s="22" r="W87">
        <f>SUMIF(Hunting!$C$2:$C$10073, $A87, Hunting!$AD$2:$AD$10073) + SUMIF(Crafting!$B$2:$B$10201, $A87, Crafting!$W$2:$W$10201)</f>
        <v>2</v>
      </c>
    </row>
    <row r="88">
      <c s="78" r="A88">
        <v>41644</v>
      </c>
      <c s="9" r="B88">
        <f>(SUMIF(Hunting!$C$2:$C$10073, $A88, Hunting!$E$2:$E$10073) + SUMIF(Crafting!$B$2:$B$10201, $A88, Crafting!$M$2:$M$10201)) + SUMIF(Mining!$B$2:$B$10023, $A88, Mining!$D$2:$D$10023)</f>
        <v>9080.75</v>
      </c>
      <c s="9" r="C88">
        <f>SUMIF(Hunting!$C$2:$C$10073, $A88, Hunting!$L$2:$L$10073) + SUMIF(Mining!$B$2:$B$10023, $A88, Mining!$J$2:$J$10023)</f>
        <v>1348.98</v>
      </c>
      <c s="9" r="D88">
        <f>SUMIF(Hunting!$C$2:$C$10073, $A88, Hunting!$F$2:$F$10073)</f>
        <v>0.5</v>
      </c>
      <c s="9" r="E88">
        <f>SUMIF(Purchased!$A$2:$A$9982, $A88, Purchased!$D$2:$D$9982)-SUMIF(Purchased!$A$2:$A$9982, $A88, Purchased!$I$2:$I$9982)</f>
        <v>221.41</v>
      </c>
      <c s="9" r="F88">
        <f>SUMIF('Craft Mats'!$A$2:$A$10039, $A88, 'Craft Mats'!$F$2:$F$10039)</f>
        <v>119</v>
      </c>
      <c s="32" r="G88">
        <f>(SUMIF(Hunting!$C$2:$C$10073, $A88, Hunting!$M$2:$M$10073) + SUMIF(Mining!$B$2:$B$10023, $A88, Mining!$K$2:$K$10023)) + SUMIF(Mining!$B$2:$B$10023, $A88, Mining!$L$2:$L$10023)</f>
        <v>1362.32</v>
      </c>
      <c s="32" r="H88">
        <f>(SUMIF(Hunting!$C$2:$C$10073, $A88, Hunting!$N$2:$N$10073) + SUMIF(Crafting!$B$2:$B$10201, $A88, Crafting!$J$2:$J$10201)) + SUMIF(Mining!$B$2:$B$10023, $A88, Mining!$N$2:$N$10023)</f>
        <v>7717.38</v>
      </c>
      <c s="32" r="I88">
        <f>(SUMIF(Hunting!$C$2:$C$10073, $A88, Hunting!$O$2:$O$10073) + SUMIF(Crafting!$B$2:$B$10201, $A88, Crafting!$K$2:$K$10201)) + SUMIF(Mining!$B$2:$B$10023, $A88, Mining!$O$2:$O$10023)</f>
        <v>1676.389978</v>
      </c>
      <c s="32" r="J88">
        <f>SUMIF(Hunting!$C$2:$C$10073, $A88, Hunting!$P$2:$P$10073)</f>
        <v>0</v>
      </c>
      <c s="32" r="K88">
        <v>0</v>
      </c>
      <c s="32" r="L88">
        <f>SUMIF(Purchased!$A$2:$A$9982, $A88, Purchased!$H$2:$H$9982)</f>
        <v>12.85</v>
      </c>
      <c s="14" r="M88">
        <f>(((H88+I88)+K88)+T88)+L88</f>
        <v>9406.619978</v>
      </c>
      <c s="14" r="N88">
        <f>(((B88+C88)+E88)-G88)+F88</f>
        <v>9407.82</v>
      </c>
      <c s="33" r="O88">
        <f>M88-N88</f>
        <v>-1.20002199999908</v>
      </c>
      <c s="29" r="P88">
        <f> (M88/N88)-1</f>
        <v>-0.000127555799324</v>
      </c>
      <c s="36" r="Q88">
        <f>SUMIF(Hunting!$C$2:$C$10073, $A88, Hunting!$S$2:$S$10073)</f>
        <v>126.076918</v>
      </c>
      <c s="36" r="R88">
        <f>SUMIF(Crafting!$B$2:$B$10172, $A88, Crafting!$N$2:$N$10172)</f>
        <v>199.78306</v>
      </c>
      <c s="36" r="S88">
        <f>SUMIF(Mining!$B$2:$B$10072, $A88, Mining!$S$2:$S$10072)</f>
        <v>0</v>
      </c>
      <c s="22" r="T88">
        <f>SUMIF(Hunting!$C$2:$C$10073, $A88, Hunting!$AA$2:$AA$10073) + SUMIF(Crafting!$B$2:$B$10201, $A88, Crafting!$T$2:$T$10201)</f>
        <v>0</v>
      </c>
      <c s="22" r="U88">
        <f>SUMIF(Hunting!$C$2:$C$10073, $A88, Hunting!$AB$2:$AB$10073) + SUMIF(Crafting!$B$2:$B$10201, $A88, Crafting!$U$2:$U$10201)</f>
        <v>0</v>
      </c>
      <c s="22" r="V88">
        <f>SUMIF(Hunting!$C$2:$C$10073, $A88, Hunting!$AC$2:$AC$10073) + SUMIF(Crafting!$B$2:$B$10201, $A88, Crafting!$V$2:$V$10201)</f>
        <v>20</v>
      </c>
      <c s="22" r="W88">
        <f>SUMIF(Hunting!$C$2:$C$10073, $A88, Hunting!$AD$2:$AD$10073) + SUMIF(Crafting!$B$2:$B$10201, $A88, Crafting!$W$2:$W$10201)</f>
        <v>1</v>
      </c>
    </row>
    <row r="89">
      <c s="78" r="A89">
        <v>41645</v>
      </c>
      <c s="9" r="B89">
        <f>(SUMIF(Hunting!$C$2:$C$10073, $A89, Hunting!$E$2:$E$10073) + SUMIF(Crafting!$B$2:$B$10201, $A89, Crafting!$M$2:$M$10201)) + SUMIF(Mining!$B$2:$B$10023, $A89, Mining!$D$2:$D$10023)</f>
        <v>2395.95</v>
      </c>
      <c s="9" r="C89">
        <f>SUMIF(Hunting!$C$2:$C$10073, $A89, Hunting!$L$2:$L$10073) + SUMIF(Mining!$B$2:$B$10023, $A89, Mining!$J$2:$J$10023)</f>
        <v>274.9</v>
      </c>
      <c s="9" r="D89">
        <f>SUMIF(Hunting!$C$2:$C$10073, $A89, Hunting!$F$2:$F$10073)</f>
        <v>0.05</v>
      </c>
      <c s="9" r="E89">
        <f>SUMIF(Purchased!$A$2:$A$9982, $A89, Purchased!$D$2:$D$9982)-SUMIF(Purchased!$A$2:$A$9982, $A89, Purchased!$I$2:$I$9982)</f>
        <v>284.7</v>
      </c>
      <c s="9" r="F89">
        <f>SUMIF('Craft Mats'!$A$2:$A$10039, $A89, 'Craft Mats'!$F$2:$F$10039)</f>
        <v>17</v>
      </c>
      <c s="32" r="G89">
        <f>(SUMIF(Hunting!$C$2:$C$10073, $A89, Hunting!$M$2:$M$10073) + SUMIF(Mining!$B$2:$B$10023, $A89, Mining!$K$2:$K$10023)) + SUMIF(Mining!$B$2:$B$10023, $A89, Mining!$L$2:$L$10023)</f>
        <v>269.85</v>
      </c>
      <c s="32" r="H89">
        <f>(SUMIF(Hunting!$C$2:$C$10073, $A89, Hunting!$N$2:$N$10073) + SUMIF(Crafting!$B$2:$B$10201, $A89, Crafting!$J$2:$J$10201)) + SUMIF(Mining!$B$2:$B$10023, $A89, Mining!$N$2:$N$10023)</f>
        <v>1698.28</v>
      </c>
      <c s="32" r="I89">
        <f>(SUMIF(Hunting!$C$2:$C$10073, $A89, Hunting!$O$2:$O$10073) + SUMIF(Crafting!$B$2:$B$10201, $A89, Crafting!$K$2:$K$10201)) + SUMIF(Mining!$B$2:$B$10023, $A89, Mining!$O$2:$O$10023)</f>
        <v>504.45723</v>
      </c>
      <c s="32" r="J89">
        <f>SUMIF(Hunting!$C$2:$C$10073, $A89, Hunting!$P$2:$P$10073)</f>
        <v>0</v>
      </c>
      <c s="32" r="K89">
        <v>0</v>
      </c>
      <c s="32" r="L89">
        <f>SUMIF(Purchased!$A$2:$A$9982, $A89, Purchased!$H$2:$H$9982)</f>
        <v>655</v>
      </c>
      <c s="14" r="M89">
        <f>(((H89+I89)+K89)+T89)+L89</f>
        <v>2857.73723</v>
      </c>
      <c s="14" r="N89">
        <f>(((B89+C89)+E89)-G89)+F89</f>
        <v>2702.7</v>
      </c>
      <c s="33" r="O89">
        <f>M89-N89</f>
        <v>155.03723</v>
      </c>
      <c s="29" r="P89">
        <f> (M89/N89)-1</f>
        <v>0.057363832463832</v>
      </c>
      <c s="36" r="Q89">
        <f>SUMIF(Hunting!$C$2:$C$10073, $A89, Hunting!$S$2:$S$10073)</f>
        <v>-291.21</v>
      </c>
      <c s="36" r="R89">
        <f>SUMIF(Crafting!$B$2:$B$10172, $A89, Crafting!$N$2:$N$10172)</f>
        <v>92.89723</v>
      </c>
      <c s="36" r="S89">
        <f>SUMIF(Mining!$B$2:$B$10072, $A89, Mining!$S$2:$S$10072)</f>
        <v>0</v>
      </c>
      <c s="22" r="T89">
        <f>SUMIF(Hunting!$C$2:$C$10073, $A89, Hunting!$AA$2:$AA$10073) + SUMIF(Crafting!$B$2:$B$10201, $A89, Crafting!$T$2:$T$10201)</f>
        <v>0</v>
      </c>
      <c s="22" r="U89">
        <f>SUMIF(Hunting!$C$2:$C$10073, $A89, Hunting!$AB$2:$AB$10073) + SUMIF(Crafting!$B$2:$B$10201, $A89, Crafting!$U$2:$U$10201)</f>
        <v>0</v>
      </c>
      <c s="22" r="V89">
        <f>SUMIF(Hunting!$C$2:$C$10073, $A89, Hunting!$AC$2:$AC$10073) + SUMIF(Crafting!$B$2:$B$10201, $A89, Crafting!$V$2:$V$10201)</f>
        <v>10</v>
      </c>
      <c s="22" r="W89">
        <f>SUMIF(Hunting!$C$2:$C$10073, $A89, Hunting!$AD$2:$AD$10073) + SUMIF(Crafting!$B$2:$B$10201, $A89, Crafting!$W$2:$W$10201)</f>
        <v>0</v>
      </c>
    </row>
    <row r="90">
      <c s="78" r="A90">
        <v>41646</v>
      </c>
      <c s="9" r="B90">
        <f>(SUMIF(Hunting!$C$2:$C$10073, $A90, Hunting!$E$2:$E$10073) + SUMIF(Crafting!$B$2:$B$10201, $A90, Crafting!$M$2:$M$10201)) + SUMIF(Mining!$B$2:$B$10023, $A90, Mining!$D$2:$D$10023)</f>
        <v>5451.856</v>
      </c>
      <c s="9" r="C90">
        <f>SUMIF(Hunting!$C$2:$C$10073, $A90, Hunting!$L$2:$L$10073) + SUMIF(Mining!$B$2:$B$10023, $A90, Mining!$J$2:$J$10023)</f>
        <v>647.05</v>
      </c>
      <c s="9" r="D90">
        <f>SUMIF(Hunting!$C$2:$C$10073, $A90, Hunting!$F$2:$F$10073)</f>
        <v>0.15</v>
      </c>
      <c s="9" r="E90">
        <f>SUMIF(Purchased!$A$2:$A$9982, $A90, Purchased!$D$2:$D$9982)-SUMIF(Purchased!$A$2:$A$9982, $A90, Purchased!$I$2:$I$9982)</f>
        <v>363</v>
      </c>
      <c s="9" r="F90">
        <f>SUMIF('Craft Mats'!$A$2:$A$10039, $A90, 'Craft Mats'!$F$2:$F$10039)</f>
        <v>262.25</v>
      </c>
      <c s="32" r="G90">
        <f>(SUMIF(Hunting!$C$2:$C$10073, $A90, Hunting!$M$2:$M$10073) + SUMIF(Mining!$B$2:$B$10023, $A90, Mining!$K$2:$K$10023)) + SUMIF(Mining!$B$2:$B$10023, $A90, Mining!$L$2:$L$10023)</f>
        <v>2026.27</v>
      </c>
      <c s="32" r="H90">
        <f>(SUMIF(Hunting!$C$2:$C$10073, $A90, Hunting!$N$2:$N$10073) + SUMIF(Crafting!$B$2:$B$10201, $A90, Crafting!$J$2:$J$10201)) + SUMIF(Mining!$B$2:$B$10023, $A90, Mining!$N$2:$N$10023)</f>
        <v>2291.8549</v>
      </c>
      <c s="32" r="I90">
        <f>(SUMIF(Hunting!$C$2:$C$10073, $A90, Hunting!$O$2:$O$10073) + SUMIF(Crafting!$B$2:$B$10201, $A90, Crafting!$K$2:$K$10201)) + SUMIF(Mining!$B$2:$B$10023, $A90, Mining!$O$2:$O$10023)</f>
        <v>1482.008042</v>
      </c>
      <c s="32" r="J90">
        <f>SUMIF(Hunting!$C$2:$C$10073, $A90, Hunting!$P$2:$P$10073)</f>
        <v>0</v>
      </c>
      <c s="32" r="K90">
        <v>0</v>
      </c>
      <c s="32" r="L90">
        <f>SUMIF(Purchased!$A$2:$A$9982, $A90, Purchased!$H$2:$H$9982)</f>
        <v>0</v>
      </c>
      <c s="14" r="M90">
        <f>(((H90+I90)+K90)+T90)+L90</f>
        <v>3773.862942</v>
      </c>
      <c s="14" r="N90">
        <f>(((B90+C90)+E90)-G90)+F90</f>
        <v>4697.886</v>
      </c>
      <c s="33" r="O90">
        <f>M90-N90</f>
        <v>-924.023058</v>
      </c>
      <c s="29" r="P90">
        <f> (M90/N90)-1</f>
        <v>-0.196689118893051</v>
      </c>
      <c s="36" r="Q90">
        <f>SUMIF(Hunting!$C$2:$C$10073, $A90, Hunting!$S$2:$S$10073)</f>
        <v>-568.170116</v>
      </c>
      <c s="36" r="R90">
        <f>SUMIF(Crafting!$B$2:$B$10172, $A90, Crafting!$N$2:$N$10172)</f>
        <v>269.247058</v>
      </c>
      <c s="36" r="S90">
        <f>SUMIF(Mining!$B$2:$B$10072, $A90, Mining!$S$2:$S$10072)</f>
        <v>0</v>
      </c>
      <c s="22" r="T90">
        <f>SUMIF(Hunting!$C$2:$C$10073, $A90, Hunting!$AA$2:$AA$10073) + SUMIF(Crafting!$B$2:$B$10201, $A90, Crafting!$T$2:$T$10201)</f>
        <v>0</v>
      </c>
      <c s="22" r="U90">
        <f>SUMIF(Hunting!$C$2:$C$10073, $A90, Hunting!$AB$2:$AB$10073) + SUMIF(Crafting!$B$2:$B$10201, $A90, Crafting!$U$2:$U$10201)</f>
        <v>0</v>
      </c>
      <c s="22" r="V90">
        <f>SUMIF(Hunting!$C$2:$C$10073, $A90, Hunting!$AC$2:$AC$10073) + SUMIF(Crafting!$B$2:$B$10201, $A90, Crafting!$V$2:$V$10201)</f>
        <v>5</v>
      </c>
      <c s="22" r="W90">
        <f>SUMIF(Hunting!$C$2:$C$10073, $A90, Hunting!$AD$2:$AD$10073) + SUMIF(Crafting!$B$2:$B$10201, $A90, Crafting!$W$2:$W$10201)</f>
        <v>0</v>
      </c>
    </row>
    <row r="91">
      <c s="78" r="A91">
        <v>41647</v>
      </c>
      <c s="9" r="B91">
        <f>(SUMIF(Hunting!$C$2:$C$10073, $A91, Hunting!$E$2:$E$10073) + SUMIF(Crafting!$B$2:$B$10201, $A91, Crafting!$M$2:$M$10201)) + SUMIF(Mining!$B$2:$B$10023, $A91, Mining!$D$2:$D$10023)</f>
        <v>7821.557</v>
      </c>
      <c s="9" r="C91">
        <f>SUMIF(Hunting!$C$2:$C$10073, $A91, Hunting!$L$2:$L$10073) + SUMIF(Mining!$B$2:$B$10023, $A91, Mining!$J$2:$J$10023)</f>
        <v>914.5</v>
      </c>
      <c s="9" r="D91">
        <f>SUMIF(Hunting!$C$2:$C$10073, $A91, Hunting!$F$2:$F$10073)</f>
        <v>0</v>
      </c>
      <c s="9" r="E91">
        <f>SUMIF(Purchased!$A$2:$A$9982, $A91, Purchased!$D$2:$D$9982)-SUMIF(Purchased!$A$2:$A$9982, $A91, Purchased!$I$2:$I$9982)</f>
        <v>618</v>
      </c>
      <c s="9" r="F91">
        <f>SUMIF('Craft Mats'!$A$2:$A$10039, $A91, 'Craft Mats'!$F$2:$F$10039)</f>
        <v>626.26</v>
      </c>
      <c s="32" r="G91">
        <f>(SUMIF(Hunting!$C$2:$C$10073, $A91, Hunting!$M$2:$M$10073) + SUMIF(Mining!$B$2:$B$10023, $A91, Mining!$K$2:$K$10023)) + SUMIF(Mining!$B$2:$B$10023, $A91, Mining!$L$2:$L$10023)</f>
        <v>2775.63</v>
      </c>
      <c s="32" r="H91">
        <f>(SUMIF(Hunting!$C$2:$C$10073, $A91, Hunting!$N$2:$N$10073) + SUMIF(Crafting!$B$2:$B$10201, $A91, Crafting!$J$2:$J$10201)) + SUMIF(Mining!$B$2:$B$10023, $A91, Mining!$N$2:$N$10023)</f>
        <v>3059.0873</v>
      </c>
      <c s="32" r="I91">
        <f>(SUMIF(Hunting!$C$2:$C$10073, $A91, Hunting!$O$2:$O$10073) + SUMIF(Crafting!$B$2:$B$10201, $A91, Crafting!$K$2:$K$10201)) + SUMIF(Mining!$B$2:$B$10023, $A91, Mining!$O$2:$O$10023)</f>
        <v>4106.22261</v>
      </c>
      <c s="32" r="J91">
        <f>SUMIF(Hunting!$C$2:$C$10073, $A91, Hunting!$P$2:$P$10073)</f>
        <v>0</v>
      </c>
      <c s="32" r="K91">
        <v>0</v>
      </c>
      <c s="32" r="L91">
        <f>SUMIF(Purchased!$A$2:$A$9982, $A91, Purchased!$H$2:$H$9982)</f>
        <v>0</v>
      </c>
      <c s="14" r="M91">
        <f>(((H91+I91)+K91)+T91)+L91</f>
        <v>7165.30991</v>
      </c>
      <c s="14" r="N91">
        <f>(((B91+C91)+E91)-G91)+F91</f>
        <v>7204.687</v>
      </c>
      <c s="33" r="O91">
        <f>M91-N91</f>
        <v>-39.3770900000018</v>
      </c>
      <c s="29" r="P91">
        <f> (M91/N91)-1</f>
        <v>-0.005465482400554</v>
      </c>
      <c s="36" r="Q91">
        <f>SUMIF(Hunting!$C$2:$C$10073, $A91, Hunting!$S$2:$S$10073)</f>
        <v>776.2085</v>
      </c>
      <c s="36" r="R91">
        <f>SUMIF(Crafting!$B$2:$B$10172, $A91, Crafting!$N$2:$N$10172)</f>
        <v>291.72526</v>
      </c>
      <c s="36" r="S91">
        <f>SUMIF(Mining!$B$2:$B$10072, $A91, Mining!$S$2:$S$10072)</f>
        <v>136.94915</v>
      </c>
      <c s="22" r="T91">
        <f>SUMIF(Hunting!$C$2:$C$10073, $A91, Hunting!$AA$2:$AA$10073) + SUMIF(Crafting!$B$2:$B$10201, $A91, Crafting!$T$2:$T$10201)</f>
        <v>0</v>
      </c>
      <c s="22" r="U91">
        <f>SUMIF(Hunting!$C$2:$C$10073, $A91, Hunting!$AB$2:$AB$10073) + SUMIF(Crafting!$B$2:$B$10201, $A91, Crafting!$U$2:$U$10201)</f>
        <v>1</v>
      </c>
      <c s="22" r="V91">
        <f>SUMIF(Hunting!$C$2:$C$10073, $A91, Hunting!$AC$2:$AC$10073) + SUMIF(Crafting!$B$2:$B$10201, $A91, Crafting!$V$2:$V$10201)</f>
        <v>14</v>
      </c>
      <c s="22" r="W91">
        <f>SUMIF(Hunting!$C$2:$C$10073, $A91, Hunting!$AD$2:$AD$10073) + SUMIF(Crafting!$B$2:$B$10201, $A91, Crafting!$W$2:$W$10201)</f>
        <v>3</v>
      </c>
    </row>
    <row r="92">
      <c s="78" r="A92">
        <v>41648</v>
      </c>
      <c s="9" r="B92">
        <f>(SUMIF(Hunting!$C$2:$C$10073, $A92, Hunting!$E$2:$E$10073) + SUMIF(Crafting!$B$2:$B$10201, $A92, Crafting!$M$2:$M$10201)) + SUMIF(Mining!$B$2:$B$10023, $A92, Mining!$D$2:$D$10023)</f>
        <v>3374.83</v>
      </c>
      <c s="9" r="C92">
        <f>SUMIF(Hunting!$C$2:$C$10073, $A92, Hunting!$L$2:$L$10073) + SUMIF(Mining!$B$2:$B$10023, $A92, Mining!$J$2:$J$10023)</f>
        <v>642.61</v>
      </c>
      <c s="9" r="D92">
        <f>SUMIF(Hunting!$C$2:$C$10073, $A92, Hunting!$F$2:$F$10073)</f>
        <v>0.1</v>
      </c>
      <c s="9" r="E92">
        <f>SUMIF(Purchased!$A$2:$A$9982, $A92, Purchased!$D$2:$D$9982)-SUMIF(Purchased!$A$2:$A$9982, $A92, Purchased!$I$2:$I$9982)</f>
        <v>389</v>
      </c>
      <c s="9" r="F92">
        <f>SUMIF('Craft Mats'!$A$2:$A$10039, $A92, 'Craft Mats'!$F$2:$F$10039)</f>
        <v>0</v>
      </c>
      <c s="32" r="G92">
        <f>(SUMIF(Hunting!$C$2:$C$10073, $A92, Hunting!$M$2:$M$10073) + SUMIF(Mining!$B$2:$B$10023, $A92, Mining!$K$2:$K$10023)) + SUMIF(Mining!$B$2:$B$10023, $A92, Mining!$L$2:$L$10023)</f>
        <v>1024.25</v>
      </c>
      <c s="32" r="H92">
        <f>(SUMIF(Hunting!$C$2:$C$10073, $A92, Hunting!$N$2:$N$10073) + SUMIF(Crafting!$B$2:$B$10201, $A92, Crafting!$J$2:$J$10201)) + SUMIF(Mining!$B$2:$B$10023, $A92, Mining!$N$2:$N$10023)</f>
        <v>2405.99</v>
      </c>
      <c s="32" r="I92">
        <f>(SUMIF(Hunting!$C$2:$C$10073, $A92, Hunting!$O$2:$O$10073) + SUMIF(Crafting!$B$2:$B$10201, $A92, Crafting!$K$2:$K$10201)) + SUMIF(Mining!$B$2:$B$10023, $A92, Mining!$O$2:$O$10023)</f>
        <v>348.73018</v>
      </c>
      <c s="32" r="J92">
        <f>SUMIF(Hunting!$C$2:$C$10073, $A92, Hunting!$P$2:$P$10073)</f>
        <v>0</v>
      </c>
      <c s="32" r="K92">
        <v>0</v>
      </c>
      <c s="32" r="L92">
        <f>SUMIF(Purchased!$A$2:$A$9982, $A92, Purchased!$H$2:$H$9982)</f>
        <v>119.3</v>
      </c>
      <c s="14" r="M92">
        <f>(((H92+I92)+K92)+T92)+L92</f>
        <v>2874.02018</v>
      </c>
      <c s="14" r="N92">
        <f>(((B92+C92)+E92)-G92)+F92</f>
        <v>3382.19</v>
      </c>
      <c s="33" r="O92">
        <f>M92-N92</f>
        <v>-508.16982</v>
      </c>
      <c s="29" r="P92">
        <f> (M92/N92)-1</f>
        <v>-0.150248750070221</v>
      </c>
      <c s="36" r="Q92">
        <f>SUMIF(Hunting!$C$2:$C$10073, $A92, Hunting!$S$2:$S$10073)</f>
        <v>-234.1</v>
      </c>
      <c s="36" r="R92">
        <f>SUMIF(Crafting!$B$2:$B$10172, $A92, Crafting!$N$2:$N$10172)</f>
        <v>-4.46981999999992</v>
      </c>
      <c s="36" r="S92">
        <f>SUMIF(Mining!$B$2:$B$10072, $A92, Mining!$S$2:$S$10072)</f>
        <v>0</v>
      </c>
      <c s="22" r="T92">
        <f>SUMIF(Hunting!$C$2:$C$10073, $A92, Hunting!$AA$2:$AA$10073) + SUMIF(Crafting!$B$2:$B$10201, $A92, Crafting!$T$2:$T$10201)</f>
        <v>0</v>
      </c>
      <c s="22" r="U92">
        <f>SUMIF(Hunting!$C$2:$C$10073, $A92, Hunting!$AB$2:$AB$10073) + SUMIF(Crafting!$B$2:$B$10201, $A92, Crafting!$U$2:$U$10201)</f>
        <v>0</v>
      </c>
      <c s="22" r="V92">
        <f>SUMIF(Hunting!$C$2:$C$10073, $A92, Hunting!$AC$2:$AC$10073) + SUMIF(Crafting!$B$2:$B$10201, $A92, Crafting!$V$2:$V$10201)</f>
        <v>5</v>
      </c>
      <c s="22" r="W92">
        <f>SUMIF(Hunting!$C$2:$C$10073, $A92, Hunting!$AD$2:$AD$10073) + SUMIF(Crafting!$B$2:$B$10201, $A92, Crafting!$W$2:$W$10201)</f>
        <v>1</v>
      </c>
    </row>
    <row r="93">
      <c s="78" r="A93">
        <v>41649</v>
      </c>
      <c s="9" r="B93">
        <f>(SUMIF(Hunting!$C$2:$C$10073, $A93, Hunting!$E$2:$E$10073) + SUMIF(Crafting!$B$2:$B$10201, $A93, Crafting!$M$2:$M$10201)) + SUMIF(Mining!$B$2:$B$10023, $A93, Mining!$D$2:$D$10023)</f>
        <v>3711.377</v>
      </c>
      <c s="9" r="C93">
        <f>SUMIF(Hunting!$C$2:$C$10073, $A93, Hunting!$L$2:$L$10073) + SUMIF(Mining!$B$2:$B$10023, $A93, Mining!$J$2:$J$10023)</f>
        <v>910.79</v>
      </c>
      <c s="9" r="D93">
        <f>SUMIF(Hunting!$C$2:$C$10073, $A93, Hunting!$F$2:$F$10073)</f>
        <v>0</v>
      </c>
      <c s="9" r="E93">
        <f>SUMIF(Purchased!$A$2:$A$9982, $A93, Purchased!$D$2:$D$9982)-SUMIF(Purchased!$A$2:$A$9982, $A93, Purchased!$I$2:$I$9982)</f>
        <v>448</v>
      </c>
      <c s="9" r="F93">
        <f>SUMIF('Craft Mats'!$A$2:$A$10039, $A93, 'Craft Mats'!$F$2:$F$10039)</f>
        <v>19.51</v>
      </c>
      <c s="32" r="G93">
        <f>(SUMIF(Hunting!$C$2:$C$10073, $A93, Hunting!$M$2:$M$10073) + SUMIF(Mining!$B$2:$B$10023, $A93, Mining!$K$2:$K$10023)) + SUMIF(Mining!$B$2:$B$10023, $A93, Mining!$L$2:$L$10023)</f>
        <v>1154.97</v>
      </c>
      <c s="32" r="H93">
        <f>(SUMIF(Hunting!$C$2:$C$10073, $A93, Hunting!$N$2:$N$10073) + SUMIF(Crafting!$B$2:$B$10201, $A93, Crafting!$J$2:$J$10201)) + SUMIF(Mining!$B$2:$B$10023, $A93, Mining!$N$2:$N$10023)</f>
        <v>1663.9803</v>
      </c>
      <c s="32" r="I93">
        <f>(SUMIF(Hunting!$C$2:$C$10073, $A93, Hunting!$O$2:$O$10073) + SUMIF(Crafting!$B$2:$B$10201, $A93, Crafting!$K$2:$K$10201)) + SUMIF(Mining!$B$2:$B$10023, $A93, Mining!$O$2:$O$10023)</f>
        <v>1532.8753</v>
      </c>
      <c s="32" r="J93">
        <f>SUMIF(Hunting!$C$2:$C$10073, $A93, Hunting!$P$2:$P$10073)</f>
        <v>23.3</v>
      </c>
      <c s="32" r="K93">
        <v>23.3</v>
      </c>
      <c s="32" r="L93">
        <f>SUMIF(Purchased!$A$2:$A$9982, $A93, Purchased!$H$2:$H$9982)</f>
        <v>0</v>
      </c>
      <c s="14" r="M93">
        <f>(((H93+I93)+K93)+T93)+L93</f>
        <v>3220.1556</v>
      </c>
      <c s="14" r="N93">
        <f>(((B93+C93)+E93)-G93)+F93</f>
        <v>3934.707</v>
      </c>
      <c s="33" r="O93">
        <f>M93-N93</f>
        <v>-714.551399999999</v>
      </c>
      <c s="29" r="P93">
        <f> (M93/N93)-1</f>
        <v>-0.181602187913865</v>
      </c>
      <c s="36" r="Q93">
        <f>SUMIF(Hunting!$C$2:$C$10073, $A93, Hunting!$S$2:$S$10073)</f>
        <v>-217.47409</v>
      </c>
      <c s="36" r="R93">
        <f>SUMIF(Crafting!$B$2:$B$10172, $A93, Crafting!$N$2:$N$10172)</f>
        <v>15.7970900000001</v>
      </c>
      <c s="36" r="S93">
        <f>SUMIF(Mining!$B$2:$B$10072, $A93, Mining!$S$2:$S$10072)</f>
        <v>-45.3644</v>
      </c>
      <c s="22" r="T93">
        <f>SUMIF(Hunting!$C$2:$C$10073, $A93, Hunting!$AA$2:$AA$10073) + SUMIF(Crafting!$B$2:$B$10201, $A93, Crafting!$T$2:$T$10201)</f>
        <v>0</v>
      </c>
      <c s="22" r="U93">
        <f>SUMIF(Hunting!$C$2:$C$10073, $A93, Hunting!$AB$2:$AB$10073) + SUMIF(Crafting!$B$2:$B$10201, $A93, Crafting!$U$2:$U$10201)</f>
        <v>1</v>
      </c>
      <c s="22" r="V93">
        <f>SUMIF(Hunting!$C$2:$C$10073, $A93, Hunting!$AC$2:$AC$10073) + SUMIF(Crafting!$B$2:$B$10201, $A93, Crafting!$V$2:$V$10201)</f>
        <v>8</v>
      </c>
      <c s="22" r="W93">
        <f>SUMIF(Hunting!$C$2:$C$10073, $A93, Hunting!$AD$2:$AD$10073) + SUMIF(Crafting!$B$2:$B$10201, $A93, Crafting!$W$2:$W$10201)</f>
        <v>0</v>
      </c>
    </row>
    <row r="94">
      <c s="78" r="A94">
        <v>41650</v>
      </c>
      <c s="9" r="B94">
        <f>(SUMIF(Hunting!$C$2:$C$10073, $A94, Hunting!$E$2:$E$10073) + SUMIF(Crafting!$B$2:$B$10201, $A94, Crafting!$M$2:$M$10201)) + SUMIF(Mining!$B$2:$B$10023, $A94, Mining!$D$2:$D$10023)</f>
        <v>5514.05</v>
      </c>
      <c s="9" r="C94">
        <f>SUMIF(Hunting!$C$2:$C$10073, $A94, Hunting!$L$2:$L$10073) + SUMIF(Mining!$B$2:$B$10023, $A94, Mining!$J$2:$J$10023)</f>
        <v>690.36</v>
      </c>
      <c s="9" r="D94">
        <f>SUMIF(Hunting!$C$2:$C$10073, $A94, Hunting!$F$2:$F$10073)</f>
        <v>0.15</v>
      </c>
      <c s="9" r="E94">
        <f>SUMIF(Purchased!$A$2:$A$9982, $A94, Purchased!$D$2:$D$9982)-SUMIF(Purchased!$A$2:$A$9982, $A94, Purchased!$I$2:$I$9982)</f>
        <v>657.38</v>
      </c>
      <c s="9" r="F94">
        <f>SUMIF('Craft Mats'!$A$2:$A$10039, $A94, 'Craft Mats'!$F$2:$F$10039)</f>
        <v>10.22</v>
      </c>
      <c s="32" r="G94">
        <f>(SUMIF(Hunting!$C$2:$C$10073, $A94, Hunting!$M$2:$M$10073) + SUMIF(Mining!$B$2:$B$10023, $A94, Mining!$K$2:$K$10023)) + SUMIF(Mining!$B$2:$B$10023, $A94, Mining!$L$2:$L$10023)</f>
        <v>1921.52</v>
      </c>
      <c s="32" r="H94">
        <f>(SUMIF(Hunting!$C$2:$C$10073, $A94, Hunting!$N$2:$N$10073) + SUMIF(Crafting!$B$2:$B$10201, $A94, Crafting!$J$2:$J$10201)) + SUMIF(Mining!$B$2:$B$10023, $A94, Mining!$N$2:$N$10023)</f>
        <v>3204.09</v>
      </c>
      <c s="32" r="I94">
        <f>(SUMIF(Hunting!$C$2:$C$10073, $A94, Hunting!$O$2:$O$10073) + SUMIF(Crafting!$B$2:$B$10201, $A94, Crafting!$K$2:$K$10201)) + SUMIF(Mining!$B$2:$B$10023, $A94, Mining!$O$2:$O$10023)</f>
        <v>1886.014392</v>
      </c>
      <c s="32" r="J94">
        <f>SUMIF(Hunting!$C$2:$C$10073, $A94, Hunting!$P$2:$P$10073)</f>
        <v>154.798</v>
      </c>
      <c s="32" r="K94">
        <v>154.8</v>
      </c>
      <c s="32" r="L94">
        <f>SUMIF(Purchased!$A$2:$A$9982, $A94, Purchased!$H$2:$H$9982)</f>
        <v>190.75</v>
      </c>
      <c s="14" r="M94">
        <f>(((H94+I94)+K94)+T94)+L94</f>
        <v>5435.654392</v>
      </c>
      <c s="14" r="N94">
        <f>(((B94+C94)+E94)-G94)+F94</f>
        <v>4950.49</v>
      </c>
      <c s="33" r="O94">
        <f>M94-N94</f>
        <v>485.164391999999</v>
      </c>
      <c s="29" r="P94">
        <f> (M94/N94)-1</f>
        <v>0.098003307147373</v>
      </c>
      <c s="36" r="Q94">
        <f>SUMIF(Hunting!$C$2:$C$10073, $A94, Hunting!$S$2:$S$10073)</f>
        <v>938.679912</v>
      </c>
      <c s="36" r="R94">
        <f>SUMIF(Crafting!$B$2:$B$10172, $A94, Crafting!$N$2:$N$10172)</f>
        <v>23.18248</v>
      </c>
      <c s="36" r="S94">
        <f>SUMIF(Mining!$B$2:$B$10072, $A94, Mining!$S$2:$S$10072)</f>
        <v>0</v>
      </c>
      <c s="22" r="T94">
        <f>SUMIF(Hunting!$C$2:$C$10073, $A94, Hunting!$AA$2:$AA$10073) + SUMIF(Crafting!$B$2:$B$10201, $A94, Crafting!$T$2:$T$10201)</f>
        <v>0</v>
      </c>
      <c s="22" r="U94">
        <f>SUMIF(Hunting!$C$2:$C$10073, $A94, Hunting!$AB$2:$AB$10073) + SUMIF(Crafting!$B$2:$B$10201, $A94, Crafting!$U$2:$U$10201)</f>
        <v>1</v>
      </c>
      <c s="22" r="V94">
        <f>SUMIF(Hunting!$C$2:$C$10073, $A94, Hunting!$AC$2:$AC$10073) + SUMIF(Crafting!$B$2:$B$10201, $A94, Crafting!$V$2:$V$10201)</f>
        <v>11</v>
      </c>
      <c s="22" r="W94">
        <f>SUMIF(Hunting!$C$2:$C$10073, $A94, Hunting!$AD$2:$AD$10073) + SUMIF(Crafting!$B$2:$B$10201, $A94, Crafting!$W$2:$W$10201)</f>
        <v>0</v>
      </c>
    </row>
    <row r="95">
      <c s="78" r="A95">
        <v>41651</v>
      </c>
      <c s="9" r="B95">
        <f>(SUMIF(Hunting!$C$2:$C$10073, $A95, Hunting!$E$2:$E$10073) + SUMIF(Crafting!$B$2:$B$10201, $A95, Crafting!$M$2:$M$10201)) + SUMIF(Mining!$B$2:$B$10023, $A95, Mining!$D$2:$D$10023)</f>
        <v>4544.57</v>
      </c>
      <c s="9" r="C95">
        <f>SUMIF(Hunting!$C$2:$C$10073, $A95, Hunting!$L$2:$L$10073) + SUMIF(Mining!$B$2:$B$10023, $A95, Mining!$J$2:$J$10023)</f>
        <v>2006.88</v>
      </c>
      <c s="9" r="D95">
        <f>SUMIF(Hunting!$C$2:$C$10073, $A95, Hunting!$F$2:$F$10073)</f>
        <v>0</v>
      </c>
      <c s="9" r="E95">
        <f>SUMIF(Purchased!$A$2:$A$9982, $A95, Purchased!$D$2:$D$9982)-SUMIF(Purchased!$A$2:$A$9982, $A95, Purchased!$I$2:$I$9982)</f>
        <v>767.8</v>
      </c>
      <c s="9" r="F95">
        <f>SUMIF('Craft Mats'!$A$2:$A$10039, $A95, 'Craft Mats'!$F$2:$F$10039)</f>
        <v>319</v>
      </c>
      <c s="32" r="G95">
        <f>(SUMIF(Hunting!$C$2:$C$10073, $A95, Hunting!$M$2:$M$10073) + SUMIF(Mining!$B$2:$B$10023, $A95, Mining!$K$2:$K$10023)) + SUMIF(Mining!$B$2:$B$10023, $A95, Mining!$L$2:$L$10023)</f>
        <v>2980.62</v>
      </c>
      <c s="32" r="H95">
        <f>((SUMIF(Hunting!$C$2:$C$10073, $A95, Hunting!$N$2:$N$10073) + SUMIF(Crafting!$B$2:$B$10201, $A95, Crafting!$J$2:$J$10201)) + SUMIF(Mining!$B$2:$B$10023, $A95, Mining!$N$2:$N$10023)) + SUMIF(Mining!$B$2:$B$10023, $A95, Mining!$M$2:$M$10023)</f>
        <v>3232.27</v>
      </c>
      <c s="32" r="I95">
        <f>(SUMIF(Hunting!$C$2:$C$10073, $A95, Hunting!$O$2:$O$10073) + SUMIF(Crafting!$B$2:$B$10201, $A95, Crafting!$K$2:$K$10201)) + SUMIF(Mining!$B$2:$B$10023, $A95, Mining!$O$2:$O$10023)</f>
        <v>1399.75694</v>
      </c>
      <c s="32" r="J95">
        <f>SUMIF(Hunting!$C$2:$C$10073, $A95, Hunting!$P$2:$P$10073)</f>
        <v>0</v>
      </c>
      <c s="32" r="K95">
        <v>0</v>
      </c>
      <c s="32" r="L95">
        <f>SUMIF(Purchased!$A$2:$A$9982, $A95, Purchased!$H$2:$H$9982)</f>
        <v>0</v>
      </c>
      <c s="14" r="M95">
        <f>(((H95+I95)+K95)+T95)+L95</f>
        <v>4632.02694</v>
      </c>
      <c s="14" r="N95">
        <f>(((B95+C95)+E95)-G95)+F95</f>
        <v>4657.63</v>
      </c>
      <c s="33" r="O95">
        <f>M95-N95</f>
        <v>-25.6030599999995</v>
      </c>
      <c s="29" r="P95">
        <f> (M95/N95)-1</f>
        <v>-0.005497014576083</v>
      </c>
      <c s="36" r="Q95">
        <f>SUMIF(Hunting!$C$2:$C$10073, $A95, Hunting!$S$2:$S$10073)</f>
        <v>200.12</v>
      </c>
      <c s="36" r="R95">
        <f>SUMIF(Crafting!$B$2:$B$10172, $A95, Crafting!$N$2:$N$10172)</f>
        <v>-51.9722</v>
      </c>
      <c s="36" r="S95">
        <f>SUMIF(Mining!$B$2:$B$10072, $A95, Mining!$S$2:$S$10072)</f>
        <v>851.12914</v>
      </c>
      <c s="22" r="T95">
        <f>SUMIF(Hunting!$C$2:$C$10073, $A95, Hunting!$AA$2:$AA$10073) + SUMIF(Crafting!$B$2:$B$10201, $A95, Crafting!$T$2:$T$10201)</f>
        <v>0</v>
      </c>
      <c s="22" r="U95">
        <f>(SUMIF(Hunting!$C$2:$C$10073, $A95, Hunting!$AB$2:$AB$10073) + SUMIF(Crafting!$B$2:$B$10201, $A95, Crafting!$U$2:$U$10201)) + SUMIF(Mining!$B$2:$B$10023, $A95, Mining!$AA$2:$AA$10023)</f>
        <v>2</v>
      </c>
      <c s="22" r="V95">
        <f>(SUMIF(Hunting!$C$2:$C$10073, $A95, Hunting!$AC$2:$AC$10073) + SUMIF(Crafting!$B$2:$B$10201, $A95, Crafting!$V$2:$V$10201)) + SUMIF(Mining!$B$2:$B$10023, $A95, Mining!$AB$2:$AB$10023)</f>
        <v>6</v>
      </c>
      <c s="22" r="W95">
        <f>(SUMIF(Hunting!$C$2:$C$10073, $A95, Hunting!$AD$2:$AD$10073) + SUMIF(Crafting!$B$2:$B$10201, $A95, Crafting!$W$2:$W$10201)) + SUMIF(Mining!$B$2:$B$10023, $A95, Mining!$AC$2:$AC$10023)</f>
        <v>3</v>
      </c>
    </row>
    <row r="96">
      <c s="78" r="A96">
        <v>41652</v>
      </c>
      <c s="9" r="B96">
        <f>(SUMIF(Hunting!$C$2:$C$10073, $A96, Hunting!$E$2:$E$10073) + SUMIF(Crafting!$B$2:$B$10201, $A96, Crafting!$M$2:$M$10201)) + SUMIF(Mining!$B$2:$B$10023, $A96, Mining!$D$2:$D$10023)</f>
        <v>1331.05</v>
      </c>
      <c s="9" r="C96">
        <f>SUMIF(Hunting!$C$2:$C$10073, $A96, Hunting!$L$2:$L$10073) + SUMIF(Mining!$B$2:$B$10023, $A96, Mining!$J$2:$J$10023)</f>
        <v>0</v>
      </c>
      <c s="9" r="D96">
        <f>SUMIF(Hunting!$C$2:$C$10073, $A96, Hunting!$F$2:$F$10073)</f>
        <v>0</v>
      </c>
      <c s="9" r="E96">
        <f>SUMIF(Purchased!$A$2:$A$9982, $A96, Purchased!$D$2:$D$9982)-SUMIF(Purchased!$A$2:$A$9982, $A96, Purchased!$I$2:$I$9982)</f>
        <v>115</v>
      </c>
      <c s="9" r="F96">
        <f>SUMIF('Craft Mats'!$A$2:$A$10039, $A96, 'Craft Mats'!$F$2:$F$10039)</f>
        <v>158.1</v>
      </c>
      <c s="32" r="G96">
        <f>(SUMIF(Hunting!$C$2:$C$10073, $A96, Hunting!$M$2:$M$10073) + SUMIF(Mining!$B$2:$B$10023, $A96, Mining!$K$2:$K$10023)) + SUMIF(Mining!$B$2:$B$10023, $A96, Mining!$L$2:$L$10023)</f>
        <v>0</v>
      </c>
      <c s="32" r="H96">
        <f>((SUMIF(Hunting!$C$2:$C$10073, $A96, Hunting!$N$2:$N$10073) + SUMIF(Crafting!$B$2:$B$10201, $A96, Crafting!$J$2:$J$10201)) + SUMIF(Mining!$B$2:$B$10023, $A96, Mining!$N$2:$N$10023)) + SUMIF(Mining!$B$2:$B$10023, $A96, Mining!$M$2:$M$10023)</f>
        <v>423.851</v>
      </c>
      <c s="32" r="I96">
        <f>(SUMIF(Hunting!$C$2:$C$10073, $A96, Hunting!$O$2:$O$10073) + SUMIF(Crafting!$B$2:$B$10201, $A96, Crafting!$K$2:$K$10201)) + SUMIF(Mining!$B$2:$B$10023, $A96, Mining!$O$2:$O$10023)</f>
        <v>993.47254</v>
      </c>
      <c s="32" r="J96">
        <f>SUMIF(Hunting!$C$2:$C$10073, $A96, Hunting!$P$2:$P$10073)</f>
        <v>0</v>
      </c>
      <c s="32" r="K96">
        <v>0</v>
      </c>
      <c s="32" r="L96">
        <f>SUMIF(Purchased!$A$2:$A$9982, $A96, Purchased!$H$2:$H$9982)</f>
        <v>0</v>
      </c>
      <c s="14" r="M96">
        <f>(((H96+I96)+K96)+T96)+L96</f>
        <v>1417.32354</v>
      </c>
      <c s="14" r="N96">
        <f>(((B96+C96)+E96)-G96)+F96</f>
        <v>1604.15</v>
      </c>
      <c s="33" r="O96">
        <f>M96-N96</f>
        <v>-186.82646</v>
      </c>
      <c s="29" r="P96">
        <f> (M96/N96)-1</f>
        <v>-0.116464457812549</v>
      </c>
      <c s="36" r="Q96">
        <f>SUMIF(Hunting!$C$2:$C$10073, $A96, Hunting!$S$2:$S$10073)</f>
        <v>0</v>
      </c>
      <c s="36" r="R96">
        <f>SUMIF(Crafting!$B$2:$B$10172, $A96, Crafting!$N$2:$N$10172)</f>
        <v>58.8035400000001</v>
      </c>
      <c s="36" r="S96">
        <f>SUMIF(Mining!$B$2:$B$10072, $A96, Mining!$S$2:$S$10072)</f>
        <v>0</v>
      </c>
      <c s="22" r="T96">
        <f>SUMIF(Hunting!$C$2:$C$10073, $A96, Hunting!$AA$2:$AA$10073) + SUMIF(Crafting!$B$2:$B$10201, $A96, Crafting!$T$2:$T$10201)</f>
        <v>0</v>
      </c>
      <c s="22" r="U96">
        <f>(SUMIF(Hunting!$C$2:$C$10073, $A96, Hunting!$AB$2:$AB$10073) + SUMIF(Crafting!$B$2:$B$10201, $A96, Crafting!$U$2:$U$10201)) + SUMIF(Mining!$B$2:$B$10023, $A96, Mining!$AA$2:$AA$10023)</f>
        <v>0</v>
      </c>
      <c s="22" r="V96">
        <f>(SUMIF(Hunting!$C$2:$C$10073, $A96, Hunting!$AC$2:$AC$10073) + SUMIF(Crafting!$B$2:$B$10201, $A96, Crafting!$V$2:$V$10201)) + SUMIF(Mining!$B$2:$B$10023, $A96, Mining!$AB$2:$AB$10023)</f>
        <v>0</v>
      </c>
      <c s="22" r="W96">
        <f>(SUMIF(Hunting!$C$2:$C$10073, $A96, Hunting!$AD$2:$AD$10073) + SUMIF(Crafting!$B$2:$B$10201, $A96, Crafting!$W$2:$W$10201)) + SUMIF(Mining!$B$2:$B$10023, $A96, Mining!$AC$2:$AC$10023)</f>
        <v>0</v>
      </c>
    </row>
    <row r="97">
      <c s="53" r="A97"/>
      <c s="37" r="B97"/>
      <c s="37" r="C97"/>
      <c s="37" r="D97"/>
      <c s="37" r="E97"/>
      <c s="37" r="F97"/>
      <c s="73" r="G97"/>
      <c s="73" r="H97"/>
      <c s="73" r="I97"/>
      <c s="73" r="J97"/>
      <c s="73" r="K97"/>
      <c s="73" r="L97"/>
      <c s="1" r="M97"/>
      <c s="1" r="N97"/>
      <c s="41" r="O97"/>
      <c s="44" r="P97"/>
      <c s="24" r="Q97"/>
      <c s="24" r="R97"/>
      <c s="24" r="S97"/>
      <c s="38" r="T97"/>
      <c s="38" r="U97"/>
      <c s="38" r="V97"/>
      <c s="38" r="W97"/>
      <c s="69" r="X97"/>
      <c s="69" r="Y97"/>
    </row>
    <row r="98">
      <c s="11" r="A98"/>
      <c s="31" r="B98">
        <f>SUM(B1:B97)</f>
        <v>362385.5824</v>
      </c>
      <c s="31" r="C98">
        <f>SUM(C1:C97)</f>
        <v>59601.29</v>
      </c>
      <c s="31" r="D98">
        <f>SUM(D1:D97)</f>
        <v>317.7</v>
      </c>
      <c s="31" r="E98">
        <f>SUM(E1:E97)</f>
        <v>6998.41</v>
      </c>
      <c s="31" r="F98">
        <f>SUM(F1:F97)</f>
        <v>1988.74</v>
      </c>
      <c s="6" r="G98">
        <f>SUM(G1:G97)</f>
        <v>85558.54</v>
      </c>
      <c s="6" r="H98">
        <f>SUM(H1:H97)</f>
        <v>233246.4167</v>
      </c>
      <c s="6" r="I98">
        <f>SUM(I1:I97)</f>
        <v>103516.763968733</v>
      </c>
      <c s="6" r="J98">
        <f>SUM(J1:J97)</f>
        <v>1775.819417</v>
      </c>
      <c s="6" r="K98">
        <f>SUM(K1:K97)</f>
        <v>3654.64</v>
      </c>
      <c s="6" r="L98">
        <f>SUM(L1:L97)</f>
        <v>2156.2</v>
      </c>
      <c s="13" r="M98">
        <f>SUM(M1:M97)</f>
        <v>342990.430507733</v>
      </c>
      <c s="13" r="N98">
        <f>SUM(N1:N97)</f>
        <v>345415.4824</v>
      </c>
      <c s="64" r="O98">
        <f>M98-N98</f>
        <v>-2425.05189226667</v>
      </c>
      <c s="46" r="P98">
        <f> M98/N98</f>
        <v>0.992979319064053</v>
      </c>
      <c s="60" r="Q98">
        <f>SUM(Q2:Q80)</f>
        <v>-6011.60910266666</v>
      </c>
      <c s="60" r="R98">
        <f>SUM(R2:R80)</f>
        <v>3257.3887484</v>
      </c>
      <c s="60" r="S98">
        <f>SUM(S2:S80)</f>
        <v>709.24623</v>
      </c>
      <c s="67" r="T98">
        <f>SUM(T1:T97)</f>
        <v>-38.4</v>
      </c>
      <c s="67" r="U98">
        <f>SUM(U1:U97)</f>
        <v>89</v>
      </c>
      <c s="67" r="V98">
        <f>SUM(V1:V97)</f>
        <v>795</v>
      </c>
      <c s="67" r="W98">
        <f>SUM(W1:W97)</f>
        <v>42</v>
      </c>
      <c s="47" r="X98"/>
      <c s="47" r="Y98"/>
    </row>
    <row r="99">
      <c s="30" r="A99"/>
      <c s="16" r="B99"/>
      <c s="16" r="C99"/>
      <c s="16" r="D99"/>
      <c s="16" r="E99"/>
      <c s="16" r="F99"/>
      <c s="79" r="G99"/>
      <c s="79" r="H99"/>
      <c s="79" r="I99"/>
      <c s="32" r="J99"/>
      <c s="32" r="K99"/>
      <c s="32" r="L99"/>
      <c s="20" r="M99"/>
      <c s="17" r="N99"/>
      <c s="63" r="O99"/>
      <c s="39" r="P99"/>
      <c s="57" r="Q99"/>
      <c s="57" r="R99"/>
      <c s="57" r="S99"/>
      <c s="22" r="T99"/>
      <c s="22" r="U99"/>
      <c s="22" r="V99"/>
      <c s="22" r="W99"/>
    </row>
    <row r="100">
      <c s="30" r="A100"/>
      <c s="16" r="B100"/>
      <c s="16" r="C100"/>
      <c s="16" r="D100"/>
      <c s="16" r="E100"/>
      <c s="16" r="F100"/>
      <c s="79" r="G100"/>
      <c s="79" r="H100"/>
      <c s="79" r="I100"/>
      <c s="32" r="J100"/>
      <c s="32" r="K100"/>
      <c s="32" r="L100"/>
      <c s="20" r="M100"/>
      <c s="17" r="N100"/>
      <c s="63" r="O100"/>
      <c s="39" r="P100"/>
      <c s="57" r="Q100"/>
      <c s="57" r="R100"/>
      <c s="57" r="S100"/>
      <c s="22" r="T100"/>
      <c s="22" r="U100"/>
      <c s="22" r="V100"/>
      <c s="22" r="W100"/>
    </row>
    <row r="101">
      <c s="30" r="A101"/>
      <c s="16" r="B101"/>
      <c s="16" r="C101"/>
      <c s="16" r="D101"/>
      <c s="16" r="E101"/>
      <c s="16" r="F101"/>
      <c s="79" r="G101"/>
      <c s="79" r="H101"/>
      <c s="79" r="I101"/>
      <c s="32" r="J101"/>
      <c s="32" r="K101"/>
      <c s="32" r="L101"/>
      <c s="20" r="M101"/>
      <c s="17" r="N101"/>
      <c s="63" r="O101"/>
      <c s="39" r="P101"/>
      <c s="57" r="Q101"/>
      <c s="57" r="R101"/>
      <c s="57" r="S101"/>
      <c s="22" r="T101"/>
      <c s="22" r="U101"/>
      <c s="22" r="V101"/>
      <c s="22" r="W101"/>
    </row>
    <row r="102">
      <c s="30" r="A102"/>
      <c s="16" r="B102"/>
      <c s="16" r="C102"/>
      <c s="16" r="D102"/>
      <c s="16" r="E102"/>
      <c s="16" r="F102"/>
      <c s="79" r="G102"/>
      <c s="79" r="H102"/>
      <c s="79" r="I102"/>
      <c s="32" r="J102"/>
      <c s="32" r="K102"/>
      <c s="32" r="L102"/>
      <c s="20" r="M102"/>
      <c s="17" r="N102"/>
      <c s="63" r="O102"/>
      <c s="39" r="P102"/>
      <c s="57" r="Q102"/>
      <c s="57" r="R102"/>
      <c s="57" r="S102"/>
      <c s="22" r="T102"/>
      <c s="22" r="U102"/>
      <c s="22" r="V102"/>
      <c s="22" r="W102"/>
    </row>
    <row r="103">
      <c s="30" r="A103"/>
      <c s="16" r="B103"/>
      <c s="16" r="C103"/>
      <c s="16" r="D103"/>
      <c s="16" r="E103"/>
      <c s="16" r="F103"/>
      <c s="79" r="G103"/>
      <c s="79" r="H103"/>
      <c s="79" r="I103"/>
      <c s="32" r="J103"/>
      <c s="32" r="K103"/>
      <c s="32" r="L103"/>
      <c s="20" r="M103"/>
      <c s="17" r="N103"/>
      <c s="63" r="O103"/>
      <c s="39" r="P103"/>
      <c s="57" r="Q103"/>
      <c s="57" r="R103"/>
      <c s="57" r="S103"/>
      <c s="22" r="T103"/>
      <c s="22" r="U103"/>
      <c s="22" r="V103"/>
      <c s="22" r="W103"/>
    </row>
    <row r="104">
      <c s="30" r="A104"/>
      <c s="16" r="B104"/>
      <c s="16" r="C104"/>
      <c s="16" r="D104"/>
      <c s="16" r="E104"/>
      <c s="16" r="F104"/>
      <c s="79" r="G104"/>
      <c s="79" r="H104"/>
      <c s="79" r="I104"/>
      <c s="32" r="J104"/>
      <c s="32" r="K104"/>
      <c s="32" r="L104"/>
      <c s="20" r="M104"/>
      <c s="17" r="N104"/>
      <c s="63" r="O104"/>
      <c s="39" r="P104"/>
      <c s="57" r="Q104"/>
      <c s="57" r="R104"/>
      <c s="57" r="S104"/>
      <c s="22" r="T104"/>
      <c s="22" r="U104"/>
      <c s="22" r="V104"/>
      <c s="22" r="W104"/>
    </row>
    <row r="105">
      <c s="30" r="A105"/>
      <c s="16" r="B105"/>
      <c s="16" r="C105"/>
      <c s="16" r="D105"/>
      <c s="16" r="E105"/>
      <c s="16" r="F105"/>
      <c s="79" r="G105"/>
      <c s="79" r="H105"/>
      <c s="79" r="I105"/>
      <c s="32" r="J105"/>
      <c s="32" r="K105"/>
      <c s="32" r="L105"/>
      <c s="20" r="M105"/>
      <c s="17" r="N105"/>
      <c s="63" r="O105"/>
      <c s="39" r="P105"/>
      <c s="57" r="Q105"/>
      <c s="57" r="R105"/>
      <c s="57" r="S105"/>
      <c s="22" r="T105"/>
      <c s="22" r="U105"/>
      <c s="22" r="V105"/>
      <c s="22" r="W105"/>
    </row>
    <row r="106">
      <c s="30" r="A106"/>
      <c s="16" r="B106"/>
      <c s="16" r="C106"/>
      <c s="16" r="D106"/>
      <c s="16" r="E106"/>
      <c s="16" r="F106"/>
      <c s="79" r="G106"/>
      <c s="79" r="H106"/>
      <c s="79" r="I106"/>
      <c s="32" r="J106"/>
      <c s="32" r="K106"/>
      <c s="32" r="L106"/>
      <c s="20" r="M106"/>
      <c s="17" r="N106"/>
      <c s="63" r="O106"/>
      <c s="39" r="P106"/>
      <c s="57" r="Q106"/>
      <c s="57" r="R106"/>
      <c s="57" r="S106"/>
      <c s="22" r="T106"/>
      <c s="22" r="U106"/>
      <c s="22" r="V106"/>
      <c s="22" r="W106"/>
    </row>
    <row r="107">
      <c s="30" r="A107"/>
      <c s="16" r="B107"/>
      <c s="16" r="C107"/>
      <c s="16" r="D107"/>
      <c s="16" r="E107"/>
      <c s="16" r="F107"/>
      <c s="79" r="G107"/>
      <c s="79" r="H107"/>
      <c s="79" r="I107"/>
      <c s="32" r="J107"/>
      <c s="32" r="K107"/>
      <c s="32" r="L107"/>
      <c s="20" r="M107"/>
      <c s="17" r="N107"/>
      <c s="63" r="O107"/>
      <c s="39" r="P107"/>
      <c s="57" r="Q107"/>
      <c s="57" r="R107"/>
      <c s="57" r="S107"/>
      <c s="22" r="T107"/>
      <c s="22" r="U107"/>
      <c s="22" r="V107"/>
      <c s="22" r="W107"/>
    </row>
    <row r="108">
      <c s="30" r="A108"/>
      <c s="16" r="B108"/>
      <c s="16" r="C108"/>
      <c s="16" r="D108"/>
      <c s="16" r="E108"/>
      <c s="16" r="F108"/>
      <c s="79" r="G108"/>
      <c s="79" r="H108"/>
      <c s="79" r="I108"/>
      <c s="32" r="J108"/>
      <c s="32" r="K108"/>
      <c s="32" r="L108"/>
      <c s="20" r="M108"/>
      <c s="17" r="N108"/>
      <c s="63" r="O108"/>
      <c s="39" r="P108"/>
      <c s="57" r="Q108"/>
      <c s="57" r="R108"/>
      <c s="57" r="S108"/>
      <c s="22" r="T108"/>
      <c s="22" r="U108"/>
      <c s="22" r="V108"/>
      <c s="22" r="W108"/>
    </row>
    <row r="109">
      <c s="30" r="A109"/>
      <c s="16" r="B109"/>
      <c s="16" r="C109"/>
      <c s="16" r="D109"/>
      <c s="16" r="E109"/>
      <c s="16" r="F109"/>
      <c s="79" r="G109"/>
      <c s="79" r="H109"/>
      <c s="79" r="I109"/>
      <c s="32" r="J109"/>
      <c s="32" r="K109"/>
      <c s="32" r="L109"/>
      <c s="20" r="M109"/>
      <c s="17" r="N109"/>
      <c s="63" r="O109"/>
      <c s="39" r="P109"/>
      <c s="57" r="Q109"/>
      <c s="57" r="R109"/>
      <c s="57" r="S109"/>
      <c s="22" r="T109"/>
      <c s="22" r="U109"/>
      <c s="22" r="V109"/>
      <c s="22" r="W109"/>
    </row>
    <row r="110">
      <c s="30" r="A110"/>
      <c s="16" r="B110"/>
      <c s="16" r="C110"/>
      <c s="16" r="D110"/>
      <c s="16" r="E110"/>
      <c s="16" r="F110"/>
      <c s="79" r="G110"/>
      <c s="79" r="H110"/>
      <c s="79" r="I110"/>
      <c s="32" r="J110"/>
      <c s="32" r="K110"/>
      <c s="32" r="L110"/>
      <c s="20" r="M110"/>
      <c s="17" r="N110"/>
      <c s="63" r="O110"/>
      <c s="39" r="P110"/>
      <c s="57" r="Q110"/>
      <c s="57" r="R110"/>
      <c s="57" r="S110"/>
      <c s="22" r="T110"/>
      <c s="22" r="U110"/>
      <c s="22" r="V110"/>
      <c s="22" r="W110"/>
    </row>
    <row r="111">
      <c s="30" r="A111"/>
      <c s="16" r="B111"/>
      <c s="16" r="C111"/>
      <c s="16" r="D111"/>
      <c s="16" r="E111"/>
      <c s="16" r="F111"/>
      <c s="79" r="G111"/>
      <c s="79" r="H111"/>
      <c s="79" r="I111"/>
      <c s="32" r="J111"/>
      <c s="32" r="K111"/>
      <c s="32" r="L111"/>
      <c s="20" r="M111"/>
      <c s="17" r="N111"/>
      <c s="63" r="O111"/>
      <c s="39" r="P111"/>
      <c s="57" r="Q111"/>
      <c s="57" r="R111"/>
      <c s="57" r="S111"/>
      <c s="22" r="T111"/>
      <c s="22" r="U111"/>
      <c s="22" r="V111"/>
      <c s="22" r="W111"/>
    </row>
    <row r="112">
      <c s="30" r="A112"/>
      <c s="16" r="B112"/>
      <c s="16" r="C112"/>
      <c s="16" r="D112"/>
      <c s="16" r="E112"/>
      <c s="16" r="F112"/>
      <c s="79" r="G112"/>
      <c s="79" r="H112"/>
      <c s="79" r="I112"/>
      <c s="32" r="J112"/>
      <c s="32" r="K112"/>
      <c s="32" r="L112"/>
      <c s="20" r="M112"/>
      <c s="17" r="N112"/>
      <c s="63" r="O112"/>
      <c s="39" r="P112"/>
      <c s="57" r="Q112"/>
      <c s="57" r="R112"/>
      <c s="57" r="S112"/>
      <c s="22" r="T112"/>
      <c s="22" r="U112"/>
      <c s="22" r="V112"/>
      <c s="22" r="W112"/>
    </row>
    <row r="113">
      <c s="30" r="A113"/>
      <c s="16" r="B113"/>
      <c s="16" r="C113"/>
      <c s="16" r="D113"/>
      <c s="16" r="E113"/>
      <c s="16" r="F113"/>
      <c s="79" r="G113"/>
      <c s="79" r="H113"/>
      <c s="79" r="I113"/>
      <c s="32" r="J113"/>
      <c s="32" r="K113"/>
      <c s="32" r="L113"/>
      <c s="20" r="M113"/>
      <c s="17" r="N113"/>
      <c s="63" r="O113"/>
      <c s="39" r="P113"/>
      <c s="57" r="Q113"/>
      <c s="57" r="R113"/>
      <c s="57" r="S113"/>
      <c s="22" r="T113"/>
      <c s="22" r="U113"/>
      <c s="22" r="V113"/>
      <c s="22" r="W113"/>
    </row>
    <row r="114">
      <c s="30" r="A114"/>
      <c s="16" r="B114"/>
      <c s="16" r="C114"/>
      <c s="16" r="D114"/>
      <c s="16" r="E114"/>
      <c s="16" r="F114"/>
      <c s="79" r="G114"/>
      <c s="79" r="H114"/>
      <c s="79" r="I114"/>
      <c s="32" r="J114"/>
      <c s="32" r="K114"/>
      <c s="32" r="L114"/>
      <c s="20" r="M114"/>
      <c s="17" r="N114"/>
      <c s="63" r="O114"/>
      <c s="39" r="P114"/>
      <c s="57" r="Q114"/>
      <c s="57" r="R114"/>
      <c s="57" r="S114"/>
      <c s="22" r="T114"/>
      <c s="22" r="U114"/>
      <c s="22" r="V114"/>
      <c s="22" r="W114"/>
    </row>
    <row r="115">
      <c s="30" r="A115"/>
      <c s="16" r="B115"/>
      <c s="16" r="C115"/>
      <c s="16" r="D115"/>
      <c s="16" r="E115"/>
      <c s="16" r="F115"/>
      <c s="79" r="G115"/>
      <c s="79" r="H115"/>
      <c s="79" r="I115"/>
      <c s="32" r="J115"/>
      <c s="32" r="K115"/>
      <c s="32" r="L115"/>
      <c s="20" r="M115"/>
      <c s="17" r="N115"/>
      <c s="63" r="O115"/>
      <c s="39" r="P115"/>
      <c s="57" r="Q115"/>
      <c s="57" r="R115"/>
      <c s="57" r="S115"/>
      <c s="22" r="T115"/>
      <c s="22" r="U115"/>
      <c s="22" r="V115"/>
      <c s="22" r="W115"/>
    </row>
    <row r="116">
      <c s="30" r="A116"/>
      <c s="16" r="B116"/>
      <c s="16" r="C116"/>
      <c s="16" r="D116"/>
      <c s="16" r="E116"/>
      <c s="16" r="F116"/>
      <c s="79" r="G116"/>
      <c s="79" r="H116"/>
      <c s="79" r="I116"/>
      <c s="32" r="J116"/>
      <c s="32" r="K116"/>
      <c s="32" r="L116"/>
      <c s="20" r="M116"/>
      <c s="17" r="N116"/>
      <c s="63" r="O116"/>
      <c s="39" r="P116"/>
      <c s="57" r="Q116"/>
      <c s="57" r="R116"/>
      <c s="57" r="S116"/>
      <c s="22" r="T116"/>
      <c s="22" r="U116"/>
      <c s="22" r="V116"/>
      <c s="22" r="W116"/>
    </row>
    <row r="117">
      <c s="30" r="A117"/>
      <c s="16" r="B117"/>
      <c s="16" r="C117"/>
      <c s="16" r="D117"/>
      <c s="16" r="E117"/>
      <c s="16" r="F117"/>
      <c s="79" r="G117"/>
      <c s="79" r="H117"/>
      <c s="79" r="I117"/>
      <c s="32" r="J117"/>
      <c s="32" r="K117"/>
      <c s="32" r="L117"/>
      <c s="20" r="M117"/>
      <c s="17" r="N117"/>
      <c s="63" r="O117"/>
      <c s="39" r="P117"/>
      <c s="57" r="Q117"/>
      <c s="57" r="R117"/>
      <c s="57" r="S117"/>
      <c s="22" r="T117"/>
      <c s="22" r="U117"/>
      <c s="22" r="V117"/>
      <c s="22" r="W117"/>
    </row>
    <row r="118">
      <c s="30" r="A118"/>
      <c s="16" r="B118"/>
      <c s="16" r="C118"/>
      <c s="16" r="D118"/>
      <c s="16" r="E118"/>
      <c s="16" r="F118"/>
      <c s="79" r="G118"/>
      <c s="79" r="H118"/>
      <c s="79" r="I118"/>
      <c s="32" r="J118"/>
      <c s="32" r="K118"/>
      <c s="32" r="L118"/>
      <c s="20" r="M118"/>
      <c s="17" r="N118"/>
      <c s="63" r="O118"/>
      <c s="39" r="P118"/>
      <c s="57" r="Q118"/>
      <c s="57" r="R118"/>
      <c s="57" r="S118"/>
      <c s="22" r="T118"/>
      <c s="22" r="U118"/>
      <c s="22" r="V118"/>
      <c s="22" r="W118"/>
    </row>
    <row r="119">
      <c s="30" r="A119"/>
      <c s="16" r="B119"/>
      <c s="16" r="C119"/>
      <c s="16" r="D119"/>
      <c s="16" r="E119"/>
      <c s="16" r="F119"/>
      <c s="79" r="G119"/>
      <c s="79" r="H119"/>
      <c s="79" r="I119"/>
      <c s="32" r="J119"/>
      <c s="32" r="K119"/>
      <c s="32" r="L119"/>
      <c s="20" r="M119"/>
      <c s="17" r="N119"/>
      <c s="63" r="O119"/>
      <c s="39" r="P119"/>
      <c s="57" r="Q119"/>
      <c s="57" r="R119"/>
      <c s="57" r="S119"/>
      <c s="22" r="T119"/>
      <c s="22" r="U119"/>
      <c s="22" r="V119"/>
      <c s="22" r="W119"/>
    </row>
    <row r="120">
      <c s="30" r="A120"/>
      <c s="16" r="B120"/>
      <c s="16" r="C120"/>
      <c s="16" r="D120"/>
      <c s="16" r="E120"/>
      <c s="16" r="F120"/>
      <c s="79" r="G120"/>
      <c s="79" r="H120"/>
      <c s="79" r="I120"/>
      <c s="32" r="J120"/>
      <c s="32" r="K120"/>
      <c s="32" r="L120"/>
      <c s="20" r="M120"/>
      <c s="17" r="N120"/>
      <c s="63" r="O120"/>
      <c s="39" r="P120"/>
      <c s="57" r="Q120"/>
      <c s="57" r="R120"/>
      <c s="57" r="S120"/>
      <c s="22" r="T120"/>
      <c s="22" r="U120"/>
      <c s="22" r="V120"/>
      <c s="22" r="W120"/>
    </row>
    <row r="121">
      <c s="30" r="A121"/>
      <c s="16" r="B121"/>
      <c s="16" r="C121"/>
      <c s="16" r="D121"/>
      <c s="16" r="E121"/>
      <c s="16" r="F121"/>
      <c s="79" r="G121"/>
      <c s="79" r="H121"/>
      <c s="79" r="I121"/>
      <c s="32" r="J121"/>
      <c s="32" r="K121"/>
      <c s="32" r="L121"/>
      <c s="20" r="M121"/>
      <c s="17" r="N121"/>
      <c s="63" r="O121"/>
      <c s="39" r="P121"/>
      <c s="57" r="Q121"/>
      <c s="57" r="R121"/>
      <c s="57" r="S121"/>
      <c s="22" r="T121"/>
      <c s="22" r="U121"/>
      <c s="22" r="V121"/>
      <c s="22" r="W121"/>
    </row>
    <row r="122">
      <c s="30" r="A122"/>
      <c s="16" r="B122"/>
      <c s="16" r="C122"/>
      <c s="16" r="D122"/>
      <c s="16" r="E122"/>
      <c s="16" r="F122"/>
      <c s="79" r="G122"/>
      <c s="79" r="H122"/>
      <c s="79" r="I122"/>
      <c s="32" r="J122"/>
      <c s="32" r="K122"/>
      <c s="32" r="L122"/>
      <c s="20" r="M122"/>
      <c s="17" r="N122"/>
      <c s="63" r="O122"/>
      <c s="39" r="P122"/>
      <c s="57" r="Q122"/>
      <c s="57" r="R122"/>
      <c s="57" r="S122"/>
      <c s="22" r="T122"/>
      <c s="22" r="U122"/>
      <c s="22" r="V122"/>
      <c s="22" r="W122"/>
    </row>
    <row r="123">
      <c s="30" r="A123"/>
      <c s="16" r="B123"/>
      <c s="16" r="C123"/>
      <c s="16" r="D123"/>
      <c s="16" r="E123"/>
      <c s="16" r="F123"/>
      <c s="79" r="G123"/>
      <c s="79" r="H123"/>
      <c s="79" r="I123"/>
      <c s="32" r="J123"/>
      <c s="32" r="K123"/>
      <c s="32" r="L123"/>
      <c s="20" r="M123"/>
      <c s="17" r="N123"/>
      <c s="63" r="O123"/>
      <c s="39" r="P123"/>
      <c s="57" r="Q123"/>
      <c s="57" r="R123"/>
      <c s="57" r="S123"/>
      <c s="22" r="T123"/>
      <c s="22" r="U123"/>
      <c s="22" r="V123"/>
      <c s="22" r="W123"/>
    </row>
    <row r="124">
      <c s="30" r="A124"/>
      <c s="16" r="B124"/>
      <c s="16" r="C124"/>
      <c s="16" r="D124"/>
      <c s="16" r="E124"/>
      <c s="16" r="F124"/>
      <c s="79" r="G124"/>
      <c s="79" r="H124"/>
      <c s="79" r="I124"/>
      <c s="32" r="J124"/>
      <c s="32" r="K124"/>
      <c s="32" r="L124"/>
      <c s="20" r="M124"/>
      <c s="17" r="N124"/>
      <c s="63" r="O124"/>
      <c s="39" r="P124"/>
      <c s="57" r="Q124"/>
      <c s="57" r="R124"/>
      <c s="57" r="S124"/>
      <c s="22" r="T124"/>
      <c s="22" r="U124"/>
      <c s="22" r="V124"/>
      <c s="22" r="W124"/>
    </row>
    <row r="125">
      <c s="30" r="A125"/>
      <c s="16" r="B125"/>
      <c s="16" r="C125"/>
      <c s="16" r="D125"/>
      <c s="16" r="E125"/>
      <c s="16" r="F125"/>
      <c s="79" r="G125"/>
      <c s="79" r="H125"/>
      <c s="79" r="I125"/>
      <c s="32" r="J125"/>
      <c s="32" r="K125"/>
      <c s="32" r="L125"/>
      <c s="20" r="M125"/>
      <c s="17" r="N125"/>
      <c s="63" r="O125"/>
      <c s="39" r="P125"/>
      <c s="57" r="Q125"/>
      <c s="57" r="R125"/>
      <c s="57" r="S125"/>
      <c s="22" r="T125"/>
      <c s="22" r="U125"/>
      <c s="22" r="V125"/>
      <c s="22" r="W125"/>
    </row>
    <row r="126">
      <c s="30" r="A126"/>
      <c s="16" r="B126"/>
      <c s="16" r="C126"/>
      <c s="16" r="D126"/>
      <c s="16" r="E126"/>
      <c s="16" r="F126"/>
      <c s="79" r="G126"/>
      <c s="79" r="H126"/>
      <c s="79" r="I126"/>
      <c s="32" r="J126"/>
      <c s="32" r="K126"/>
      <c s="32" r="L126"/>
      <c s="20" r="M126"/>
      <c s="17" r="N126"/>
      <c s="63" r="O126"/>
      <c s="39" r="P126"/>
      <c s="57" r="Q126"/>
      <c s="57" r="R126"/>
      <c s="57" r="S126"/>
      <c s="22" r="T126"/>
      <c s="22" r="U126"/>
      <c s="22" r="V126"/>
      <c s="22" r="W126"/>
    </row>
    <row r="127">
      <c s="30" r="A127"/>
      <c s="16" r="B127"/>
      <c s="16" r="C127"/>
      <c s="16" r="D127"/>
      <c s="16" r="E127"/>
      <c s="16" r="F127"/>
      <c s="79" r="G127"/>
      <c s="79" r="H127"/>
      <c s="79" r="I127"/>
      <c s="32" r="J127"/>
      <c s="32" r="K127"/>
      <c s="32" r="L127"/>
      <c s="20" r="M127"/>
      <c s="17" r="N127"/>
      <c s="63" r="O127"/>
      <c s="39" r="P127"/>
      <c s="57" r="Q127"/>
      <c s="57" r="R127"/>
      <c s="57" r="S127"/>
      <c s="22" r="T127"/>
      <c s="22" r="U127"/>
      <c s="22" r="V127"/>
      <c s="22" r="W127"/>
    </row>
    <row r="128">
      <c s="30" r="A128"/>
      <c s="16" r="B128"/>
      <c s="16" r="C128"/>
      <c s="16" r="D128"/>
      <c s="16" r="E128"/>
      <c s="16" r="F128"/>
      <c s="79" r="G128"/>
      <c s="79" r="H128"/>
      <c s="79" r="I128"/>
      <c s="32" r="J128"/>
      <c s="32" r="K128"/>
      <c s="32" r="L128"/>
      <c s="20" r="M128"/>
      <c s="17" r="N128"/>
      <c s="63" r="O128"/>
      <c s="39" r="P128"/>
      <c s="57" r="Q128"/>
      <c s="57" r="R128"/>
      <c s="57" r="S128"/>
      <c s="22" r="T128"/>
      <c s="22" r="U128"/>
      <c s="22" r="V128"/>
      <c s="22" r="W128"/>
    </row>
    <row r="129">
      <c s="30" r="A129"/>
      <c s="16" r="B129"/>
      <c s="16" r="C129"/>
      <c s="16" r="D129"/>
      <c s="16" r="E129"/>
      <c s="16" r="F129"/>
      <c s="79" r="G129"/>
      <c s="79" r="H129"/>
      <c s="79" r="I129"/>
      <c s="32" r="J129"/>
      <c s="32" r="K129"/>
      <c s="32" r="L129"/>
      <c s="20" r="M129"/>
      <c s="17" r="N129"/>
      <c s="63" r="O129"/>
      <c s="39" r="P129"/>
      <c s="57" r="Q129"/>
      <c s="57" r="R129"/>
      <c s="57" r="S129"/>
      <c s="22" r="T129"/>
      <c s="22" r="U129"/>
      <c s="22" r="V129"/>
      <c s="22" r="W129"/>
    </row>
    <row r="130">
      <c s="30" r="A130"/>
      <c s="16" r="B130"/>
      <c s="16" r="C130"/>
      <c s="16" r="D130"/>
      <c s="16" r="E130"/>
      <c s="16" r="F130"/>
      <c s="79" r="G130"/>
      <c s="79" r="H130"/>
      <c s="79" r="I130"/>
      <c s="32" r="J130"/>
      <c s="32" r="K130"/>
      <c s="32" r="L130"/>
      <c s="20" r="M130"/>
      <c s="17" r="N130"/>
      <c s="63" r="O130"/>
      <c s="39" r="P130"/>
      <c s="57" r="Q130"/>
      <c s="57" r="R130"/>
      <c s="57" r="S130"/>
      <c s="22" r="T130"/>
      <c s="22" r="U130"/>
      <c s="22" r="V130"/>
      <c s="22" r="W130"/>
    </row>
    <row r="131">
      <c s="30" r="A131"/>
      <c s="16" r="B131"/>
      <c s="16" r="C131"/>
      <c s="16" r="D131"/>
      <c s="16" r="E131"/>
      <c s="16" r="F131"/>
      <c s="79" r="G131"/>
      <c s="79" r="H131"/>
      <c s="79" r="I131"/>
      <c s="32" r="J131"/>
      <c s="32" r="K131"/>
      <c s="32" r="L131"/>
      <c s="20" r="M131"/>
      <c s="17" r="N131"/>
      <c s="63" r="O131"/>
      <c s="39" r="P131"/>
      <c s="57" r="Q131"/>
      <c s="57" r="R131"/>
      <c s="57" r="S131"/>
      <c s="22" r="T131"/>
      <c s="22" r="U131"/>
      <c s="22" r="V131"/>
      <c s="22" r="W131"/>
    </row>
    <row r="132">
      <c s="30" r="A132"/>
      <c s="16" r="B132"/>
      <c s="16" r="C132"/>
      <c s="16" r="D132"/>
      <c s="16" r="E132"/>
      <c s="16" r="F132"/>
      <c s="79" r="G132"/>
      <c s="79" r="H132"/>
      <c s="79" r="I132"/>
      <c s="32" r="J132"/>
      <c s="79" r="K132"/>
      <c s="79" r="L132"/>
      <c s="17" r="M132"/>
      <c s="17" r="N132"/>
      <c s="63" r="O132"/>
      <c s="39" r="P132"/>
      <c s="57" r="Q132"/>
      <c s="57" r="R132"/>
      <c s="57" r="S132"/>
      <c s="22" r="T132"/>
      <c s="22" r="U132"/>
      <c s="22" r="V132"/>
      <c s="22" r="W132"/>
    </row>
    <row r="133">
      <c s="30" r="A133"/>
      <c s="16" r="B133"/>
      <c s="16" r="C133"/>
      <c s="16" r="D133"/>
      <c s="16" r="E133"/>
      <c s="16" r="F133"/>
      <c s="79" r="G133"/>
      <c s="79" r="H133"/>
      <c s="79" r="I133"/>
      <c s="32" r="J133"/>
      <c s="79" r="K133"/>
      <c s="79" r="L133"/>
      <c s="17" r="M133"/>
      <c s="17" r="N133"/>
      <c s="63" r="O133"/>
      <c s="39" r="P133"/>
      <c s="57" r="Q133"/>
      <c s="57" r="R133"/>
      <c s="57" r="S133"/>
      <c s="22" r="T133"/>
      <c s="22" r="U133"/>
      <c s="22" r="V133"/>
      <c s="22" r="W133"/>
    </row>
    <row r="134">
      <c s="30" r="A134"/>
      <c s="16" r="B134"/>
      <c s="16" r="C134"/>
      <c s="16" r="D134"/>
      <c s="16" r="E134"/>
      <c s="16" r="F134"/>
      <c s="79" r="G134"/>
      <c s="79" r="H134"/>
      <c s="79" r="I134"/>
      <c s="32" r="J134"/>
      <c s="32" r="K134"/>
      <c s="32" r="L134"/>
      <c s="20" r="M134"/>
      <c s="17" r="N134"/>
      <c s="63" r="O134"/>
      <c s="39" r="P134"/>
      <c s="57" r="Q134"/>
      <c s="57" r="R134"/>
      <c s="57" r="S134"/>
      <c s="22" r="T134"/>
      <c s="22" r="U134"/>
      <c s="22" r="V134"/>
      <c s="22" r="W134"/>
    </row>
    <row r="135">
      <c s="30" r="A135"/>
      <c s="16" r="B135"/>
      <c s="16" r="C135"/>
      <c s="16" r="D135"/>
      <c s="16" r="E135"/>
      <c s="16" r="F135"/>
      <c s="79" r="G135"/>
      <c s="79" r="H135"/>
      <c s="79" r="I135"/>
      <c s="32" r="J135"/>
      <c s="32" r="K135"/>
      <c s="32" r="L135"/>
      <c s="20" r="M135"/>
      <c s="17" r="N135"/>
      <c s="63" r="O135"/>
      <c s="39" r="P135"/>
      <c s="57" r="Q135"/>
      <c s="57" r="R135"/>
      <c s="57" r="S135"/>
      <c s="22" r="T135"/>
      <c s="22" r="U135"/>
      <c s="22" r="V135"/>
      <c s="22" r="W135"/>
    </row>
    <row r="136">
      <c s="30" r="A136"/>
      <c s="16" r="B136"/>
      <c s="16" r="C136"/>
      <c s="16" r="D136"/>
      <c s="16" r="E136"/>
      <c s="16" r="F136"/>
      <c s="79" r="G136"/>
      <c s="79" r="H136"/>
      <c s="79" r="I136"/>
      <c s="32" r="J136"/>
      <c s="32" r="K136"/>
      <c s="32" r="L136"/>
      <c s="20" r="M136"/>
      <c s="17" r="N136"/>
      <c s="63" r="O136"/>
      <c s="39" r="P136"/>
      <c s="57" r="Q136"/>
      <c s="57" r="R136"/>
      <c s="57" r="S136"/>
      <c s="22" r="T136"/>
      <c s="22" r="U136"/>
      <c s="22" r="V136"/>
      <c s="22" r="W136"/>
    </row>
    <row r="137">
      <c s="30" r="A137"/>
      <c s="16" r="B137"/>
      <c s="16" r="C137"/>
      <c s="16" r="D137"/>
      <c s="16" r="E137"/>
      <c s="16" r="F137"/>
      <c s="79" r="G137"/>
      <c s="79" r="H137"/>
      <c s="79" r="I137"/>
      <c s="32" r="J137"/>
      <c s="32" r="K137"/>
      <c s="32" r="L137"/>
      <c s="20" r="M137"/>
      <c s="17" r="N137"/>
      <c s="63" r="O137"/>
      <c s="39" r="P137"/>
      <c s="57" r="Q137"/>
      <c s="57" r="R137"/>
      <c s="57" r="S137"/>
      <c s="22" r="T137"/>
      <c s="22" r="U137"/>
      <c s="22" r="V137"/>
      <c s="22" r="W137"/>
    </row>
    <row r="138">
      <c s="30" r="A138"/>
      <c s="16" r="B138"/>
      <c s="16" r="C138"/>
      <c s="16" r="D138"/>
      <c s="16" r="E138"/>
      <c s="16" r="F138"/>
      <c s="79" r="G138"/>
      <c s="79" r="H138"/>
      <c s="79" r="I138"/>
      <c s="32" r="J138"/>
      <c s="32" r="K138"/>
      <c s="32" r="L138"/>
      <c s="20" r="M138"/>
      <c s="17" r="N138"/>
      <c s="63" r="O138"/>
      <c s="39" r="P138"/>
      <c s="57" r="Q138"/>
      <c s="57" r="R138"/>
      <c s="57" r="S138"/>
      <c s="22" r="T138"/>
      <c s="22" r="U138"/>
      <c s="22" r="V138"/>
      <c s="22" r="W138"/>
    </row>
    <row r="139">
      <c s="30" r="A139"/>
      <c s="16" r="B139"/>
      <c s="16" r="C139"/>
      <c s="16" r="D139"/>
      <c s="16" r="E139"/>
      <c s="16" r="F139"/>
      <c s="79" r="G139"/>
      <c s="79" r="H139"/>
      <c s="79" r="I139"/>
      <c s="32" r="J139"/>
      <c s="32" r="K139"/>
      <c s="32" r="L139"/>
      <c s="20" r="M139"/>
      <c s="17" r="N139"/>
      <c s="63" r="O139"/>
      <c s="39" r="P139"/>
      <c s="57" r="Q139"/>
      <c s="57" r="R139"/>
      <c s="57" r="S139"/>
      <c s="22" r="T139"/>
      <c s="22" r="U139"/>
      <c s="22" r="V139"/>
      <c s="22" r="W139"/>
    </row>
    <row r="140">
      <c s="30" r="A140"/>
      <c s="16" r="B140"/>
      <c s="16" r="C140"/>
      <c s="16" r="D140"/>
      <c s="16" r="E140"/>
      <c s="16" r="F140"/>
      <c s="79" r="G140"/>
      <c s="79" r="H140"/>
      <c s="79" r="I140"/>
      <c s="32" r="J140"/>
      <c s="32" r="K140"/>
      <c s="32" r="L140"/>
      <c s="20" r="M140"/>
      <c s="17" r="N140"/>
      <c s="63" r="O140"/>
      <c s="39" r="P140"/>
      <c s="57" r="Q140"/>
      <c s="57" r="R140"/>
      <c s="57" r="S140"/>
      <c s="22" r="T140"/>
      <c s="22" r="U140"/>
      <c s="22" r="V140"/>
      <c s="22" r="W140"/>
    </row>
    <row r="141">
      <c s="30" r="A141"/>
      <c s="16" r="B141"/>
      <c s="16" r="C141"/>
      <c s="16" r="D141"/>
      <c s="16" r="E141"/>
      <c s="16" r="F141"/>
      <c s="79" r="G141"/>
      <c s="79" r="H141"/>
      <c s="79" r="I141"/>
      <c s="32" r="J141"/>
      <c s="79" r="K141"/>
      <c s="79" r="L141"/>
      <c s="17" r="M141"/>
      <c s="17" r="N141"/>
      <c s="63" r="O141"/>
      <c s="39" r="P141"/>
      <c s="57" r="Q141"/>
      <c s="57" r="R141"/>
      <c s="57" r="S141"/>
      <c s="22" r="T141"/>
      <c s="22" r="U141"/>
      <c s="22" r="V141"/>
      <c s="22" r="W141"/>
    </row>
    <row r="142">
      <c s="30" r="A142"/>
      <c s="16" r="B142"/>
      <c s="16" r="C142"/>
      <c s="16" r="D142"/>
      <c s="16" r="E142"/>
      <c s="16" r="F142"/>
      <c s="79" r="G142"/>
      <c s="79" r="H142"/>
      <c s="79" r="I142"/>
      <c s="32" r="J142"/>
      <c s="79" r="K142"/>
      <c s="79" r="L142"/>
      <c s="17" r="M142"/>
      <c s="17" r="N142"/>
      <c s="63" r="O142"/>
      <c s="39" r="P142"/>
      <c s="57" r="Q142"/>
      <c s="57" r="R142"/>
      <c s="57" r="S142"/>
      <c s="22" r="T142"/>
      <c s="22" r="U142"/>
      <c s="22" r="V142"/>
      <c s="22" r="W142"/>
    </row>
    <row r="143">
      <c s="30" r="A143"/>
      <c s="16" r="B143"/>
      <c s="16" r="C143"/>
      <c s="16" r="D143"/>
      <c s="16" r="E143"/>
      <c s="16" r="F143"/>
      <c s="79" r="G143"/>
      <c s="79" r="H143"/>
      <c s="79" r="I143"/>
      <c s="32" r="J143"/>
      <c s="79" r="K143"/>
      <c s="79" r="L143"/>
      <c s="17" r="M143"/>
      <c s="17" r="N143"/>
      <c s="63" r="O143"/>
      <c s="39" r="P143"/>
      <c s="57" r="Q143"/>
      <c s="57" r="R143"/>
      <c s="57" r="S143"/>
      <c s="22" r="T143"/>
      <c s="22" r="U143"/>
      <c s="22" r="V143"/>
      <c s="22" r="W143"/>
    </row>
    <row r="144">
      <c s="30" r="A144"/>
      <c s="16" r="B144"/>
      <c s="16" r="C144"/>
      <c s="16" r="D144"/>
      <c s="16" r="E144"/>
      <c s="16" r="F144"/>
      <c s="79" r="G144"/>
      <c s="79" r="H144"/>
      <c s="79" r="I144"/>
      <c s="32" r="J144"/>
      <c s="79" r="K144"/>
      <c s="79" r="L144"/>
      <c s="17" r="M144"/>
      <c s="17" r="N144"/>
      <c s="63" r="O144"/>
      <c s="39" r="P144"/>
      <c s="57" r="Q144"/>
      <c s="57" r="R144"/>
      <c s="57" r="S144"/>
      <c s="22" r="T144"/>
      <c s="22" r="U144"/>
      <c s="22" r="V144"/>
      <c s="22" r="W144"/>
    </row>
    <row r="145">
      <c s="30" r="A145"/>
      <c s="16" r="B145"/>
      <c s="16" r="C145"/>
      <c s="16" r="D145"/>
      <c s="16" r="E145"/>
      <c s="16" r="F145"/>
      <c s="79" r="G145"/>
      <c s="79" r="H145"/>
      <c s="79" r="I145"/>
      <c s="32" r="J145"/>
      <c s="79" r="K145"/>
      <c s="79" r="L145"/>
      <c s="17" r="M145"/>
      <c s="17" r="N145"/>
      <c s="63" r="O145"/>
      <c s="39" r="P145"/>
      <c s="57" r="Q145"/>
      <c s="57" r="R145"/>
      <c s="57" r="S145"/>
      <c s="22" r="T145"/>
      <c s="22" r="U145"/>
      <c s="22" r="V145"/>
      <c s="22" r="W145"/>
    </row>
    <row r="146">
      <c s="30" r="A146"/>
      <c s="16" r="B146"/>
      <c s="16" r="C146"/>
      <c s="16" r="D146"/>
      <c s="16" r="E146"/>
      <c s="16" r="F146"/>
      <c s="79" r="G146"/>
      <c s="79" r="H146"/>
      <c s="79" r="I146"/>
      <c s="32" r="J146"/>
      <c s="79" r="K146"/>
      <c s="79" r="L146"/>
      <c s="17" r="M146"/>
      <c s="17" r="N146"/>
      <c s="63" r="O146"/>
      <c s="39" r="P146"/>
      <c s="57" r="Q146"/>
      <c s="57" r="R146"/>
      <c s="57" r="S146"/>
      <c s="22" r="T146"/>
      <c s="22" r="U146"/>
      <c s="22" r="V146"/>
      <c s="22" r="W146"/>
    </row>
    <row r="147">
      <c s="30" r="A147"/>
      <c s="16" r="B147"/>
      <c s="16" r="C147"/>
      <c s="16" r="D147"/>
      <c s="16" r="E147"/>
      <c s="16" r="F147"/>
      <c s="79" r="G147"/>
      <c s="79" r="H147"/>
      <c s="79" r="I147"/>
      <c s="32" r="J147"/>
      <c s="79" r="K147"/>
      <c s="79" r="L147"/>
      <c s="17" r="M147"/>
      <c s="17" r="N147"/>
      <c s="63" r="O147"/>
      <c s="39" r="P147"/>
      <c s="57" r="Q147"/>
      <c s="57" r="R147"/>
      <c s="57" r="S147"/>
      <c s="22" r="T147"/>
      <c s="22" r="U147"/>
      <c s="22" r="V147"/>
      <c s="22" r="W147"/>
    </row>
    <row r="148">
      <c s="30" r="A148"/>
      <c s="16" r="B148"/>
      <c s="16" r="C148"/>
      <c s="16" r="D148"/>
      <c s="16" r="E148"/>
      <c s="16" r="F148"/>
      <c s="79" r="G148"/>
      <c s="79" r="H148"/>
      <c s="79" r="I148"/>
      <c s="32" r="J148"/>
      <c s="32" r="K148"/>
      <c s="32" r="L148"/>
      <c s="20" r="M148"/>
      <c s="17" r="N148"/>
      <c s="63" r="O148"/>
      <c s="39" r="P148"/>
      <c s="57" r="Q148"/>
      <c s="57" r="R148"/>
      <c s="57" r="S148"/>
      <c s="22" r="T148"/>
      <c s="22" r="U148"/>
      <c s="22" r="V148"/>
      <c s="22" r="W148"/>
    </row>
    <row r="149">
      <c s="30" r="A149"/>
      <c s="16" r="B149"/>
      <c s="16" r="C149"/>
      <c s="16" r="D149"/>
      <c s="16" r="E149"/>
      <c s="16" r="F149"/>
      <c s="79" r="G149"/>
      <c s="79" r="H149"/>
      <c s="79" r="I149"/>
      <c s="32" r="J149"/>
      <c s="32" r="K149"/>
      <c s="32" r="L149"/>
      <c s="20" r="M149"/>
      <c s="17" r="N149"/>
      <c s="63" r="O149"/>
      <c s="39" r="P149"/>
      <c s="57" r="Q149"/>
      <c s="57" r="R149"/>
      <c s="57" r="S149"/>
      <c s="22" r="T149"/>
      <c s="22" r="U149"/>
      <c s="22" r="V149"/>
      <c s="22" r="W149"/>
    </row>
    <row r="150">
      <c s="30" r="A150"/>
      <c s="16" r="B150"/>
      <c s="16" r="C150"/>
      <c s="16" r="D150"/>
      <c s="16" r="E150"/>
      <c s="16" r="F150"/>
      <c s="79" r="G150"/>
      <c s="79" r="H150"/>
      <c s="79" r="I150"/>
      <c s="32" r="J150"/>
      <c s="32" r="K150"/>
      <c s="32" r="L150"/>
      <c s="20" r="M150"/>
      <c s="17" r="N150"/>
      <c s="63" r="O150"/>
      <c s="39" r="P150"/>
      <c s="57" r="Q150"/>
      <c s="57" r="R150"/>
      <c s="57" r="S150"/>
      <c s="22" r="T150"/>
      <c s="22" r="U150"/>
      <c s="22" r="V150"/>
      <c s="22" r="W150"/>
    </row>
    <row r="151">
      <c s="30" r="A151"/>
      <c s="16" r="B151"/>
      <c s="16" r="C151"/>
      <c s="16" r="D151"/>
      <c s="16" r="E151"/>
      <c s="16" r="F151"/>
      <c s="79" r="G151"/>
      <c s="79" r="H151"/>
      <c s="79" r="I151"/>
      <c s="32" r="J151"/>
      <c s="32" r="K151"/>
      <c s="32" r="L151"/>
      <c s="20" r="M151"/>
      <c s="17" r="N151"/>
      <c s="63" r="O151"/>
      <c s="39" r="P151"/>
      <c s="57" r="Q151"/>
      <c s="57" r="R151"/>
      <c s="57" r="S151"/>
      <c s="22" r="T151"/>
      <c s="22" r="U151"/>
      <c s="22" r="V151"/>
      <c s="22" r="W151"/>
    </row>
    <row r="152">
      <c s="30" r="A152"/>
      <c s="16" r="B152"/>
      <c s="16" r="C152"/>
      <c s="16" r="D152"/>
      <c s="16" r="E152"/>
      <c s="16" r="F152"/>
      <c s="79" r="G152"/>
      <c s="79" r="H152"/>
      <c s="79" r="I152"/>
      <c s="32" r="J152"/>
      <c s="79" r="K152"/>
      <c s="79" r="L152"/>
      <c s="17" r="M152"/>
      <c s="17" r="N152"/>
      <c s="63" r="O152"/>
      <c s="39" r="P152"/>
      <c s="57" r="Q152"/>
      <c s="57" r="R152"/>
      <c s="57" r="S152"/>
      <c s="22" r="T152"/>
      <c s="22" r="U152"/>
      <c s="22" r="V152"/>
      <c s="22" r="W152"/>
    </row>
    <row r="153">
      <c s="30" r="A153"/>
      <c s="16" r="B153"/>
      <c s="16" r="C153"/>
      <c s="16" r="D153"/>
      <c s="16" r="E153"/>
      <c s="16" r="F153"/>
      <c s="79" r="G153"/>
      <c s="79" r="H153"/>
      <c s="79" r="I153"/>
      <c s="32" r="J153"/>
      <c s="79" r="K153"/>
      <c s="79" r="L153"/>
      <c s="17" r="M153"/>
      <c s="17" r="N153"/>
      <c s="63" r="O153"/>
      <c s="39" r="P153"/>
      <c s="57" r="Q153"/>
      <c s="57" r="R153"/>
      <c s="57" r="S153"/>
      <c s="22" r="T153"/>
      <c s="22" r="U153"/>
      <c s="22" r="V153"/>
      <c s="22" r="W153"/>
    </row>
    <row r="154">
      <c s="30" r="A154"/>
      <c s="16" r="B154"/>
      <c s="16" r="C154"/>
      <c s="16" r="D154"/>
      <c s="16" r="E154"/>
      <c s="16" r="F154"/>
      <c s="79" r="G154"/>
      <c s="79" r="H154"/>
      <c s="79" r="I154"/>
      <c s="32" r="J154"/>
      <c s="79" r="K154"/>
      <c s="79" r="L154"/>
      <c s="17" r="M154"/>
      <c s="17" r="N154"/>
      <c s="63" r="O154"/>
      <c s="39" r="P154"/>
      <c s="57" r="Q154"/>
      <c s="57" r="R154"/>
      <c s="57" r="S154"/>
      <c s="22" r="T154"/>
      <c s="22" r="U154"/>
      <c s="22" r="V154"/>
      <c s="22" r="W154"/>
    </row>
    <row r="155">
      <c s="30" r="A155"/>
      <c s="16" r="B155"/>
      <c s="16" r="C155"/>
      <c s="16" r="D155"/>
      <c s="16" r="E155"/>
      <c s="16" r="F155"/>
      <c s="79" r="G155"/>
      <c s="79" r="H155"/>
      <c s="79" r="I155"/>
      <c s="32" r="J155"/>
      <c s="79" r="K155"/>
      <c s="79" r="L155"/>
      <c s="17" r="M155"/>
      <c s="17" r="N155"/>
      <c s="63" r="O155"/>
      <c s="39" r="P155"/>
      <c s="57" r="Q155"/>
      <c s="57" r="R155"/>
      <c s="57" r="S155"/>
      <c s="22" r="T155"/>
      <c s="22" r="U155"/>
      <c s="22" r="V155"/>
      <c s="22" r="W155"/>
    </row>
    <row r="156">
      <c s="30" r="A156"/>
      <c s="16" r="B156"/>
      <c s="16" r="C156"/>
      <c s="16" r="D156"/>
      <c s="16" r="E156"/>
      <c s="16" r="F156"/>
      <c s="79" r="G156"/>
      <c s="79" r="H156"/>
      <c s="79" r="I156"/>
      <c s="32" r="J156"/>
      <c s="79" r="K156"/>
      <c s="79" r="L156"/>
      <c s="17" r="M156"/>
      <c s="17" r="N156"/>
      <c s="63" r="O156"/>
      <c s="39" r="P156"/>
      <c s="57" r="Q156"/>
      <c s="57" r="R156"/>
      <c s="57" r="S156"/>
      <c s="22" r="T156"/>
      <c s="22" r="U156"/>
      <c s="22" r="V156"/>
      <c s="22" r="W156"/>
    </row>
    <row r="157">
      <c s="30" r="A157"/>
      <c s="16" r="B157"/>
      <c s="16" r="C157"/>
      <c s="16" r="D157"/>
      <c s="16" r="E157"/>
      <c s="16" r="F157"/>
      <c s="79" r="G157"/>
      <c s="79" r="H157"/>
      <c s="79" r="I157"/>
      <c s="32" r="J157"/>
      <c s="79" r="K157"/>
      <c s="79" r="L157"/>
      <c s="17" r="M157"/>
      <c s="17" r="N157"/>
      <c s="63" r="O157"/>
      <c s="39" r="P157"/>
      <c s="57" r="Q157"/>
      <c s="57" r="R157"/>
      <c s="57" r="S157"/>
      <c s="22" r="T157"/>
      <c s="22" r="U157"/>
      <c s="22" r="V157"/>
      <c s="22" r="W157"/>
    </row>
    <row r="158">
      <c s="30" r="A158"/>
      <c s="16" r="B158"/>
      <c s="16" r="C158"/>
      <c s="16" r="D158"/>
      <c s="16" r="E158"/>
      <c s="16" r="F158"/>
      <c s="79" r="G158"/>
      <c s="79" r="H158"/>
      <c s="79" r="I158"/>
      <c s="32" r="J158"/>
      <c s="79" r="K158"/>
      <c s="79" r="L158"/>
      <c s="17" r="M158"/>
      <c s="17" r="N158"/>
      <c s="63" r="O158"/>
      <c s="39" r="P158"/>
      <c s="57" r="Q158"/>
      <c s="57" r="R158"/>
      <c s="57" r="S158"/>
      <c s="22" r="T158"/>
      <c s="22" r="U158"/>
      <c s="22" r="V158"/>
      <c s="22" r="W158"/>
    </row>
    <row r="159">
      <c s="30" r="A159"/>
      <c s="16" r="B159"/>
      <c s="16" r="C159"/>
      <c s="16" r="D159"/>
      <c s="16" r="E159"/>
      <c s="16" r="F159"/>
      <c s="79" r="G159"/>
      <c s="79" r="H159"/>
      <c s="79" r="I159"/>
      <c s="32" r="J159"/>
      <c s="79" r="K159"/>
      <c s="79" r="L159"/>
      <c s="17" r="M159"/>
      <c s="17" r="N159"/>
      <c s="63" r="O159"/>
      <c s="39" r="P159"/>
      <c s="57" r="Q159"/>
      <c s="57" r="R159"/>
      <c s="57" r="S159"/>
      <c s="22" r="T159"/>
      <c s="22" r="U159"/>
      <c s="22" r="V159"/>
      <c s="22" r="W159"/>
    </row>
    <row r="160">
      <c s="30" r="A160"/>
      <c s="16" r="B160"/>
      <c s="16" r="C160"/>
      <c s="16" r="D160"/>
      <c s="16" r="E160"/>
      <c s="16" r="F160"/>
      <c s="79" r="G160"/>
      <c s="79" r="H160"/>
      <c s="79" r="I160"/>
      <c s="32" r="J160"/>
      <c s="32" r="K160"/>
      <c s="32" r="L160"/>
      <c s="20" r="M160"/>
      <c s="17" r="N160"/>
      <c s="63" r="O160"/>
      <c s="39" r="P160"/>
      <c s="57" r="Q160"/>
      <c s="57" r="R160"/>
      <c s="57" r="S160"/>
      <c s="22" r="T160"/>
      <c s="22" r="U160"/>
      <c s="22" r="V160"/>
      <c s="22" r="W160"/>
    </row>
    <row r="161">
      <c s="30" r="A161"/>
      <c s="16" r="B161"/>
      <c s="16" r="C161"/>
      <c s="16" r="D161"/>
      <c s="16" r="E161"/>
      <c s="16" r="F161"/>
      <c s="79" r="G161"/>
      <c s="79" r="H161"/>
      <c s="79" r="I161"/>
      <c s="32" r="J161"/>
      <c s="32" r="K161"/>
      <c s="32" r="L161"/>
      <c s="20" r="M161"/>
      <c s="17" r="N161"/>
      <c s="63" r="O161"/>
      <c s="39" r="P161"/>
      <c s="57" r="Q161"/>
      <c s="57" r="R161"/>
      <c s="57" r="S161"/>
      <c s="22" r="T161"/>
      <c s="22" r="U161"/>
      <c s="22" r="V161"/>
      <c s="22" r="W161"/>
    </row>
    <row r="162">
      <c s="30" r="A162"/>
      <c s="16" r="B162"/>
      <c s="16" r="C162"/>
      <c s="16" r="D162"/>
      <c s="16" r="E162"/>
      <c s="16" r="F162"/>
      <c s="79" r="G162"/>
      <c s="79" r="H162"/>
      <c s="79" r="I162"/>
      <c s="32" r="J162"/>
      <c s="79" r="K162"/>
      <c s="79" r="L162"/>
      <c s="17" r="M162"/>
      <c s="17" r="N162"/>
      <c s="63" r="O162"/>
      <c s="39" r="P162"/>
      <c s="57" r="Q162"/>
      <c s="57" r="R162"/>
      <c s="57" r="S162"/>
      <c s="22" r="T162"/>
      <c s="22" r="U162"/>
      <c s="22" r="V162"/>
      <c s="22" r="W162"/>
    </row>
    <row r="163">
      <c s="30" r="A163"/>
      <c s="16" r="B163"/>
      <c s="16" r="C163"/>
      <c s="16" r="D163"/>
      <c s="16" r="E163"/>
      <c s="16" r="F163"/>
      <c s="79" r="G163"/>
      <c s="79" r="H163"/>
      <c s="79" r="I163"/>
      <c s="32" r="J163"/>
      <c s="79" r="K163"/>
      <c s="79" r="L163"/>
      <c s="17" r="M163"/>
      <c s="17" r="N163"/>
      <c s="63" r="O163"/>
      <c s="39" r="P163"/>
      <c s="57" r="Q163"/>
      <c s="57" r="R163"/>
      <c s="57" r="S163"/>
      <c s="22" r="T163"/>
      <c s="22" r="U163"/>
      <c s="22" r="V163"/>
      <c s="22" r="W163"/>
    </row>
    <row r="164">
      <c s="30" r="A164"/>
      <c s="16" r="B164"/>
      <c s="16" r="C164"/>
      <c s="16" r="D164"/>
      <c s="16" r="E164"/>
      <c s="16" r="F164"/>
      <c s="79" r="G164"/>
      <c s="79" r="H164"/>
      <c s="79" r="I164"/>
      <c s="32" r="J164"/>
      <c s="79" r="K164"/>
      <c s="79" r="L164"/>
      <c s="17" r="M164"/>
      <c s="17" r="N164"/>
      <c s="63" r="O164"/>
      <c s="39" r="P164"/>
      <c s="57" r="Q164"/>
      <c s="57" r="R164"/>
      <c s="57" r="S164"/>
      <c s="22" r="T164"/>
      <c s="22" r="U164"/>
      <c s="22" r="V164"/>
      <c s="22" r="W164"/>
    </row>
    <row r="165">
      <c s="30" r="A165"/>
      <c s="16" r="B165"/>
      <c s="16" r="C165"/>
      <c s="16" r="D165"/>
      <c s="16" r="E165"/>
      <c s="16" r="F165"/>
      <c s="79" r="G165"/>
      <c s="79" r="H165"/>
      <c s="79" r="I165"/>
      <c s="32" r="J165"/>
      <c s="79" r="K165"/>
      <c s="79" r="L165"/>
      <c s="17" r="M165"/>
      <c s="17" r="N165"/>
      <c s="63" r="O165"/>
      <c s="39" r="P165"/>
      <c s="57" r="Q165"/>
      <c s="57" r="R165"/>
      <c s="57" r="S165"/>
      <c s="22" r="T165"/>
      <c s="22" r="U165"/>
      <c s="22" r="V165"/>
      <c s="22" r="W165"/>
    </row>
    <row r="166">
      <c s="30" r="A166"/>
      <c s="16" r="B166"/>
      <c s="16" r="C166"/>
      <c s="16" r="D166"/>
      <c s="16" r="E166"/>
      <c s="16" r="F166"/>
      <c s="79" r="G166"/>
      <c s="79" r="H166"/>
      <c s="79" r="I166"/>
      <c s="32" r="J166"/>
      <c s="79" r="K166"/>
      <c s="79" r="L166"/>
      <c s="17" r="M166"/>
      <c s="17" r="N166"/>
      <c s="63" r="O166"/>
      <c s="39" r="P166"/>
      <c s="57" r="Q166"/>
      <c s="57" r="R166"/>
      <c s="57" r="S166"/>
      <c s="22" r="T166"/>
      <c s="22" r="U166"/>
      <c s="22" r="V166"/>
      <c s="22" r="W166"/>
    </row>
    <row r="167">
      <c s="30" r="A167"/>
      <c s="16" r="B167"/>
      <c s="16" r="C167"/>
      <c s="16" r="D167"/>
      <c s="16" r="E167"/>
      <c s="16" r="F167"/>
      <c s="79" r="G167"/>
      <c s="79" r="H167"/>
      <c s="79" r="I167"/>
      <c s="32" r="J167"/>
      <c s="32" r="K167"/>
      <c s="32" r="L167"/>
      <c s="20" r="M167"/>
      <c s="17" r="N167"/>
      <c s="63" r="O167"/>
      <c s="39" r="P167"/>
      <c s="57" r="Q167"/>
      <c s="57" r="R167"/>
      <c s="57" r="S167"/>
      <c s="22" r="T167"/>
      <c s="22" r="U167"/>
      <c s="22" r="V167"/>
      <c s="22" r="W167"/>
    </row>
    <row r="168">
      <c s="30" r="A168"/>
      <c s="16" r="B168"/>
      <c s="16" r="C168"/>
      <c s="16" r="D168"/>
      <c s="16" r="E168"/>
      <c s="16" r="F168"/>
      <c s="79" r="G168"/>
      <c s="79" r="H168"/>
      <c s="79" r="I168"/>
      <c s="32" r="J168"/>
      <c s="32" r="K168"/>
      <c s="32" r="L168"/>
      <c s="20" r="M168"/>
      <c s="17" r="N168"/>
      <c s="63" r="O168"/>
      <c s="39" r="P168"/>
      <c s="57" r="Q168"/>
      <c s="57" r="R168"/>
      <c s="57" r="S168"/>
      <c s="22" r="T168"/>
      <c s="22" r="U168"/>
      <c s="22" r="V168"/>
      <c s="22" r="W168"/>
    </row>
    <row r="169">
      <c s="30" r="A169"/>
      <c s="16" r="B169"/>
      <c s="16" r="C169"/>
      <c s="16" r="D169"/>
      <c s="16" r="E169"/>
      <c s="16" r="F169"/>
      <c s="79" r="G169"/>
      <c s="79" r="H169"/>
      <c s="79" r="I169"/>
      <c s="32" r="J169"/>
      <c s="32" r="K169"/>
      <c s="32" r="L169"/>
      <c s="20" r="M169"/>
      <c s="17" r="N169"/>
      <c s="63" r="O169"/>
      <c s="39" r="P169"/>
      <c s="57" r="Q169"/>
      <c s="57" r="R169"/>
      <c s="57" r="S169"/>
      <c s="22" r="T169"/>
      <c s="22" r="U169"/>
      <c s="22" r="V169"/>
      <c s="22" r="W169"/>
    </row>
    <row r="170">
      <c s="30" r="A170"/>
      <c s="16" r="B170"/>
      <c s="16" r="C170"/>
      <c s="16" r="D170"/>
      <c s="16" r="E170"/>
      <c s="16" r="F170"/>
      <c s="79" r="G170"/>
      <c s="79" r="H170"/>
      <c s="79" r="I170"/>
      <c s="32" r="J170"/>
      <c s="79" r="K170"/>
      <c s="79" r="L170"/>
      <c s="17" r="M170"/>
      <c s="17" r="N170"/>
      <c s="63" r="O170"/>
      <c s="39" r="P170"/>
      <c s="57" r="Q170"/>
      <c s="57" r="R170"/>
      <c s="57" r="S170"/>
      <c s="22" r="T170"/>
      <c s="22" r="U170"/>
      <c s="22" r="V170"/>
      <c s="22" r="W170"/>
    </row>
    <row r="171">
      <c s="30" r="A171"/>
      <c s="16" r="B171"/>
      <c s="16" r="C171"/>
      <c s="16" r="D171"/>
      <c s="16" r="E171"/>
      <c s="16" r="F171"/>
      <c s="79" r="G171"/>
      <c s="79" r="H171"/>
      <c s="79" r="I171"/>
      <c s="32" r="J171"/>
      <c s="79" r="K171"/>
      <c s="79" r="L171"/>
      <c s="17" r="M171"/>
      <c s="17" r="N171"/>
      <c s="63" r="O171"/>
      <c s="39" r="P171"/>
      <c s="57" r="Q171"/>
      <c s="57" r="R171"/>
      <c s="57" r="S171"/>
      <c s="22" r="T171"/>
      <c s="22" r="U171"/>
      <c s="22" r="V171"/>
      <c s="22" r="W171"/>
    </row>
    <row r="172">
      <c s="30" r="A172"/>
      <c s="16" r="B172"/>
      <c s="16" r="C172"/>
      <c s="16" r="D172"/>
      <c s="16" r="E172"/>
      <c s="16" r="F172"/>
      <c s="79" r="G172"/>
      <c s="79" r="H172"/>
      <c s="79" r="I172"/>
      <c s="32" r="J172"/>
      <c s="79" r="K172"/>
      <c s="79" r="L172"/>
      <c s="17" r="M172"/>
      <c s="17" r="N172"/>
      <c s="63" r="O172"/>
      <c s="39" r="P172"/>
      <c s="57" r="Q172"/>
      <c s="57" r="R172"/>
      <c s="57" r="S172"/>
      <c s="22" r="T172"/>
      <c s="22" r="U172"/>
      <c s="22" r="V172"/>
      <c s="22" r="W172"/>
    </row>
    <row r="173">
      <c s="30" r="A173"/>
      <c s="16" r="B173"/>
      <c s="16" r="C173"/>
      <c s="16" r="D173"/>
      <c s="16" r="E173"/>
      <c s="16" r="F173"/>
      <c s="79" r="G173"/>
      <c s="79" r="H173"/>
      <c s="79" r="I173"/>
      <c s="32" r="J173"/>
      <c s="79" r="K173"/>
      <c s="79" r="L173"/>
      <c s="17" r="M173"/>
      <c s="17" r="N173"/>
      <c s="63" r="O173"/>
      <c s="39" r="P173"/>
      <c s="57" r="Q173"/>
      <c s="57" r="R173"/>
      <c s="57" r="S173"/>
      <c s="22" r="T173"/>
      <c s="22" r="U173"/>
      <c s="22" r="V173"/>
      <c s="22" r="W173"/>
    </row>
    <row r="174">
      <c s="30" r="A174"/>
      <c s="16" r="B174"/>
      <c s="16" r="C174"/>
      <c s="16" r="D174"/>
      <c s="16" r="E174"/>
      <c s="16" r="F174"/>
      <c s="79" r="G174"/>
      <c s="79" r="H174"/>
      <c s="79" r="I174"/>
      <c s="32" r="J174"/>
      <c s="79" r="K174"/>
      <c s="79" r="L174"/>
      <c s="17" r="M174"/>
      <c s="17" r="N174"/>
      <c s="63" r="O174"/>
      <c s="39" r="P174"/>
      <c s="57" r="Q174"/>
      <c s="57" r="R174"/>
      <c s="57" r="S174"/>
      <c s="22" r="T174"/>
      <c s="22" r="U174"/>
      <c s="22" r="V174"/>
      <c s="22" r="W174"/>
    </row>
    <row r="175">
      <c s="30" r="A175"/>
      <c s="16" r="B175"/>
      <c s="16" r="C175"/>
      <c s="16" r="D175"/>
      <c s="16" r="E175"/>
      <c s="16" r="F175"/>
      <c s="79" r="G175"/>
      <c s="79" r="H175"/>
      <c s="79" r="I175"/>
      <c s="32" r="J175"/>
      <c s="79" r="K175"/>
      <c s="79" r="L175"/>
      <c s="17" r="M175"/>
      <c s="17" r="N175"/>
      <c s="63" r="O175"/>
      <c s="39" r="P175"/>
      <c s="57" r="Q175"/>
      <c s="57" r="R175"/>
      <c s="57" r="S175"/>
      <c s="22" r="T175"/>
      <c s="22" r="U175"/>
      <c s="22" r="V175"/>
      <c s="22" r="W175"/>
    </row>
    <row r="176">
      <c s="30" r="A176"/>
      <c s="16" r="B176"/>
      <c s="16" r="C176"/>
      <c s="16" r="D176"/>
      <c s="16" r="E176"/>
      <c s="16" r="F176"/>
      <c s="79" r="G176"/>
      <c s="79" r="H176"/>
      <c s="79" r="I176"/>
      <c s="32" r="J176"/>
      <c s="79" r="K176"/>
      <c s="79" r="L176"/>
      <c s="17" r="M176"/>
      <c s="17" r="N176"/>
      <c s="63" r="O176"/>
      <c s="39" r="P176"/>
      <c s="57" r="Q176"/>
      <c s="57" r="R176"/>
      <c s="57" r="S176"/>
      <c s="22" r="T176"/>
      <c s="22" r="U176"/>
      <c s="22" r="V176"/>
      <c s="22" r="W176"/>
    </row>
    <row r="177">
      <c s="30" r="A177"/>
      <c s="16" r="B177"/>
      <c s="16" r="C177"/>
      <c s="16" r="D177"/>
      <c s="16" r="E177"/>
      <c s="16" r="F177"/>
      <c s="79" r="G177"/>
      <c s="79" r="H177"/>
      <c s="79" r="I177"/>
      <c s="32" r="J177"/>
      <c s="32" r="K177"/>
      <c s="32" r="L177"/>
      <c s="20" r="M177"/>
      <c s="17" r="N177"/>
      <c s="63" r="O177"/>
      <c s="39" r="P177"/>
      <c s="57" r="Q177"/>
      <c s="57" r="R177"/>
      <c s="57" r="S177"/>
      <c s="22" r="T177"/>
      <c s="22" r="U177"/>
      <c s="22" r="V177"/>
      <c s="22" r="W177"/>
    </row>
    <row r="178">
      <c s="30" r="A178"/>
      <c s="16" r="B178"/>
      <c s="16" r="C178"/>
      <c s="16" r="D178"/>
      <c s="16" r="E178"/>
      <c s="16" r="F178"/>
      <c s="79" r="G178"/>
      <c s="79" r="H178"/>
      <c s="79" r="I178"/>
      <c s="32" r="J178"/>
      <c s="79" r="K178"/>
      <c s="79" r="L178"/>
      <c s="17" r="M178"/>
      <c s="17" r="N178"/>
      <c s="63" r="O178"/>
      <c s="39" r="P178"/>
      <c s="57" r="Q178"/>
      <c s="57" r="R178"/>
      <c s="57" r="S178"/>
      <c s="22" r="T178"/>
      <c s="22" r="U178"/>
      <c s="22" r="V178"/>
      <c s="22" r="W178"/>
    </row>
    <row r="179">
      <c s="30" r="A179"/>
      <c s="16" r="B179"/>
      <c s="16" r="C179"/>
      <c s="16" r="D179"/>
      <c s="16" r="E179"/>
      <c s="16" r="F179"/>
      <c s="79" r="G179"/>
      <c s="79" r="H179"/>
      <c s="79" r="I179"/>
      <c s="32" r="J179"/>
      <c s="79" r="K179"/>
      <c s="79" r="L179"/>
      <c s="17" r="M179"/>
      <c s="17" r="N179"/>
      <c s="63" r="O179"/>
      <c s="39" r="P179"/>
      <c s="57" r="Q179"/>
      <c s="57" r="R179"/>
      <c s="57" r="S179"/>
      <c s="22" r="T179"/>
      <c s="22" r="U179"/>
      <c s="22" r="V179"/>
      <c s="22" r="W179"/>
    </row>
    <row r="180">
      <c s="30" r="A180"/>
      <c s="16" r="B180"/>
      <c s="16" r="C180"/>
      <c s="16" r="D180"/>
      <c s="16" r="E180"/>
      <c s="16" r="F180"/>
      <c s="79" r="G180"/>
      <c s="79" r="H180"/>
      <c s="79" r="I180"/>
      <c s="32" r="J180"/>
      <c s="79" r="K180"/>
      <c s="79" r="L180"/>
      <c s="17" r="M180"/>
      <c s="17" r="N180"/>
      <c s="63" r="O180"/>
      <c s="39" r="P180"/>
      <c s="57" r="Q180"/>
      <c s="57" r="R180"/>
      <c s="57" r="S180"/>
      <c s="22" r="T180"/>
      <c s="22" r="U180"/>
      <c s="22" r="V180"/>
      <c s="22" r="W180"/>
    </row>
    <row r="181">
      <c s="30" r="A181"/>
      <c s="16" r="B181"/>
      <c s="16" r="C181"/>
      <c s="16" r="D181"/>
      <c s="16" r="E181"/>
      <c s="16" r="F181"/>
      <c s="79" r="G181"/>
      <c s="79" r="H181"/>
      <c s="79" r="I181"/>
      <c s="32" r="J181"/>
      <c s="32" r="K181"/>
      <c s="32" r="L181"/>
      <c s="20" r="M181"/>
      <c s="17" r="N181"/>
      <c s="63" r="O181"/>
      <c s="39" r="P181"/>
      <c s="57" r="Q181"/>
      <c s="57" r="R181"/>
      <c s="57" r="S181"/>
      <c s="22" r="T181"/>
      <c s="22" r="U181"/>
      <c s="22" r="V181"/>
      <c s="22" r="W181"/>
    </row>
    <row r="182">
      <c s="30" r="A182"/>
      <c s="16" r="B182"/>
      <c s="16" r="C182"/>
      <c s="16" r="D182"/>
      <c s="16" r="E182"/>
      <c s="16" r="F182"/>
      <c s="79" r="G182"/>
      <c s="79" r="H182"/>
      <c s="79" r="I182"/>
      <c s="32" r="J182"/>
      <c s="79" r="K182"/>
      <c s="79" r="L182"/>
      <c s="17" r="M182"/>
      <c s="17" r="N182"/>
      <c s="63" r="O182"/>
      <c s="39" r="P182"/>
      <c s="57" r="Q182"/>
      <c s="57" r="R182"/>
      <c s="57" r="S182"/>
      <c s="22" r="T182"/>
      <c s="22" r="U182"/>
      <c s="22" r="V182"/>
      <c s="22" r="W182"/>
    </row>
    <row r="183">
      <c s="30" r="A183"/>
      <c s="16" r="B183"/>
      <c s="16" r="C183"/>
      <c s="16" r="D183"/>
      <c s="16" r="E183"/>
      <c s="16" r="F183"/>
      <c s="79" r="G183"/>
      <c s="79" r="H183"/>
      <c s="79" r="I183"/>
      <c s="32" r="J183"/>
      <c s="79" r="K183"/>
      <c s="79" r="L183"/>
      <c s="17" r="M183"/>
      <c s="17" r="N183"/>
      <c s="63" r="O183"/>
      <c s="39" r="P183"/>
      <c s="57" r="Q183"/>
      <c s="57" r="R183"/>
      <c s="57" r="S183"/>
      <c s="22" r="T183"/>
      <c s="22" r="U183"/>
      <c s="22" r="V183"/>
      <c s="22" r="W183"/>
    </row>
    <row r="184">
      <c s="30" r="A184"/>
      <c s="16" r="B184"/>
      <c s="16" r="C184"/>
      <c s="16" r="D184"/>
      <c s="16" r="E184"/>
      <c s="16" r="F184"/>
      <c s="79" r="G184"/>
      <c s="79" r="H184"/>
      <c s="79" r="I184"/>
      <c s="32" r="J184"/>
      <c s="79" r="K184"/>
      <c s="79" r="L184"/>
      <c s="17" r="M184"/>
      <c s="17" r="N184"/>
      <c s="63" r="O184"/>
      <c s="39" r="P184"/>
      <c s="57" r="Q184"/>
      <c s="57" r="R184"/>
      <c s="57" r="S184"/>
      <c s="22" r="T184"/>
      <c s="22" r="U184"/>
      <c s="22" r="V184"/>
      <c s="22" r="W184"/>
    </row>
    <row r="185">
      <c s="30" r="A185"/>
      <c s="16" r="B185"/>
      <c s="16" r="C185"/>
      <c s="16" r="D185"/>
      <c s="16" r="E185"/>
      <c s="16" r="F185"/>
      <c s="79" r="G185"/>
      <c s="79" r="H185"/>
      <c s="79" r="I185"/>
      <c s="32" r="J185"/>
      <c s="79" r="K185"/>
      <c s="79" r="L185"/>
      <c s="17" r="M185"/>
      <c s="17" r="N185"/>
      <c s="63" r="O185"/>
      <c s="39" r="P185"/>
      <c s="57" r="Q185"/>
      <c s="57" r="R185"/>
      <c s="57" r="S185"/>
      <c s="22" r="T185"/>
      <c s="22" r="U185"/>
      <c s="22" r="V185"/>
      <c s="22" r="W185"/>
    </row>
    <row r="186">
      <c s="30" r="A186"/>
      <c s="16" r="B186"/>
      <c s="16" r="C186"/>
      <c s="16" r="D186"/>
      <c s="16" r="E186"/>
      <c s="16" r="F186"/>
      <c s="79" r="G186"/>
      <c s="79" r="H186"/>
      <c s="79" r="I186"/>
      <c s="32" r="J186"/>
      <c s="32" r="K186"/>
      <c s="32" r="L186"/>
      <c s="14" r="M186"/>
      <c s="23" r="N186"/>
      <c s="70" r="O186"/>
      <c s="29" r="P186"/>
      <c s="57" r="Q186"/>
      <c s="57" r="R186"/>
      <c s="57" r="S186"/>
      <c s="22" r="T186"/>
      <c s="22" r="U186"/>
      <c s="22" r="V186"/>
      <c s="22" r="W186"/>
    </row>
    <row r="187">
      <c s="30" r="A187"/>
      <c s="16" r="B187"/>
      <c s="16" r="C187"/>
      <c s="16" r="D187"/>
      <c s="16" r="E187"/>
      <c s="16" r="F187"/>
      <c s="79" r="G187"/>
      <c s="79" r="H187"/>
      <c s="79" r="I187"/>
      <c s="32" r="J187"/>
      <c s="32" r="K187"/>
      <c s="32" r="L187"/>
      <c s="14" r="M187"/>
      <c s="23" r="N187"/>
      <c s="70" r="O187"/>
      <c s="29" r="P187"/>
      <c s="57" r="Q187"/>
      <c s="57" r="R187"/>
      <c s="57" r="S187"/>
      <c s="22" r="T187"/>
      <c s="22" r="U187"/>
      <c s="22" r="V187"/>
      <c s="22" r="W187"/>
    </row>
    <row r="188">
      <c s="30" r="A188"/>
      <c s="16" r="B188"/>
      <c s="16" r="C188"/>
      <c s="16" r="D188"/>
      <c s="16" r="E188"/>
      <c s="16" r="F188"/>
      <c s="79" r="G188"/>
      <c s="79" r="H188"/>
      <c s="79" r="I188"/>
      <c s="32" r="J188"/>
      <c s="32" r="K188"/>
      <c s="32" r="L188"/>
      <c s="14" r="M188"/>
      <c s="23" r="N188"/>
      <c s="70" r="O188"/>
      <c s="29" r="P188"/>
      <c s="57" r="Q188"/>
      <c s="57" r="R188"/>
      <c s="57" r="S188"/>
      <c s="22" r="T188"/>
      <c s="22" r="U188"/>
      <c s="22" r="V188"/>
      <c s="22" r="W188"/>
    </row>
    <row r="189">
      <c s="30" r="A189"/>
      <c s="16" r="B189"/>
      <c s="16" r="C189"/>
      <c s="16" r="D189"/>
      <c s="16" r="E189"/>
      <c s="16" r="F189"/>
      <c s="79" r="G189"/>
      <c s="79" r="H189"/>
      <c s="79" r="I189"/>
      <c s="32" r="J189"/>
      <c s="32" r="K189"/>
      <c s="32" r="L189"/>
      <c s="14" r="M189"/>
      <c s="23" r="N189"/>
      <c s="70" r="O189"/>
      <c s="29" r="P189"/>
      <c s="57" r="Q189"/>
      <c s="57" r="R189"/>
      <c s="57" r="S189"/>
      <c s="22" r="T189"/>
      <c s="22" r="U189"/>
      <c s="22" r="V189"/>
      <c s="22" r="W189"/>
    </row>
    <row r="190">
      <c s="30" r="A190"/>
      <c s="16" r="B190"/>
      <c s="16" r="C190"/>
      <c s="16" r="D190"/>
      <c s="16" r="E190"/>
      <c s="16" r="F190"/>
      <c s="79" r="G190"/>
      <c s="79" r="H190"/>
      <c s="32" r="I190"/>
      <c s="32" r="J190"/>
      <c s="32" r="K190"/>
      <c s="32" r="L190"/>
      <c s="14" r="M190"/>
      <c s="23" r="N190"/>
      <c s="70" r="O190"/>
      <c s="29" r="P190"/>
      <c s="57" r="Q190"/>
      <c s="57" r="R190"/>
      <c s="57" r="S190"/>
      <c s="22" r="T190"/>
      <c s="22" r="U190"/>
      <c s="22" r="V190"/>
      <c s="22" r="W190"/>
    </row>
    <row r="191">
      <c s="30" r="A191"/>
      <c s="16" r="B191"/>
      <c s="16" r="C191"/>
      <c s="16" r="D191"/>
      <c s="16" r="E191"/>
      <c s="16" r="F191"/>
      <c s="79" r="G191"/>
      <c s="79" r="H191"/>
      <c s="79" r="I191"/>
      <c s="32" r="J191"/>
      <c s="32" r="K191"/>
      <c s="32" r="L191"/>
      <c s="14" r="M191"/>
      <c s="23" r="N191"/>
      <c s="70" r="O191"/>
      <c s="29" r="P191"/>
      <c s="57" r="Q191"/>
      <c s="57" r="R191"/>
      <c s="57" r="S191"/>
      <c s="22" r="T191"/>
      <c s="22" r="U191"/>
      <c s="22" r="V191"/>
      <c s="22" r="W191"/>
    </row>
    <row r="192">
      <c s="30" r="A192"/>
      <c s="16" r="B192"/>
      <c s="16" r="C192"/>
      <c s="16" r="D192"/>
      <c s="16" r="E192"/>
      <c s="16" r="F192"/>
      <c s="79" r="G192"/>
      <c s="79" r="H192"/>
      <c s="79" r="I192"/>
      <c s="32" r="J192"/>
      <c s="32" r="K192"/>
      <c s="32" r="L192"/>
      <c s="14" r="M192"/>
      <c s="23" r="N192"/>
      <c s="70" r="O192"/>
      <c s="29" r="P192"/>
      <c s="57" r="Q192"/>
      <c s="57" r="R192"/>
      <c s="57" r="S192"/>
      <c s="22" r="T192"/>
      <c s="22" r="U192"/>
      <c s="22" r="V192"/>
      <c s="22" r="W192"/>
    </row>
    <row r="193">
      <c s="30" r="A193"/>
      <c s="16" r="B193"/>
      <c s="16" r="C193"/>
      <c s="16" r="D193"/>
      <c s="16" r="E193"/>
      <c s="16" r="F193"/>
      <c s="79" r="G193"/>
      <c s="79" r="H193"/>
      <c s="79" r="I193"/>
      <c s="32" r="J193"/>
      <c s="32" r="K193"/>
      <c s="32" r="L193"/>
      <c s="14" r="M193"/>
      <c s="23" r="N193"/>
      <c s="70" r="O193"/>
      <c s="29" r="P193"/>
      <c s="57" r="Q193"/>
      <c s="57" r="R193"/>
      <c s="57" r="S193"/>
      <c s="22" r="T193"/>
      <c s="22" r="U193"/>
      <c s="22" r="V193"/>
      <c s="22" r="W193"/>
    </row>
    <row r="194">
      <c s="30" r="A194"/>
      <c s="16" r="B194"/>
      <c s="16" r="C194"/>
      <c s="16" r="D194"/>
      <c s="16" r="E194"/>
      <c s="16" r="F194"/>
      <c s="79" r="G194"/>
      <c s="79" r="H194"/>
      <c s="79" r="I194"/>
      <c s="32" r="J194"/>
      <c s="32" r="K194"/>
      <c s="32" r="L194"/>
      <c s="14" r="M194"/>
      <c s="23" r="N194"/>
      <c s="70" r="O194"/>
      <c s="29" r="P194"/>
      <c s="57" r="Q194"/>
      <c s="57" r="R194"/>
      <c s="57" r="S194"/>
      <c s="22" r="T194"/>
      <c s="22" r="U194"/>
      <c s="22" r="V194"/>
      <c s="22" r="W194"/>
    </row>
    <row r="195">
      <c s="30" r="A195"/>
      <c s="16" r="B195"/>
      <c s="16" r="C195"/>
      <c s="16" r="D195"/>
      <c s="16" r="E195"/>
      <c s="16" r="F195"/>
      <c s="79" r="G195"/>
      <c s="79" r="H195"/>
      <c s="79" r="I195"/>
      <c s="32" r="J195"/>
      <c s="32" r="K195"/>
      <c s="32" r="L195"/>
      <c s="14" r="M195"/>
      <c s="23" r="N195"/>
      <c s="70" r="O195"/>
      <c s="29" r="P195"/>
      <c s="57" r="Q195"/>
      <c s="57" r="R195"/>
      <c s="57" r="S195"/>
      <c s="22" r="T195"/>
      <c s="22" r="U195"/>
      <c s="22" r="V195"/>
      <c s="22" r="W195"/>
    </row>
    <row r="196">
      <c s="30" r="A196"/>
      <c s="16" r="B196"/>
      <c s="16" r="C196"/>
      <c s="16" r="D196"/>
      <c s="16" r="E196"/>
      <c s="16" r="F196"/>
      <c s="79" r="G196"/>
      <c s="79" r="H196"/>
      <c s="79" r="I196"/>
      <c s="32" r="J196"/>
      <c s="32" r="K196"/>
      <c s="32" r="L196"/>
      <c s="14" r="M196"/>
      <c s="23" r="N196"/>
      <c s="70" r="O196"/>
      <c s="29" r="P196"/>
      <c s="57" r="Q196"/>
      <c s="57" r="R196"/>
      <c s="57" r="S196"/>
      <c s="22" r="T196"/>
      <c s="22" r="U196"/>
      <c s="22" r="V196"/>
      <c s="22" r="W196"/>
    </row>
    <row r="197">
      <c s="30" r="A197"/>
      <c s="16" r="B197"/>
      <c s="16" r="C197"/>
      <c s="16" r="D197"/>
      <c s="16" r="E197"/>
      <c s="16" r="F197"/>
      <c s="79" r="G197"/>
      <c s="79" r="H197"/>
      <c s="79" r="I197"/>
      <c s="32" r="J197"/>
      <c s="32" r="K197"/>
      <c s="32" r="L197"/>
      <c s="14" r="M197"/>
      <c s="23" r="N197"/>
      <c s="70" r="O197"/>
      <c s="29" r="P197"/>
      <c s="57" r="Q197"/>
      <c s="57" r="R197"/>
      <c s="57" r="S197"/>
      <c s="22" r="T197"/>
      <c s="22" r="U197"/>
      <c s="22" r="V197"/>
      <c s="22" r="W197"/>
    </row>
    <row r="198">
      <c s="30" r="A198"/>
      <c s="16" r="B198"/>
      <c s="16" r="C198"/>
      <c s="16" r="D198"/>
      <c s="16" r="E198"/>
      <c s="16" r="F198"/>
      <c s="79" r="G198"/>
      <c s="79" r="H198"/>
      <c s="79" r="I198"/>
      <c s="32" r="J198"/>
      <c s="32" r="K198"/>
      <c s="32" r="L198"/>
      <c s="14" r="M198"/>
      <c s="23" r="N198"/>
      <c s="70" r="O198"/>
      <c s="29" r="P198"/>
      <c s="57" r="Q198"/>
      <c s="57" r="R198"/>
      <c s="57" r="S198"/>
      <c s="22" r="T198"/>
      <c s="22" r="U198"/>
      <c s="22" r="V198"/>
      <c s="22" r="W198"/>
    </row>
    <row r="199">
      <c s="30" r="A199"/>
      <c s="16" r="B199"/>
      <c s="16" r="C199"/>
      <c s="16" r="D199"/>
      <c s="16" r="E199"/>
      <c s="16" r="F199"/>
      <c s="79" r="G199"/>
      <c s="79" r="H199"/>
      <c s="79" r="I199"/>
      <c s="32" r="J199"/>
      <c s="32" r="K199"/>
      <c s="32" r="L199"/>
      <c s="14" r="M199"/>
      <c s="23" r="N199"/>
      <c s="70" r="O199"/>
      <c s="29" r="P199"/>
      <c s="57" r="Q199"/>
      <c s="57" r="R199"/>
      <c s="57" r="S199"/>
      <c s="22" r="T199"/>
      <c s="22" r="U199"/>
      <c s="22" r="V199"/>
      <c s="22" r="W199"/>
    </row>
    <row r="200">
      <c s="30" r="A200"/>
      <c s="16" r="B200"/>
      <c s="16" r="C200"/>
      <c s="16" r="D200"/>
      <c s="16" r="E200"/>
      <c s="16" r="F200"/>
      <c s="79" r="G200"/>
      <c s="79" r="H200"/>
      <c s="79" r="I200"/>
      <c s="32" r="J200"/>
      <c s="32" r="K200"/>
      <c s="32" r="L200"/>
      <c s="14" r="M200"/>
      <c s="23" r="N200"/>
      <c s="70" r="O200"/>
      <c s="29" r="P200"/>
      <c s="57" r="Q200"/>
      <c s="57" r="R200"/>
      <c s="57" r="S200"/>
      <c s="22" r="T200"/>
      <c s="22" r="U200"/>
      <c s="22" r="V200"/>
      <c s="22" r="W200"/>
    </row>
    <row r="201">
      <c s="30" r="A201"/>
      <c s="16" r="B201"/>
      <c s="16" r="C201"/>
      <c s="16" r="D201"/>
      <c s="16" r="E201"/>
      <c s="16" r="F201"/>
      <c s="79" r="G201"/>
      <c s="79" r="H201"/>
      <c s="32" r="I201"/>
      <c s="32" r="J201"/>
      <c s="32" r="K201"/>
      <c s="32" r="L201"/>
      <c s="14" r="M201"/>
      <c s="23" r="N201"/>
      <c s="70" r="O201"/>
      <c s="29" r="P201"/>
      <c s="57" r="Q201"/>
      <c s="57" r="R201"/>
      <c s="57" r="S201"/>
      <c s="22" r="T201"/>
      <c s="22" r="U201"/>
      <c s="22" r="V201"/>
      <c s="22" r="W201"/>
    </row>
    <row r="202">
      <c s="30" r="A202"/>
      <c s="16" r="B202"/>
      <c s="16" r="C202"/>
      <c s="16" r="D202"/>
      <c s="16" r="E202"/>
      <c s="16" r="F202"/>
      <c s="79" r="G202"/>
      <c s="79" r="H202"/>
      <c s="79" r="I202"/>
      <c s="32" r="J202"/>
      <c s="32" r="K202"/>
      <c s="32" r="L202"/>
      <c s="14" r="M202"/>
      <c s="23" r="N202"/>
      <c s="70" r="O202"/>
      <c s="29" r="P202"/>
      <c s="57" r="Q202"/>
      <c s="57" r="R202"/>
      <c s="57" r="S202"/>
      <c s="22" r="T202"/>
      <c s="22" r="U202"/>
      <c s="22" r="V202"/>
      <c s="22" r="W202"/>
    </row>
    <row r="203">
      <c s="30" r="A203"/>
      <c s="16" r="B203"/>
      <c s="16" r="C203"/>
      <c s="16" r="D203"/>
      <c s="16" r="E203"/>
      <c s="16" r="F203"/>
      <c s="79" r="G203"/>
      <c s="79" r="H203"/>
      <c s="79" r="I203"/>
      <c s="32" r="J203"/>
      <c s="32" r="K203"/>
      <c s="32" r="L203"/>
      <c s="14" r="M203"/>
      <c s="23" r="N203"/>
      <c s="70" r="O203"/>
      <c s="29" r="P203"/>
      <c s="57" r="Q203"/>
      <c s="57" r="R203"/>
      <c s="57" r="S203"/>
      <c s="22" r="T203"/>
      <c s="22" r="U203"/>
      <c s="22" r="V203"/>
      <c s="22" r="W203"/>
    </row>
    <row r="204">
      <c s="30" r="A204"/>
      <c s="16" r="B204"/>
      <c s="16" r="C204"/>
      <c s="16" r="D204"/>
      <c s="16" r="E204"/>
      <c s="16" r="F204"/>
      <c s="79" r="G204"/>
      <c s="79" r="H204"/>
      <c s="79" r="I204"/>
      <c s="32" r="J204"/>
      <c s="32" r="K204"/>
      <c s="32" r="L204"/>
      <c s="14" r="M204"/>
      <c s="23" r="N204"/>
      <c s="70" r="O204"/>
      <c s="29" r="P204"/>
      <c s="57" r="Q204"/>
      <c s="57" r="R204"/>
      <c s="57" r="S204"/>
      <c s="22" r="T204"/>
      <c s="22" r="U204"/>
      <c s="22" r="V204"/>
      <c s="22" r="W204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3" customWidth="1" max="3" width="36.0"/>
    <col min="4" customWidth="1" max="4" width="13.57"/>
    <col min="5" customWidth="1" max="5" width="15.29"/>
    <col min="6" customWidth="1" max="6" width="10.86"/>
    <col min="7" customWidth="1" max="7" width="11.14"/>
  </cols>
  <sheetData>
    <row r="1">
      <c t="s" s="21" r="A1">
        <v>420</v>
      </c>
      <c t="s" s="21" r="B1">
        <v>421</v>
      </c>
      <c t="s" s="21" r="C1">
        <v>422</v>
      </c>
      <c t="s" s="21" r="D1">
        <v>423</v>
      </c>
      <c t="s" s="21" r="E1">
        <v>424</v>
      </c>
      <c t="s" s="21" r="F1">
        <v>425</v>
      </c>
      <c t="s" s="21" r="G1">
        <v>426</v>
      </c>
      <c t="s" s="50" r="H1">
        <v>427</v>
      </c>
      <c s="50" r="I1"/>
      <c s="50" r="J1"/>
      <c s="50" r="K1"/>
      <c s="50" r="L1"/>
      <c s="50" r="M1"/>
      <c s="50" r="N1"/>
    </row>
    <row r="2">
      <c r="A2">
        <v>1</v>
      </c>
      <c r="B2">
        <v>0</v>
      </c>
      <c t="s" r="C2">
        <v>428</v>
      </c>
      <c r="E2">
        <v>138.2</v>
      </c>
      <c r="F2">
        <f>G2-E2</f>
        <v>0</v>
      </c>
      <c r="G2">
        <v>138.2</v>
      </c>
      <c s="19" r="H2">
        <f> 1 + ((G2-E2)/E2)</f>
        <v>1</v>
      </c>
      <c t="s" r="I2">
        <v>429</v>
      </c>
    </row>
    <row r="3">
      <c r="A3">
        <v>1</v>
      </c>
      <c r="B3">
        <v>1</v>
      </c>
      <c t="s" r="C3">
        <v>430</v>
      </c>
      <c r="E3">
        <v>30.29</v>
      </c>
      <c r="F3">
        <f>G3-E3</f>
        <v>0</v>
      </c>
      <c r="G3">
        <v>30.29</v>
      </c>
      <c s="19" r="H3">
        <f> 1 + ((G3-E3)/E3)</f>
        <v>1</v>
      </c>
      <c t="s" r="I3">
        <v>429</v>
      </c>
    </row>
    <row r="4">
      <c r="A4">
        <v>1</v>
      </c>
      <c r="B4">
        <v>81</v>
      </c>
      <c t="s" r="C4">
        <v>431</v>
      </c>
      <c r="E4">
        <v>16.2</v>
      </c>
      <c r="F4">
        <f>G4-E4</f>
        <v>6.01</v>
      </c>
      <c r="G4">
        <f>(23-0.59)-0.2</f>
        <v>22.21</v>
      </c>
      <c s="19" r="H4">
        <f> 1 + ((G4-E4)/E4)</f>
        <v>1.37098765432099</v>
      </c>
      <c t="s" r="I4">
        <v>429</v>
      </c>
    </row>
    <row r="5">
      <c r="A5">
        <v>1</v>
      </c>
      <c r="B5">
        <v>13</v>
      </c>
      <c t="s" r="C5">
        <v>432</v>
      </c>
      <c r="E5">
        <v>10.4</v>
      </c>
      <c r="F5">
        <f>G5-E5</f>
        <v>1.045327</v>
      </c>
      <c r="G5">
        <f> (10.4-0.59) * 1.1667</f>
        <v>11.445327</v>
      </c>
      <c s="19" r="H5">
        <f> 1 + ((G5-E5)/E5)</f>
        <v>1.10051221153846</v>
      </c>
      <c t="s" r="I5">
        <v>429</v>
      </c>
    </row>
    <row r="6">
      <c r="A6">
        <v>1</v>
      </c>
      <c r="B6">
        <v>570</v>
      </c>
      <c t="s" r="C6">
        <v>433</v>
      </c>
      <c r="E6">
        <v>22.8</v>
      </c>
      <c r="F6">
        <f>G6-E6</f>
        <v>2.56</v>
      </c>
      <c r="G6">
        <f>25.95-0.59</f>
        <v>25.36</v>
      </c>
      <c s="19" r="H6">
        <f> 1 + ((G6-E6)/E6)</f>
        <v>1.11228070175439</v>
      </c>
      <c t="s" r="I6">
        <v>429</v>
      </c>
    </row>
    <row r="7">
      <c r="A7">
        <v>1</v>
      </c>
      <c r="B7">
        <v>66</v>
      </c>
      <c t="s" r="C7">
        <v>434</v>
      </c>
      <c r="E7">
        <v>11.22</v>
      </c>
      <c r="F7">
        <f>G7-E7</f>
        <v>1.584926</v>
      </c>
      <c r="G7">
        <f> (E7*1.1983) - 0.64</f>
        <v>12.804926</v>
      </c>
      <c s="19" r="H7">
        <f> 1 + ((G7-E7)/E7)</f>
        <v>1.14125900178253</v>
      </c>
      <c t="s" r="I7">
        <v>429</v>
      </c>
    </row>
    <row r="8">
      <c r="A8">
        <v>3</v>
      </c>
      <c r="B8">
        <v>40</v>
      </c>
      <c t="s" r="C8">
        <v>435</v>
      </c>
      <c r="E8">
        <v>18</v>
      </c>
      <c r="F8">
        <f>G8-E8</f>
        <v>1.36</v>
      </c>
      <c r="G8">
        <f>(20-0.59)-0.05</f>
        <v>19.36</v>
      </c>
      <c s="19" r="H8">
        <f> 1 + ((G8-E8)/E8)</f>
        <v>1.07555555555556</v>
      </c>
      <c t="s" r="I8">
        <v>429</v>
      </c>
    </row>
    <row r="9">
      <c r="A9">
        <v>4</v>
      </c>
      <c r="B9">
        <v>0</v>
      </c>
      <c t="s" r="C9">
        <v>4</v>
      </c>
      <c r="E9">
        <v>131.69</v>
      </c>
      <c r="F9">
        <f>G9-E9</f>
        <v>0</v>
      </c>
      <c r="G9">
        <v>131.69</v>
      </c>
      <c s="19" r="H9">
        <f> 1 + ((G9-E9)/E9)</f>
        <v>1</v>
      </c>
      <c t="s" r="I9">
        <v>429</v>
      </c>
    </row>
    <row r="10">
      <c r="A10">
        <v>4</v>
      </c>
      <c r="B10">
        <v>0</v>
      </c>
      <c t="s" r="C10">
        <v>428</v>
      </c>
      <c r="E10">
        <v>58.73</v>
      </c>
      <c r="F10">
        <f>G10-E10</f>
        <v>0</v>
      </c>
      <c r="G10">
        <v>58.73</v>
      </c>
      <c s="19" r="H10">
        <f> 1 + ((G10-E10)/E10)</f>
        <v>1</v>
      </c>
      <c t="s" r="I10">
        <v>429</v>
      </c>
    </row>
    <row r="11">
      <c r="A11">
        <v>5</v>
      </c>
      <c r="B11">
        <v>0</v>
      </c>
      <c t="s" r="C11">
        <v>4</v>
      </c>
      <c r="E11">
        <v>146.06</v>
      </c>
      <c r="F11">
        <f>G11-E11</f>
        <v>0</v>
      </c>
      <c r="G11">
        <v>146.06</v>
      </c>
      <c s="19" r="H11">
        <f> 1 + ((G11-E11)/E11)</f>
        <v>1</v>
      </c>
      <c t="s" r="I11">
        <v>429</v>
      </c>
    </row>
    <row r="12">
      <c r="A12">
        <v>5</v>
      </c>
      <c r="B12">
        <v>0</v>
      </c>
      <c t="s" r="C12">
        <v>428</v>
      </c>
      <c r="E12">
        <v>48.13</v>
      </c>
      <c r="F12">
        <f>G12-E12</f>
        <v>0</v>
      </c>
      <c r="G12">
        <v>48.13</v>
      </c>
      <c s="19" r="H12">
        <f> 1 + ((G12-E12)/E12)</f>
        <v>1</v>
      </c>
      <c t="s" r="I12">
        <v>429</v>
      </c>
    </row>
    <row r="13">
      <c r="A13">
        <v>6</v>
      </c>
      <c r="B13">
        <v>0</v>
      </c>
      <c t="s" r="C13">
        <v>4</v>
      </c>
      <c r="E13">
        <v>140.58</v>
      </c>
      <c r="F13">
        <f>G13-E13</f>
        <v>0</v>
      </c>
      <c r="G13">
        <v>140.58</v>
      </c>
      <c s="19" r="H13">
        <f> 1 + ((G13-E13)/E13)</f>
        <v>1</v>
      </c>
      <c t="s" r="I13">
        <v>429</v>
      </c>
    </row>
    <row r="14">
      <c r="A14">
        <v>6</v>
      </c>
      <c r="B14">
        <v>0</v>
      </c>
      <c t="s" r="C14">
        <v>428</v>
      </c>
      <c r="E14">
        <v>97.66</v>
      </c>
      <c r="F14">
        <f>G14-E14</f>
        <v>0</v>
      </c>
      <c r="G14">
        <v>97.66</v>
      </c>
      <c s="19" r="H14">
        <f> 1 + ((G14-E14)/E14)</f>
        <v>1</v>
      </c>
      <c t="s" r="I14">
        <v>429</v>
      </c>
    </row>
    <row r="15">
      <c r="A15">
        <v>7</v>
      </c>
      <c r="B15">
        <v>0</v>
      </c>
      <c t="s" r="C15">
        <v>428</v>
      </c>
      <c r="E15">
        <v>41.84</v>
      </c>
      <c r="F15">
        <f>G15-E15</f>
        <v>0</v>
      </c>
      <c r="G15">
        <v>41.84</v>
      </c>
      <c s="19" r="H15">
        <f> 1 + ((G15-E15)/E15)</f>
        <v>1</v>
      </c>
      <c t="s" r="I15">
        <v>429</v>
      </c>
    </row>
    <row r="16">
      <c r="A16">
        <v>8</v>
      </c>
      <c r="B16">
        <v>0</v>
      </c>
      <c t="s" r="C16">
        <v>428</v>
      </c>
      <c r="E16">
        <v>14.76</v>
      </c>
      <c r="F16">
        <f>G16-E16</f>
        <v>0</v>
      </c>
      <c r="G16">
        <v>14.76</v>
      </c>
      <c s="19" r="H16">
        <f> 1 + ((G16-E16)/E16)</f>
        <v>1</v>
      </c>
      <c t="s" r="I16">
        <v>429</v>
      </c>
    </row>
    <row r="17">
      <c r="A17">
        <v>8</v>
      </c>
      <c r="B17">
        <v>0</v>
      </c>
      <c t="s" r="C17">
        <v>4</v>
      </c>
      <c r="E17">
        <v>180.82</v>
      </c>
      <c r="F17">
        <f>G17-E17</f>
        <v>0</v>
      </c>
      <c r="G17">
        <v>180.82</v>
      </c>
      <c s="19" r="H17">
        <f> 1 + ((G17-E17)/E17)</f>
        <v>1</v>
      </c>
      <c t="s" r="I17">
        <v>429</v>
      </c>
    </row>
    <row r="18">
      <c r="A18">
        <v>9</v>
      </c>
      <c r="B18">
        <v>0</v>
      </c>
      <c t="s" r="C18">
        <v>4</v>
      </c>
      <c r="E18">
        <v>145.88</v>
      </c>
      <c r="F18">
        <f>G18-E18</f>
        <v>0</v>
      </c>
      <c r="G18">
        <v>145.88</v>
      </c>
      <c s="19" r="H18">
        <f> 1 + ((G18-E18)/E18)</f>
        <v>1</v>
      </c>
      <c t="s" r="I18">
        <v>429</v>
      </c>
    </row>
    <row r="19">
      <c r="A19">
        <v>9</v>
      </c>
      <c r="B19">
        <v>0</v>
      </c>
      <c t="s" r="C19">
        <v>428</v>
      </c>
      <c r="E19">
        <v>37.52</v>
      </c>
      <c r="F19">
        <f>G19-E19</f>
        <v>0</v>
      </c>
      <c r="G19">
        <v>37.52</v>
      </c>
      <c s="19" r="H19">
        <f> 1 + ((G19-E19)/E19)</f>
        <v>1</v>
      </c>
      <c t="s" r="I19">
        <v>429</v>
      </c>
    </row>
    <row r="20">
      <c r="A20">
        <v>9</v>
      </c>
      <c r="B20">
        <v>0</v>
      </c>
      <c t="s" r="C20">
        <v>436</v>
      </c>
      <c r="E20">
        <f>85/2</f>
        <v>42.5</v>
      </c>
      <c r="F20">
        <f>G20-E20</f>
        <v>0</v>
      </c>
      <c r="G20">
        <v>42.5</v>
      </c>
      <c s="19" r="H20">
        <f> 1 + ((G20-E20)/E20)</f>
        <v>1</v>
      </c>
      <c t="s" r="I20">
        <v>429</v>
      </c>
    </row>
    <row r="21">
      <c r="A21">
        <v>10</v>
      </c>
      <c r="B21">
        <v>0</v>
      </c>
      <c t="s" r="C21">
        <v>4</v>
      </c>
      <c r="E21">
        <v>197.72</v>
      </c>
      <c r="F21">
        <f>G21-E21</f>
        <v>0</v>
      </c>
      <c r="G21">
        <v>197.72</v>
      </c>
      <c s="19" r="H21">
        <f> 1 + ((G21-E21)/E21)</f>
        <v>1</v>
      </c>
      <c t="s" r="I21">
        <v>429</v>
      </c>
    </row>
    <row r="22">
      <c r="A22">
        <v>10</v>
      </c>
      <c r="B22">
        <v>0</v>
      </c>
      <c t="s" r="C22">
        <v>428</v>
      </c>
      <c r="E22">
        <v>3.76</v>
      </c>
      <c r="F22">
        <f>G22-E22</f>
        <v>0</v>
      </c>
      <c r="G22">
        <v>3.76</v>
      </c>
      <c s="19" r="H22">
        <f> 1 + ((G22-E22)/E22)</f>
        <v>1</v>
      </c>
      <c t="s" r="I22">
        <v>429</v>
      </c>
    </row>
    <row r="23">
      <c r="A23">
        <v>11</v>
      </c>
      <c r="B23">
        <v>0</v>
      </c>
      <c t="s" r="C23">
        <v>4</v>
      </c>
      <c r="E23">
        <v>65.23</v>
      </c>
      <c r="F23">
        <f>G23-E23</f>
        <v>0</v>
      </c>
      <c r="G23">
        <v>65.23</v>
      </c>
      <c s="19" r="H23">
        <f> 1 + ((G23-E23)/E23)</f>
        <v>1</v>
      </c>
      <c t="s" r="I23">
        <v>429</v>
      </c>
    </row>
    <row r="24">
      <c r="A24">
        <v>11</v>
      </c>
      <c r="B24">
        <v>0</v>
      </c>
      <c t="s" r="C24">
        <v>428</v>
      </c>
      <c r="E24">
        <v>150.23</v>
      </c>
      <c r="F24">
        <f>G24-E24</f>
        <v>0</v>
      </c>
      <c r="G24">
        <v>150.23</v>
      </c>
      <c s="19" r="H24">
        <f> 1 + ((G24-E24)/E24)</f>
        <v>1</v>
      </c>
      <c t="s" r="I24">
        <v>429</v>
      </c>
    </row>
    <row r="25">
      <c r="A25">
        <v>11</v>
      </c>
      <c r="B25">
        <v>59</v>
      </c>
      <c t="s" r="C25">
        <v>437</v>
      </c>
      <c r="E25">
        <v>2.95</v>
      </c>
      <c r="F25">
        <f>G25-E25</f>
        <v>0</v>
      </c>
      <c r="G25">
        <v>2.95</v>
      </c>
      <c s="19" r="H25">
        <f> 1 + ((G25-E25)/E25)</f>
        <v>1</v>
      </c>
    </row>
    <row r="26">
      <c r="A26">
        <v>11</v>
      </c>
      <c r="B26">
        <v>0</v>
      </c>
      <c t="s" r="C26">
        <v>438</v>
      </c>
      <c r="E26">
        <v>2.36</v>
      </c>
      <c r="F26">
        <f>G26-E26</f>
        <v>0</v>
      </c>
      <c r="G26">
        <v>2.36</v>
      </c>
      <c s="19" r="H26">
        <f> 1 + ((G26-E26)/E26)</f>
        <v>1</v>
      </c>
      <c t="s" r="I26">
        <v>429</v>
      </c>
    </row>
    <row r="27">
      <c r="A27">
        <v>12</v>
      </c>
      <c r="B27">
        <v>0</v>
      </c>
      <c t="s" r="C27">
        <v>4</v>
      </c>
      <c r="E27">
        <v>57.55</v>
      </c>
      <c r="F27">
        <f>G27-E27</f>
        <v>0</v>
      </c>
      <c r="G27">
        <v>57.55</v>
      </c>
      <c s="19" r="H27">
        <f> 1 + ((G27-E27)/E27)</f>
        <v>1</v>
      </c>
      <c t="s" r="I27">
        <v>429</v>
      </c>
    </row>
    <row r="28">
      <c r="A28">
        <v>12</v>
      </c>
      <c r="B28">
        <v>0</v>
      </c>
      <c t="s" r="C28">
        <v>428</v>
      </c>
      <c r="E28">
        <v>172.44</v>
      </c>
      <c r="F28">
        <f>G28-E28</f>
        <v>0</v>
      </c>
      <c r="G28">
        <v>172.44</v>
      </c>
      <c s="19" r="H28">
        <f> 1 + ((G28-E28)/E28)</f>
        <v>1</v>
      </c>
      <c t="s" r="I28">
        <v>429</v>
      </c>
    </row>
    <row r="29">
      <c r="A29">
        <v>12</v>
      </c>
      <c r="B29">
        <v>115</v>
      </c>
      <c t="s" r="C29">
        <v>439</v>
      </c>
      <c r="E29">
        <v>11.5</v>
      </c>
      <c r="F29">
        <f>G29-E29</f>
        <v>0</v>
      </c>
      <c r="G29">
        <v>11.5</v>
      </c>
      <c s="19" r="H29">
        <f> 1 + ((G29-E29)/E29)</f>
        <v>1</v>
      </c>
    </row>
    <row r="30">
      <c r="A30">
        <v>14</v>
      </c>
      <c r="B30">
        <v>0</v>
      </c>
      <c t="s" r="C30">
        <v>4</v>
      </c>
      <c r="E30">
        <v>165.91</v>
      </c>
      <c r="F30">
        <f>G30-E30</f>
        <v>0</v>
      </c>
      <c r="G30">
        <v>165.91</v>
      </c>
      <c s="19" r="H30">
        <f> 1 + ((G30-E30)/E30)</f>
        <v>1</v>
      </c>
      <c t="s" r="I30">
        <v>429</v>
      </c>
    </row>
    <row r="31">
      <c r="A31">
        <v>14</v>
      </c>
      <c r="B31">
        <v>0</v>
      </c>
      <c t="s" r="C31">
        <v>428</v>
      </c>
      <c r="E31">
        <v>106.37</v>
      </c>
      <c r="F31">
        <f>G31-E31</f>
        <v>0</v>
      </c>
      <c r="G31">
        <v>106.37</v>
      </c>
      <c s="19" r="H31">
        <f> 1 + ((G31-E31)/E31)</f>
        <v>1</v>
      </c>
      <c t="s" r="I31">
        <v>429</v>
      </c>
    </row>
    <row r="32">
      <c r="A32">
        <v>14</v>
      </c>
      <c r="B32">
        <v>36</v>
      </c>
      <c t="s" r="C32">
        <v>439</v>
      </c>
      <c r="E32">
        <v>3.6</v>
      </c>
      <c r="F32">
        <f>G32-E32</f>
        <v>0</v>
      </c>
      <c r="G32">
        <v>3.6</v>
      </c>
      <c s="19" r="H32">
        <f> 1 + ((G32-E32)/E32)</f>
        <v>1</v>
      </c>
    </row>
    <row r="33">
      <c r="A33">
        <v>14</v>
      </c>
      <c r="B33">
        <v>3</v>
      </c>
      <c t="s" r="C33">
        <v>440</v>
      </c>
      <c r="E33">
        <v>0.3</v>
      </c>
      <c r="F33">
        <f>G33-E33</f>
        <v>0</v>
      </c>
      <c r="G33">
        <v>0.3</v>
      </c>
      <c s="19" r="H33">
        <f> 1 + ((G33-E33)/E33)</f>
        <v>1</v>
      </c>
    </row>
    <row r="34">
      <c r="A34">
        <v>15</v>
      </c>
      <c r="B34">
        <v>0</v>
      </c>
      <c t="s" r="C34">
        <v>4</v>
      </c>
      <c r="E34">
        <v>48.87</v>
      </c>
      <c r="F34">
        <f>G34-E34</f>
        <v>0</v>
      </c>
      <c r="G34">
        <v>48.87</v>
      </c>
      <c s="19" r="H34">
        <f> 1 + ((G34-E34)/E34)</f>
        <v>1</v>
      </c>
      <c t="s" r="I34">
        <v>429</v>
      </c>
    </row>
    <row r="35">
      <c r="A35">
        <v>15</v>
      </c>
      <c r="B35">
        <v>0</v>
      </c>
      <c t="s" r="C35">
        <v>428</v>
      </c>
      <c r="E35">
        <v>107.77</v>
      </c>
      <c r="F35">
        <f>G35-E35</f>
        <v>0</v>
      </c>
      <c r="G35">
        <v>107.77</v>
      </c>
      <c s="19" r="H35">
        <f> 1 + ((G35-E35)/E35)</f>
        <v>1</v>
      </c>
      <c t="s" r="I35">
        <v>429</v>
      </c>
    </row>
    <row r="36">
      <c r="A36">
        <v>15</v>
      </c>
      <c r="B36">
        <v>26</v>
      </c>
      <c t="s" r="C36">
        <v>437</v>
      </c>
      <c r="E36">
        <v>1.3</v>
      </c>
      <c r="F36">
        <f>G36-E36</f>
        <v>0</v>
      </c>
      <c r="G36">
        <v>1.3</v>
      </c>
      <c s="19" r="H36">
        <f> 1 + ((G36-E36)/E36)</f>
        <v>1</v>
      </c>
    </row>
    <row r="37">
      <c r="A37">
        <v>15</v>
      </c>
      <c r="B37">
        <v>16</v>
      </c>
      <c t="s" r="C37">
        <v>440</v>
      </c>
      <c r="E37">
        <v>2.4</v>
      </c>
      <c r="F37">
        <f>G37-E37</f>
        <v>0</v>
      </c>
      <c r="G37">
        <v>2.4</v>
      </c>
      <c s="19" r="H37">
        <f> 1 + ((G37-E37)/E37)</f>
        <v>1</v>
      </c>
    </row>
    <row r="38">
      <c r="A38">
        <v>17</v>
      </c>
      <c r="B38">
        <v>0</v>
      </c>
      <c t="s" r="C38">
        <v>4</v>
      </c>
      <c r="E38">
        <v>153.47</v>
      </c>
      <c r="F38">
        <f>G38-E38</f>
        <v>0</v>
      </c>
      <c r="G38">
        <v>153.47</v>
      </c>
      <c s="19" r="H38">
        <f> 1 + ((G38-E38)/E38)</f>
        <v>1</v>
      </c>
      <c t="s" r="I38">
        <v>429</v>
      </c>
    </row>
    <row r="39">
      <c r="A39">
        <v>17</v>
      </c>
      <c r="B39">
        <v>0</v>
      </c>
      <c t="s" r="C39">
        <v>428</v>
      </c>
      <c r="E39">
        <v>74.13</v>
      </c>
      <c r="F39">
        <f>G39-E39</f>
        <v>0</v>
      </c>
      <c r="G39">
        <v>74.13</v>
      </c>
      <c s="19" r="H39">
        <f> 1 + ((G39-E39)/E39)</f>
        <v>1</v>
      </c>
      <c t="s" r="I39">
        <v>429</v>
      </c>
    </row>
    <row r="40">
      <c r="A40">
        <v>18</v>
      </c>
      <c r="B40">
        <v>0</v>
      </c>
      <c t="s" r="C40">
        <v>4</v>
      </c>
      <c r="E40">
        <v>79.64</v>
      </c>
      <c r="F40">
        <f>G40-E40</f>
        <v>0</v>
      </c>
      <c r="G40">
        <v>79.64</v>
      </c>
      <c s="19" r="H40">
        <f> 1 + ((G40-E40)/E40)</f>
        <v>1</v>
      </c>
      <c t="s" r="I40">
        <v>429</v>
      </c>
    </row>
    <row r="41">
      <c r="A41">
        <v>18</v>
      </c>
      <c r="B41">
        <v>0</v>
      </c>
      <c t="s" r="C41">
        <v>428</v>
      </c>
      <c r="E41">
        <v>206.67</v>
      </c>
      <c r="F41">
        <f>G41-E41</f>
        <v>0</v>
      </c>
      <c r="G41">
        <v>206.67</v>
      </c>
      <c s="19" r="H41">
        <f> 1 + ((G41-E41)/E41)</f>
        <v>1</v>
      </c>
      <c t="s" r="I41">
        <v>429</v>
      </c>
    </row>
    <row r="42">
      <c r="A42">
        <v>18</v>
      </c>
      <c r="B42">
        <v>65</v>
      </c>
      <c t="s" r="C42">
        <v>441</v>
      </c>
      <c r="E42">
        <v>0.65</v>
      </c>
      <c r="F42">
        <f>G42-E42</f>
        <v>0</v>
      </c>
      <c r="G42">
        <v>0.65</v>
      </c>
      <c s="19" r="H42">
        <f> 1 + ((G42-E42)/E42)</f>
        <v>1</v>
      </c>
    </row>
    <row r="43">
      <c r="A43">
        <v>18</v>
      </c>
      <c r="B43">
        <v>2060</v>
      </c>
      <c t="s" r="C43">
        <v>442</v>
      </c>
      <c r="E43">
        <v>20.6</v>
      </c>
      <c r="F43">
        <f>G43-E43</f>
        <v>0</v>
      </c>
      <c r="G43">
        <v>20.6</v>
      </c>
      <c s="19" r="H43">
        <f> 1 + ((G43-E43)/E43)</f>
        <v>1</v>
      </c>
    </row>
    <row r="44">
      <c r="A44">
        <v>19</v>
      </c>
      <c r="B44">
        <v>0</v>
      </c>
      <c t="s" r="C44">
        <v>4</v>
      </c>
      <c r="E44">
        <v>188.85</v>
      </c>
      <c r="F44">
        <f>G44-E44</f>
        <v>0</v>
      </c>
      <c r="G44">
        <v>188.85</v>
      </c>
      <c s="19" r="H44">
        <f> 1 + ((G44-E44)/E44)</f>
        <v>1</v>
      </c>
      <c t="s" r="I44">
        <v>429</v>
      </c>
    </row>
    <row r="45">
      <c r="A45">
        <v>19</v>
      </c>
      <c r="B45">
        <v>0</v>
      </c>
      <c t="s" r="C45">
        <v>428</v>
      </c>
      <c r="E45">
        <v>16.42</v>
      </c>
      <c r="F45">
        <f>G45-E45</f>
        <v>0</v>
      </c>
      <c r="G45">
        <v>16.42</v>
      </c>
      <c s="19" r="H45">
        <f> 1 + ((G45-E45)/E45)</f>
        <v>1</v>
      </c>
      <c t="s" r="I45">
        <v>429</v>
      </c>
    </row>
    <row r="46">
      <c r="A46">
        <v>19</v>
      </c>
      <c r="B46">
        <v>1</v>
      </c>
      <c t="s" r="C46">
        <v>443</v>
      </c>
      <c r="E46">
        <v>5</v>
      </c>
      <c r="F46">
        <f>G46-E46</f>
        <v>23.47</v>
      </c>
      <c r="G46">
        <f>(30-1.48)-0.05</f>
        <v>28.47</v>
      </c>
      <c s="19" r="H46">
        <f> 1 + ((G46-E46)/E46)</f>
        <v>5.694</v>
      </c>
      <c t="s" r="I46">
        <v>429</v>
      </c>
    </row>
    <row r="47">
      <c r="A47">
        <v>20</v>
      </c>
      <c r="B47">
        <v>0</v>
      </c>
      <c t="s" r="C47">
        <v>4</v>
      </c>
      <c r="E47">
        <v>148.48</v>
      </c>
      <c r="F47">
        <f>G47-E47</f>
        <v>0</v>
      </c>
      <c r="G47">
        <v>148.48</v>
      </c>
      <c s="19" r="H47">
        <f> 1 + ((G47-E47)/E47)</f>
        <v>1</v>
      </c>
      <c t="s" r="I47">
        <v>429</v>
      </c>
    </row>
    <row r="48">
      <c r="A48">
        <v>20</v>
      </c>
      <c r="B48">
        <v>0</v>
      </c>
      <c t="s" r="C48">
        <v>428</v>
      </c>
      <c r="E48">
        <v>145.65</v>
      </c>
      <c r="F48">
        <f>G48-E48</f>
        <v>0</v>
      </c>
      <c r="G48">
        <v>145.65</v>
      </c>
      <c s="19" r="H48">
        <f> 1 + ((G48-E48)/E48)</f>
        <v>1</v>
      </c>
      <c t="s" r="I48">
        <v>429</v>
      </c>
    </row>
    <row r="49">
      <c r="A49">
        <v>20</v>
      </c>
      <c r="B49">
        <v>0</v>
      </c>
      <c t="s" r="C49">
        <v>444</v>
      </c>
      <c r="E49">
        <v>4.05</v>
      </c>
      <c r="F49">
        <f>G49-E49</f>
        <v>0</v>
      </c>
      <c r="G49">
        <v>4.05</v>
      </c>
      <c s="19" r="H49">
        <f> 1 + ((G49-E49)/E49)</f>
        <v>1</v>
      </c>
    </row>
    <row r="50">
      <c r="A50">
        <v>21</v>
      </c>
      <c r="B50">
        <v>0</v>
      </c>
      <c t="s" r="C50">
        <v>4</v>
      </c>
      <c r="E50">
        <v>152.53</v>
      </c>
      <c r="F50">
        <f>G50-E50</f>
        <v>0</v>
      </c>
      <c r="G50">
        <v>152.53</v>
      </c>
      <c s="19" r="H50">
        <f> 1 + ((G50-E50)/E50)</f>
        <v>1</v>
      </c>
      <c t="s" r="I50">
        <v>429</v>
      </c>
    </row>
    <row r="51">
      <c r="A51">
        <v>21</v>
      </c>
      <c r="B51">
        <v>0</v>
      </c>
      <c t="s" r="C51">
        <v>428</v>
      </c>
      <c r="E51">
        <v>187.85</v>
      </c>
      <c r="F51">
        <f>G51-E51</f>
        <v>4</v>
      </c>
      <c r="G51">
        <v>191.85</v>
      </c>
      <c s="19" r="H51">
        <f> 1 + ((G51-E51)/E51)</f>
        <v>1.02129358530743</v>
      </c>
      <c t="s" r="I51">
        <v>429</v>
      </c>
    </row>
    <row r="52">
      <c r="A52">
        <v>21</v>
      </c>
      <c r="B52">
        <v>0</v>
      </c>
      <c t="s" r="C52">
        <v>445</v>
      </c>
      <c r="E52">
        <v>4</v>
      </c>
      <c r="F52">
        <f>G52-E52</f>
        <v>4</v>
      </c>
      <c r="G52">
        <v>8</v>
      </c>
      <c s="19" r="H52">
        <f> 1 + ((G52-E52)/E52)</f>
        <v>2</v>
      </c>
      <c t="s" r="I52">
        <v>429</v>
      </c>
    </row>
    <row r="53">
      <c r="A53">
        <v>22</v>
      </c>
      <c r="B53">
        <v>0</v>
      </c>
      <c t="s" r="C53">
        <v>4</v>
      </c>
      <c r="E53">
        <v>107.21</v>
      </c>
      <c r="F53">
        <f>G53-E53</f>
        <v>0</v>
      </c>
      <c r="G53">
        <v>107.21</v>
      </c>
      <c s="19" r="H53">
        <f> 1 + ((G53-E53)/E53)</f>
        <v>1</v>
      </c>
      <c t="s" r="I53">
        <v>429</v>
      </c>
    </row>
    <row r="54">
      <c r="A54">
        <v>22</v>
      </c>
      <c r="B54">
        <v>0</v>
      </c>
      <c t="s" r="C54">
        <v>428</v>
      </c>
      <c r="E54">
        <f>115.69-3.5</f>
        <v>112.19</v>
      </c>
      <c r="F54">
        <f>G54-E54</f>
        <v>0</v>
      </c>
      <c r="G54">
        <v>112.19</v>
      </c>
      <c s="19" r="H54">
        <f> 1 + ((G54-E54)/E54)</f>
        <v>1</v>
      </c>
      <c t="s" r="I54">
        <v>429</v>
      </c>
    </row>
    <row r="55">
      <c r="A55">
        <v>22</v>
      </c>
      <c r="B55">
        <v>70</v>
      </c>
      <c t="s" r="C55">
        <v>437</v>
      </c>
      <c r="E55">
        <v>3.5</v>
      </c>
      <c r="F55">
        <f>G55-E55</f>
        <v>0</v>
      </c>
      <c r="G55">
        <v>3.5</v>
      </c>
      <c s="19" r="H55">
        <f> 1 + ((G55-E55)/E55)</f>
        <v>1</v>
      </c>
    </row>
    <row r="56">
      <c r="A56">
        <v>23</v>
      </c>
      <c r="B56">
        <v>0</v>
      </c>
      <c t="s" r="C56">
        <v>4</v>
      </c>
      <c r="E56">
        <v>68.63</v>
      </c>
      <c r="F56">
        <f>G56-E56</f>
        <v>0</v>
      </c>
      <c r="G56">
        <v>68.63</v>
      </c>
      <c s="19" r="H56">
        <f> 1 + ((G56-E56)/E56)</f>
        <v>1</v>
      </c>
      <c t="s" r="I56">
        <v>429</v>
      </c>
    </row>
    <row r="57">
      <c r="A57">
        <v>23</v>
      </c>
      <c r="B57">
        <v>0</v>
      </c>
      <c t="s" r="C57">
        <v>428</v>
      </c>
      <c r="E57">
        <v>220.84</v>
      </c>
      <c r="F57">
        <f>G57-E57</f>
        <v>0</v>
      </c>
      <c r="G57">
        <v>220.84</v>
      </c>
      <c s="19" r="H57">
        <f> 1 + ((G57-E57)/E57)</f>
        <v>1</v>
      </c>
      <c t="s" r="I57">
        <v>429</v>
      </c>
    </row>
    <row r="58">
      <c r="A58">
        <v>23</v>
      </c>
      <c r="B58">
        <v>260</v>
      </c>
      <c t="s" r="C58">
        <v>437</v>
      </c>
      <c r="E58">
        <v>2.6</v>
      </c>
      <c r="F58">
        <f>G58-E58</f>
        <v>0</v>
      </c>
      <c r="G58">
        <v>2.6</v>
      </c>
      <c s="19" r="H58">
        <f> 1 + ((G58-E58)/E58)</f>
        <v>1</v>
      </c>
    </row>
    <row r="59">
      <c r="A59">
        <v>24</v>
      </c>
      <c r="B59">
        <v>0</v>
      </c>
      <c t="s" r="C59">
        <v>428</v>
      </c>
      <c r="E59">
        <v>12.51</v>
      </c>
      <c r="F59">
        <f>G59-E59</f>
        <v>0</v>
      </c>
      <c r="G59">
        <v>12.51</v>
      </c>
      <c s="19" r="H59">
        <f> 1 + ((G59-E59)/E59)</f>
        <v>1</v>
      </c>
      <c t="s" r="I59">
        <v>429</v>
      </c>
    </row>
    <row r="60">
      <c r="A60">
        <v>24</v>
      </c>
      <c r="B60">
        <v>0</v>
      </c>
      <c t="s" r="C60">
        <v>86</v>
      </c>
      <c r="E60">
        <v>71.76</v>
      </c>
      <c r="F60">
        <f>G60-E60</f>
        <v>0</v>
      </c>
      <c r="G60">
        <v>71.76</v>
      </c>
      <c s="19" r="H60">
        <f> 1 + ((G60-E60)/E60)</f>
        <v>1</v>
      </c>
      <c t="s" r="I60">
        <v>429</v>
      </c>
    </row>
    <row r="61">
      <c r="A61">
        <v>28</v>
      </c>
      <c r="B61">
        <v>486</v>
      </c>
      <c t="s" r="C61">
        <v>88</v>
      </c>
      <c r="E61">
        <v>315.9</v>
      </c>
      <c r="F61">
        <f>G61-E61</f>
        <v>22.113</v>
      </c>
      <c r="G61">
        <f>E61*1.07</f>
        <v>338.013</v>
      </c>
      <c s="19" r="H61">
        <f> 1 + ((G61-E61)/E61)</f>
        <v>1.07</v>
      </c>
    </row>
    <row r="62">
      <c r="A62">
        <v>28</v>
      </c>
      <c r="B62">
        <v>0</v>
      </c>
      <c t="s" r="C62">
        <v>446</v>
      </c>
      <c r="E62">
        <f>788.4-315.9</f>
        <v>472.5</v>
      </c>
      <c r="F62">
        <f>G62-E62</f>
        <v>0</v>
      </c>
      <c r="G62">
        <v>472.5</v>
      </c>
      <c s="19" r="H62">
        <f> 1 + ((G62-E62)/E62)</f>
        <v>1</v>
      </c>
    </row>
    <row r="63">
      <c r="A63">
        <v>30</v>
      </c>
      <c r="B63">
        <v>0</v>
      </c>
      <c t="s" r="C63">
        <v>4</v>
      </c>
      <c r="E63">
        <v>69.63</v>
      </c>
      <c r="F63">
        <f>G63-E63</f>
        <v>0</v>
      </c>
      <c r="G63">
        <v>69.63</v>
      </c>
      <c s="19" r="H63">
        <f> 1 + ((G63-E63)/E63)</f>
        <v>1</v>
      </c>
      <c t="s" r="I63">
        <v>429</v>
      </c>
    </row>
    <row r="64">
      <c r="A64">
        <v>30</v>
      </c>
      <c r="B64">
        <v>0</v>
      </c>
      <c t="s" r="C64">
        <v>428</v>
      </c>
      <c r="E64">
        <v>116.75</v>
      </c>
      <c r="F64">
        <f>G64-E64</f>
        <v>0</v>
      </c>
      <c r="G64">
        <v>116.75</v>
      </c>
      <c s="19" r="H64">
        <f> 1 + ((G64-E64)/E64)</f>
        <v>1</v>
      </c>
      <c t="s" r="I64">
        <v>429</v>
      </c>
    </row>
    <row r="65">
      <c r="A65">
        <v>32</v>
      </c>
      <c r="B65">
        <v>32</v>
      </c>
      <c t="s" r="C65">
        <v>92</v>
      </c>
      <c r="E65">
        <v>12.8</v>
      </c>
      <c r="F65">
        <f>G65-E65</f>
        <v>17.1</v>
      </c>
      <c r="G65">
        <f>31-1.10</f>
        <v>29.9</v>
      </c>
      <c s="19" r="H65">
        <f> 1 + ((G65-E65)/E65)</f>
        <v>2.3359375</v>
      </c>
    </row>
    <row r="66">
      <c r="A66">
        <v>32</v>
      </c>
      <c r="B66">
        <v>5632</v>
      </c>
      <c t="s" r="C66">
        <v>384</v>
      </c>
      <c r="E66">
        <v>56.32</v>
      </c>
      <c r="F66">
        <f>G66-E66</f>
        <v>4</v>
      </c>
      <c r="G66">
        <f>61-0.68</f>
        <v>60.32</v>
      </c>
      <c s="19" r="H66">
        <f> 1 + ((G66-E66)/E66)</f>
        <v>1.07102272727273</v>
      </c>
    </row>
    <row r="67">
      <c r="A67">
        <v>32</v>
      </c>
      <c r="B67">
        <v>0</v>
      </c>
      <c t="s" r="C67">
        <v>428</v>
      </c>
      <c r="E67">
        <f>((113.60-56.32)-12.8)-11.88</f>
        <v>32.6</v>
      </c>
      <c r="F67">
        <v>0</v>
      </c>
      <c r="G67">
        <v>32.6</v>
      </c>
      <c s="19" r="H67">
        <f> 1 + ((G67-E67)/E67)</f>
        <v>1</v>
      </c>
      <c t="s" r="I67">
        <v>429</v>
      </c>
    </row>
    <row r="68">
      <c r="A68">
        <v>32</v>
      </c>
      <c r="B68">
        <v>1188</v>
      </c>
      <c t="s" r="C68">
        <v>447</v>
      </c>
      <c r="E68">
        <v>11.88</v>
      </c>
      <c r="F68">
        <f>G68-E68</f>
        <v>1.546776</v>
      </c>
      <c r="G68">
        <f>11.88*1.1302</f>
        <v>13.426776</v>
      </c>
      <c s="19" r="H68">
        <f> 1 + ((G68-E68)/E68)</f>
        <v>1.1302</v>
      </c>
    </row>
    <row r="69">
      <c r="A69">
        <v>33</v>
      </c>
      <c r="B69">
        <v>0</v>
      </c>
      <c t="s" r="C69">
        <v>4</v>
      </c>
      <c r="E69">
        <v>59.79</v>
      </c>
      <c r="F69">
        <f>G69-E69</f>
        <v>0</v>
      </c>
      <c r="G69">
        <v>59.79</v>
      </c>
      <c s="19" r="H69">
        <f> 1 + ((G69-E69)/E69)</f>
        <v>1</v>
      </c>
      <c t="s" r="I69">
        <v>429</v>
      </c>
    </row>
    <row r="70">
      <c r="A70">
        <v>33</v>
      </c>
      <c r="B70">
        <v>0</v>
      </c>
      <c t="s" r="C70">
        <v>428</v>
      </c>
      <c r="E70">
        <v>99.34</v>
      </c>
      <c r="F70">
        <f>G70-E70</f>
        <v>0</v>
      </c>
      <c r="G70">
        <v>99.34</v>
      </c>
      <c s="19" r="H70">
        <f> 1 + ((G70-E70)/E70)</f>
        <v>1</v>
      </c>
      <c t="s" r="I70">
        <v>429</v>
      </c>
    </row>
    <row r="71">
      <c r="A71">
        <v>34</v>
      </c>
      <c r="B71">
        <v>0</v>
      </c>
      <c t="s" r="C71">
        <v>4</v>
      </c>
      <c r="E71">
        <v>57.36</v>
      </c>
      <c r="F71">
        <f>G71-E71</f>
        <v>0</v>
      </c>
      <c r="G71">
        <v>57.36</v>
      </c>
      <c s="19" r="H71">
        <f> 1 + ((G71-E71)/E71)</f>
        <v>1</v>
      </c>
      <c t="s" r="I71">
        <v>429</v>
      </c>
    </row>
    <row r="72">
      <c r="A72">
        <v>34</v>
      </c>
      <c r="B72">
        <v>0</v>
      </c>
      <c t="s" r="C72">
        <v>428</v>
      </c>
      <c r="E72">
        <v>94.61</v>
      </c>
      <c r="F72">
        <f>G72-E72</f>
        <v>0</v>
      </c>
      <c r="G72">
        <v>94.61</v>
      </c>
      <c s="19" r="H72">
        <f> 1 + ((G72-E72)/E72)</f>
        <v>1</v>
      </c>
      <c t="s" r="I72">
        <v>429</v>
      </c>
    </row>
    <row r="73">
      <c r="A73">
        <v>35</v>
      </c>
      <c r="B73">
        <v>0</v>
      </c>
      <c t="s" r="C73">
        <v>4</v>
      </c>
      <c r="E73">
        <v>4.55</v>
      </c>
      <c r="F73">
        <f>G73-E73</f>
        <v>0</v>
      </c>
      <c r="G73">
        <v>4.55</v>
      </c>
      <c s="19" r="H73">
        <f> 1 + ((G73-E73)/E73)</f>
        <v>1</v>
      </c>
      <c t="s" r="I73">
        <v>429</v>
      </c>
    </row>
    <row r="74">
      <c r="A74">
        <v>35</v>
      </c>
      <c r="B74">
        <v>0</v>
      </c>
      <c t="s" r="C74">
        <v>448</v>
      </c>
      <c r="E74">
        <v>124.66</v>
      </c>
      <c r="F74">
        <f>G74-E74</f>
        <v>0</v>
      </c>
      <c r="G74">
        <v>124.66</v>
      </c>
      <c s="19" r="H74">
        <f> 1 + ((G74-E74)/E74)</f>
        <v>1</v>
      </c>
      <c t="s" r="I74">
        <v>429</v>
      </c>
    </row>
    <row r="75">
      <c r="A75">
        <v>36</v>
      </c>
      <c r="B75">
        <v>0</v>
      </c>
      <c t="s" r="C75">
        <v>4</v>
      </c>
      <c r="E75">
        <v>57.63</v>
      </c>
      <c r="F75">
        <f>G75-E75</f>
        <v>0</v>
      </c>
      <c r="G75">
        <v>57.63</v>
      </c>
      <c s="19" r="H75">
        <f> 1 + ((G75-E75)/E75)</f>
        <v>1</v>
      </c>
      <c t="s" r="I75">
        <v>429</v>
      </c>
    </row>
    <row r="76">
      <c r="A76">
        <v>36</v>
      </c>
      <c r="B76">
        <v>0</v>
      </c>
      <c t="s" r="C76">
        <v>428</v>
      </c>
      <c r="E76">
        <v>138.01</v>
      </c>
      <c r="F76">
        <f>G76-E76</f>
        <v>0</v>
      </c>
      <c r="G76">
        <v>138.01</v>
      </c>
      <c s="19" r="H76">
        <f> 1 + ((G76-E76)/E76)</f>
        <v>1</v>
      </c>
      <c t="s" r="I76">
        <v>429</v>
      </c>
    </row>
    <row r="77">
      <c r="A77">
        <v>38</v>
      </c>
      <c r="B77">
        <v>0</v>
      </c>
      <c t="s" r="C77">
        <v>4</v>
      </c>
      <c r="E77">
        <v>49.11</v>
      </c>
      <c r="F77">
        <f>G77-E77</f>
        <v>0</v>
      </c>
      <c r="G77">
        <v>49.11</v>
      </c>
      <c s="19" r="H77">
        <f> 1 + ((G77-E77)/E77)</f>
        <v>1</v>
      </c>
      <c t="s" r="I77">
        <v>429</v>
      </c>
    </row>
    <row r="78">
      <c r="A78">
        <v>38</v>
      </c>
      <c r="B78">
        <v>0</v>
      </c>
      <c t="s" r="C78">
        <v>428</v>
      </c>
      <c r="E78">
        <f>43.97+1.45</f>
        <v>45.42</v>
      </c>
      <c r="F78">
        <f>G78-E78</f>
        <v>0</v>
      </c>
      <c r="G78">
        <v>45.42</v>
      </c>
      <c s="19" r="H78">
        <f> 1 + ((G78-E78)/E78)</f>
        <v>1</v>
      </c>
      <c t="s" r="I78">
        <v>429</v>
      </c>
    </row>
    <row r="79">
      <c r="A79">
        <v>38</v>
      </c>
      <c r="B79">
        <v>186</v>
      </c>
      <c t="s" r="C79">
        <v>449</v>
      </c>
      <c r="E79">
        <v>22.32</v>
      </c>
      <c r="F79">
        <f>G79-E79</f>
        <v>2.9016</v>
      </c>
      <c r="G79">
        <f>E79*H79</f>
        <v>25.2216</v>
      </c>
      <c s="19" r="H79">
        <v>1.13</v>
      </c>
    </row>
    <row r="80">
      <c r="A80">
        <v>38</v>
      </c>
      <c r="B80">
        <v>20</v>
      </c>
      <c t="s" r="C80">
        <v>450</v>
      </c>
      <c r="E80">
        <v>12</v>
      </c>
      <c r="F80">
        <f>G80-E80</f>
        <v>4.08</v>
      </c>
      <c r="G80">
        <f>E80*H80</f>
        <v>16.08</v>
      </c>
      <c s="19" r="H80">
        <v>1.34</v>
      </c>
    </row>
    <row r="81">
      <c r="A81">
        <v>38</v>
      </c>
      <c r="B81">
        <v>43</v>
      </c>
      <c t="s" r="C81">
        <v>451</v>
      </c>
      <c r="E81">
        <v>21.93</v>
      </c>
      <c r="F81">
        <f>G81-E81</f>
        <v>3.68424</v>
      </c>
      <c r="G81">
        <f>E81*H81</f>
        <v>25.61424</v>
      </c>
      <c s="19" r="H81">
        <v>1.168</v>
      </c>
    </row>
    <row r="82">
      <c r="A82">
        <v>38</v>
      </c>
      <c r="B82">
        <v>8</v>
      </c>
      <c t="s" r="C82">
        <v>452</v>
      </c>
      <c r="E82">
        <v>19.2</v>
      </c>
      <c r="F82">
        <f>G82-E82</f>
        <v>3.36</v>
      </c>
      <c r="G82">
        <f>E82*H82</f>
        <v>22.56</v>
      </c>
      <c s="19" r="H82">
        <v>1.175</v>
      </c>
    </row>
    <row r="83">
      <c r="A83">
        <v>39</v>
      </c>
      <c r="B83">
        <v>0</v>
      </c>
      <c t="s" r="C83">
        <v>4</v>
      </c>
      <c r="E83">
        <v>137.56</v>
      </c>
      <c r="F83">
        <f>G83-E83</f>
        <v>0</v>
      </c>
      <c r="G83">
        <v>137.56</v>
      </c>
      <c s="19" r="H83">
        <f> 1 + ((G83-E83)/E83)</f>
        <v>1</v>
      </c>
      <c t="s" r="I83">
        <v>429</v>
      </c>
    </row>
    <row r="84">
      <c r="A84">
        <v>39</v>
      </c>
      <c r="B84">
        <v>0</v>
      </c>
      <c t="s" r="C84">
        <v>428</v>
      </c>
      <c r="E84">
        <v>29.33</v>
      </c>
      <c r="F84">
        <f>G84-E84</f>
        <v>0</v>
      </c>
      <c r="G84">
        <v>29.33</v>
      </c>
      <c s="19" r="H84">
        <f> 1 + ((G84-E84)/E84)</f>
        <v>1</v>
      </c>
      <c t="s" r="I84">
        <v>429</v>
      </c>
    </row>
    <row r="85">
      <c r="A85">
        <v>40</v>
      </c>
      <c r="B85">
        <v>0</v>
      </c>
      <c t="s" r="C85">
        <v>4</v>
      </c>
      <c r="E85">
        <v>50.94</v>
      </c>
      <c r="F85">
        <f>G85-E85</f>
        <v>0</v>
      </c>
      <c r="G85">
        <v>50.94</v>
      </c>
      <c s="19" r="H85">
        <f> 1 + ((G85-E85)/E85)</f>
        <v>1</v>
      </c>
      <c t="s" r="I85">
        <v>429</v>
      </c>
    </row>
    <row r="86">
      <c r="A86">
        <v>40</v>
      </c>
      <c r="B86">
        <v>0</v>
      </c>
      <c t="s" r="C86">
        <v>453</v>
      </c>
      <c r="E86">
        <v>63.46</v>
      </c>
      <c r="F86">
        <f>G86-E86</f>
        <v>0</v>
      </c>
      <c r="G86">
        <v>63.46</v>
      </c>
      <c s="19" r="H86">
        <f> 1 + ((G86-E86)/E86)</f>
        <v>1</v>
      </c>
      <c t="s" r="I86">
        <v>429</v>
      </c>
    </row>
    <row r="87">
      <c r="A87">
        <v>40</v>
      </c>
      <c r="B87">
        <v>240</v>
      </c>
      <c t="s" r="C87">
        <v>449</v>
      </c>
      <c r="E87">
        <v>28.8</v>
      </c>
      <c r="F87">
        <f>G87-E87</f>
        <v>3.744</v>
      </c>
      <c r="G87">
        <f>E87*H87</f>
        <v>32.544</v>
      </c>
      <c s="19" r="H87">
        <v>1.13</v>
      </c>
    </row>
    <row r="88">
      <c r="A88">
        <v>40</v>
      </c>
      <c r="B88">
        <v>23</v>
      </c>
      <c t="s" r="C88">
        <v>450</v>
      </c>
      <c r="E88">
        <v>13.8</v>
      </c>
      <c r="F88">
        <f>G88-E88</f>
        <v>4.692</v>
      </c>
      <c r="G88">
        <f>E88*H88</f>
        <v>18.492</v>
      </c>
      <c s="19" r="H88">
        <v>1.34</v>
      </c>
    </row>
    <row r="89">
      <c r="A89">
        <v>40</v>
      </c>
      <c r="B89">
        <v>3</v>
      </c>
      <c t="s" r="C89">
        <v>452</v>
      </c>
      <c r="E89">
        <v>7.2</v>
      </c>
      <c r="F89">
        <f>G89-E89</f>
        <v>1.26</v>
      </c>
      <c r="G89">
        <f>E89*H89</f>
        <v>8.46</v>
      </c>
      <c s="19" r="H89">
        <v>1.175</v>
      </c>
    </row>
    <row r="90">
      <c r="A90">
        <v>40</v>
      </c>
      <c r="B90">
        <v>27</v>
      </c>
      <c t="s" r="C90">
        <v>454</v>
      </c>
      <c r="E90">
        <v>13.77</v>
      </c>
      <c r="F90">
        <f>G90-E90</f>
        <v>2.31336</v>
      </c>
      <c r="G90">
        <f>E90*H90</f>
        <v>16.08336</v>
      </c>
      <c s="19" r="H90">
        <v>1.168</v>
      </c>
    </row>
    <row r="91">
      <c r="A91">
        <v>41</v>
      </c>
      <c r="B91">
        <v>0</v>
      </c>
      <c t="s" r="C91">
        <v>4</v>
      </c>
      <c r="E91">
        <v>70.28</v>
      </c>
      <c r="F91">
        <f>G91-E91</f>
        <v>0</v>
      </c>
      <c r="G91">
        <v>70.28</v>
      </c>
      <c s="19" r="H91">
        <f> 1 + ((G86-E86)/E86)</f>
        <v>1</v>
      </c>
      <c t="s" r="I91">
        <v>429</v>
      </c>
    </row>
    <row r="92">
      <c r="A92">
        <v>41</v>
      </c>
      <c r="B92">
        <v>0</v>
      </c>
      <c t="s" r="C92">
        <v>453</v>
      </c>
      <c r="E92">
        <f>159.39+1.60</f>
        <v>160.99</v>
      </c>
      <c r="F92">
        <v>0</v>
      </c>
      <c r="G92">
        <v>160.99</v>
      </c>
      <c s="19" r="H92">
        <f> 1 + ((G92-E92)/E92)</f>
        <v>1</v>
      </c>
      <c t="s" r="I92">
        <v>429</v>
      </c>
    </row>
    <row r="93">
      <c r="A93">
        <v>41</v>
      </c>
      <c r="B93">
        <v>22</v>
      </c>
      <c t="s" r="C93">
        <v>449</v>
      </c>
      <c r="E93">
        <v>2.64</v>
      </c>
      <c r="F93">
        <f>G93-E93</f>
        <v>0.3432</v>
      </c>
      <c r="G93">
        <f>E93*H93</f>
        <v>2.9832</v>
      </c>
      <c s="19" r="H93">
        <v>1.13</v>
      </c>
    </row>
    <row r="94">
      <c r="A94">
        <v>41</v>
      </c>
      <c r="B94">
        <v>7</v>
      </c>
      <c t="s" r="C94">
        <v>450</v>
      </c>
      <c r="E94">
        <v>4.2</v>
      </c>
      <c r="F94">
        <f>G94-E94</f>
        <v>1.428</v>
      </c>
      <c r="G94">
        <f>E94*H94</f>
        <v>5.628</v>
      </c>
      <c s="19" r="H94">
        <v>1.34</v>
      </c>
    </row>
    <row r="95">
      <c r="A95">
        <v>41</v>
      </c>
      <c r="B95">
        <v>2</v>
      </c>
      <c t="s" r="C95">
        <v>451</v>
      </c>
      <c r="E95">
        <v>1.02</v>
      </c>
      <c r="F95">
        <f>G95-E95</f>
        <v>0.17136</v>
      </c>
      <c r="G95">
        <f>E95*H95</f>
        <v>1.19136</v>
      </c>
      <c s="19" r="H95">
        <v>1.168</v>
      </c>
    </row>
    <row r="96">
      <c r="A96">
        <v>41</v>
      </c>
      <c r="B96">
        <v>2</v>
      </c>
      <c t="s" r="C96">
        <v>452</v>
      </c>
      <c r="E96">
        <v>4.8</v>
      </c>
      <c r="F96">
        <f>G96-E96</f>
        <v>0.84</v>
      </c>
      <c r="G96">
        <f>E96*H96</f>
        <v>5.64</v>
      </c>
      <c s="19" r="H96">
        <v>1.175</v>
      </c>
    </row>
    <row r="97">
      <c r="A97">
        <v>41</v>
      </c>
      <c r="B97">
        <v>1</v>
      </c>
      <c t="s" r="C97">
        <v>455</v>
      </c>
      <c r="E97">
        <v>3.6</v>
      </c>
      <c r="F97">
        <f>G97-E97</f>
        <v>0.63</v>
      </c>
      <c r="G97">
        <f>E97*H97</f>
        <v>4.23</v>
      </c>
      <c s="19" r="H97">
        <v>1.175</v>
      </c>
    </row>
    <row r="98">
      <c r="A98">
        <v>42</v>
      </c>
      <c r="B98">
        <v>204</v>
      </c>
      <c t="s" r="C98">
        <v>103</v>
      </c>
      <c r="E98">
        <v>40.8</v>
      </c>
      <c r="F98">
        <f>G98-E98</f>
        <v>4.61</v>
      </c>
      <c r="G98">
        <f>46-0.59</f>
        <v>45.41</v>
      </c>
      <c s="19" r="H98">
        <f> 1 + ((G93-E93)/E93)</f>
        <v>1.13</v>
      </c>
    </row>
    <row r="99">
      <c r="A99">
        <v>44</v>
      </c>
      <c r="B99">
        <v>43</v>
      </c>
      <c t="s" r="C99">
        <v>88</v>
      </c>
      <c r="E99">
        <v>27.95</v>
      </c>
      <c r="F99">
        <f>G99-E99</f>
        <v>2.5</v>
      </c>
      <c r="G99">
        <v>30.45</v>
      </c>
      <c s="19" r="H99">
        <f> 1 + ((G99-E99)/E99)</f>
        <v>1.08944543828265</v>
      </c>
    </row>
    <row r="100">
      <c r="A100">
        <v>46</v>
      </c>
      <c t="s" r="C100">
        <v>4</v>
      </c>
      <c r="E100">
        <v>157.87</v>
      </c>
      <c r="F100">
        <f>G100-E100</f>
        <v>0</v>
      </c>
      <c r="G100">
        <v>157.87</v>
      </c>
      <c s="19" r="H100">
        <f> 1 + ((G100-E100)/E100)</f>
        <v>1</v>
      </c>
    </row>
    <row r="101">
      <c r="A101">
        <v>46</v>
      </c>
      <c t="s" r="C101">
        <v>453</v>
      </c>
      <c r="E101">
        <v>92.88</v>
      </c>
      <c r="F101">
        <f>G101-E101</f>
        <v>0</v>
      </c>
      <c r="G101">
        <v>92.88</v>
      </c>
      <c s="19" r="H101">
        <f> 1 + ((G101-E101)/E101)</f>
        <v>1</v>
      </c>
    </row>
    <row r="102">
      <c r="A102">
        <v>47</v>
      </c>
      <c t="s" r="C102">
        <v>4</v>
      </c>
      <c r="E102">
        <v>86.71</v>
      </c>
      <c r="F102">
        <f>G102-E102</f>
        <v>0</v>
      </c>
      <c r="G102">
        <v>86.71</v>
      </c>
      <c s="19" r="H102">
        <f> 1 + ((G102-E102)/E102)</f>
        <v>1</v>
      </c>
    </row>
    <row r="103">
      <c r="A103">
        <v>47</v>
      </c>
      <c t="s" r="C103">
        <v>453</v>
      </c>
      <c r="E103">
        <v>69</v>
      </c>
      <c r="F103">
        <f>G103-E103</f>
        <v>0</v>
      </c>
      <c r="G103">
        <v>69</v>
      </c>
      <c s="19" r="H103">
        <f> 1 + ((G103-E103)/E103)</f>
        <v>1</v>
      </c>
    </row>
    <row r="104">
      <c r="A104">
        <v>48</v>
      </c>
      <c t="s" r="C104">
        <v>4</v>
      </c>
      <c r="E104">
        <v>18.5</v>
      </c>
      <c r="F104">
        <f>G104-E104</f>
        <v>0</v>
      </c>
      <c r="G104">
        <v>18.5</v>
      </c>
      <c s="19" r="H104">
        <f> 1 + ((G104-E104)/E104)</f>
        <v>1</v>
      </c>
    </row>
    <row r="105">
      <c r="A105">
        <v>48</v>
      </c>
      <c t="s" r="C105">
        <v>438</v>
      </c>
      <c r="E105">
        <v>27.8</v>
      </c>
      <c r="F105">
        <f>G105-E105</f>
        <v>0</v>
      </c>
      <c r="G105">
        <v>27.8</v>
      </c>
      <c s="19" r="H105">
        <f> 1 + ((G105-E105)/E105)</f>
        <v>1</v>
      </c>
    </row>
    <row r="106">
      <c r="A106">
        <v>49</v>
      </c>
      <c t="s" r="C106">
        <v>4</v>
      </c>
      <c r="E106">
        <v>26</v>
      </c>
      <c r="F106">
        <f>G106-E106</f>
        <v>0</v>
      </c>
      <c r="G106">
        <v>26</v>
      </c>
      <c s="19" r="H106">
        <f> 1 + ((G106-E106)/E106)</f>
        <v>1</v>
      </c>
    </row>
    <row r="107">
      <c r="A107">
        <v>49</v>
      </c>
      <c r="B107">
        <v>2909</v>
      </c>
      <c t="s" r="C107">
        <v>456</v>
      </c>
      <c r="E107">
        <v>58.18</v>
      </c>
      <c r="F107">
        <f>G107-E107</f>
        <v>2.740278</v>
      </c>
      <c r="G107">
        <f>E107*H107</f>
        <v>60.920278</v>
      </c>
      <c s="19" r="H107">
        <v>1.0471</v>
      </c>
    </row>
    <row r="108">
      <c r="A108">
        <v>49</v>
      </c>
      <c r="B108">
        <v>9</v>
      </c>
      <c t="s" r="C108">
        <v>457</v>
      </c>
      <c r="E108">
        <v>5.4</v>
      </c>
      <c r="F108">
        <f>G108-E108</f>
        <v>3.33288</v>
      </c>
      <c r="G108">
        <f>E108*H108</f>
        <v>8.73288</v>
      </c>
      <c s="19" r="H108">
        <v>1.6172</v>
      </c>
    </row>
    <row r="109">
      <c r="A109">
        <v>49</v>
      </c>
      <c r="B109">
        <v>112</v>
      </c>
      <c t="s" r="C109">
        <v>458</v>
      </c>
      <c r="E109">
        <v>1.12</v>
      </c>
      <c r="F109">
        <f>G109-E109</f>
        <v>0.057344</v>
      </c>
      <c r="G109">
        <f>E109*H109</f>
        <v>1.177344</v>
      </c>
      <c s="19" r="H109">
        <v>1.0512</v>
      </c>
    </row>
    <row r="110">
      <c r="A110">
        <v>49</v>
      </c>
      <c r="B110">
        <v>25</v>
      </c>
      <c t="s" r="C110">
        <v>459</v>
      </c>
      <c r="E110">
        <v>11.75</v>
      </c>
      <c r="F110">
        <f>G110-E110</f>
        <v>0.473525</v>
      </c>
      <c r="G110">
        <f>E110*H110</f>
        <v>12.223525</v>
      </c>
      <c s="19" r="H110">
        <v>1.0403</v>
      </c>
    </row>
    <row r="111">
      <c r="A111">
        <v>49</v>
      </c>
      <c r="B111">
        <v>58</v>
      </c>
      <c t="s" r="C111">
        <v>460</v>
      </c>
      <c r="E111">
        <v>6.96</v>
      </c>
      <c r="F111">
        <f>G111-E111</f>
        <v>0.847032</v>
      </c>
      <c r="G111">
        <f>E111*H111</f>
        <v>7.807032</v>
      </c>
      <c s="19" r="H111">
        <v>1.1217</v>
      </c>
    </row>
    <row r="112">
      <c r="A112">
        <v>49</v>
      </c>
      <c r="B112">
        <v>6</v>
      </c>
      <c t="s" r="C112">
        <v>461</v>
      </c>
      <c r="E112">
        <v>2.82</v>
      </c>
      <c r="F112">
        <f>G112-E112</f>
        <v>6.972168</v>
      </c>
      <c r="G112">
        <f>E112*H112</f>
        <v>9.792168</v>
      </c>
      <c s="19" r="H112">
        <v>3.4724</v>
      </c>
    </row>
    <row r="113">
      <c r="A113">
        <v>49</v>
      </c>
      <c r="B113">
        <v>43</v>
      </c>
      <c t="s" r="C113">
        <v>462</v>
      </c>
      <c r="E113">
        <v>19.35</v>
      </c>
      <c r="F113">
        <f>G113-E113</f>
        <v>1.34289</v>
      </c>
      <c r="G113">
        <f>E113*H113</f>
        <v>20.69289</v>
      </c>
      <c s="19" r="H113">
        <v>1.0694</v>
      </c>
    </row>
    <row r="114">
      <c r="A114">
        <v>49</v>
      </c>
      <c r="B114">
        <v>53</v>
      </c>
      <c t="s" r="C114">
        <v>463</v>
      </c>
      <c r="E114">
        <v>39.75</v>
      </c>
      <c r="F114">
        <f>G114-E114</f>
        <v>7.7592</v>
      </c>
      <c r="G114">
        <f>E114*H114</f>
        <v>47.5092</v>
      </c>
      <c s="19" r="H114">
        <v>1.1952</v>
      </c>
    </row>
    <row r="115">
      <c r="A115">
        <v>49</v>
      </c>
      <c r="B115">
        <v>15</v>
      </c>
      <c t="s" r="C115">
        <v>454</v>
      </c>
      <c r="E115">
        <v>7.65</v>
      </c>
      <c r="F115">
        <f>G115-E115</f>
        <v>1.35558</v>
      </c>
      <c r="G115">
        <f>E115*H115</f>
        <v>9.00558</v>
      </c>
      <c s="19" r="H115">
        <v>1.1772</v>
      </c>
    </row>
    <row r="116">
      <c r="A116">
        <v>49</v>
      </c>
      <c r="B116">
        <v>5</v>
      </c>
      <c t="s" r="C116">
        <v>455</v>
      </c>
      <c r="E116">
        <v>18</v>
      </c>
      <c r="F116">
        <f>G116-E116</f>
        <v>2.862</v>
      </c>
      <c r="G116">
        <f>E116*H116</f>
        <v>20.862</v>
      </c>
      <c s="19" r="H116">
        <v>1.159</v>
      </c>
    </row>
    <row r="117">
      <c r="A117">
        <v>49</v>
      </c>
      <c r="B117">
        <v>18</v>
      </c>
      <c t="s" r="C117">
        <v>450</v>
      </c>
      <c r="E117">
        <v>10.8</v>
      </c>
      <c r="F117">
        <f>G117-E117</f>
        <v>3.87072</v>
      </c>
      <c r="G117">
        <f>E117*H117</f>
        <v>14.67072</v>
      </c>
      <c s="19" r="H117">
        <v>1.3584</v>
      </c>
    </row>
    <row r="118">
      <c r="A118">
        <v>49</v>
      </c>
      <c r="B118">
        <v>30</v>
      </c>
      <c t="s" r="C118">
        <v>464</v>
      </c>
      <c r="E118">
        <v>9</v>
      </c>
      <c r="F118">
        <f>G118-E118</f>
        <v>3.6738</v>
      </c>
      <c r="G118">
        <f>E118*H118</f>
        <v>12.6738</v>
      </c>
      <c s="19" r="H118">
        <v>1.4082</v>
      </c>
    </row>
    <row r="119">
      <c r="A119">
        <v>49</v>
      </c>
      <c r="B119">
        <v>19</v>
      </c>
      <c t="s" r="C119">
        <v>465</v>
      </c>
      <c r="E119">
        <v>5.7</v>
      </c>
      <c r="F119">
        <f>G119-E119</f>
        <v>2.11983</v>
      </c>
      <c r="G119">
        <f>E119*H119</f>
        <v>7.81983</v>
      </c>
      <c s="19" r="H119">
        <v>1.3719</v>
      </c>
    </row>
    <row r="120">
      <c r="A120">
        <v>49</v>
      </c>
      <c r="B120">
        <v>0</v>
      </c>
      <c t="s" r="C120">
        <v>466</v>
      </c>
      <c r="E120">
        <v>0.64</v>
      </c>
      <c r="F120">
        <v>0</v>
      </c>
      <c r="G120">
        <v>0.64</v>
      </c>
      <c s="19" r="H120">
        <v>1</v>
      </c>
    </row>
    <row r="121">
      <c r="A121">
        <v>50</v>
      </c>
      <c r="B121">
        <v>0</v>
      </c>
      <c t="s" r="C121">
        <v>4</v>
      </c>
      <c r="E121">
        <v>144.57</v>
      </c>
      <c r="F121">
        <v>0</v>
      </c>
      <c r="G121">
        <v>144.57</v>
      </c>
      <c s="19" r="H121">
        <v>1</v>
      </c>
    </row>
    <row r="122">
      <c r="A122">
        <v>50</v>
      </c>
      <c r="B122">
        <v>0</v>
      </c>
      <c t="s" r="C122">
        <v>467</v>
      </c>
      <c r="E122">
        <v>42</v>
      </c>
      <c r="F122">
        <f>G122-E122</f>
        <v>2</v>
      </c>
      <c r="G122">
        <v>44</v>
      </c>
      <c s="19" r="H122">
        <f> 1 + ((G122-E122)/E122)</f>
        <v>1.04761904761905</v>
      </c>
    </row>
    <row r="123">
      <c r="A123">
        <v>50</v>
      </c>
      <c r="B123">
        <v>0</v>
      </c>
      <c t="s" r="C123">
        <v>453</v>
      </c>
      <c r="E123">
        <v>64.83</v>
      </c>
      <c r="F123">
        <f>G123-E123</f>
        <v>0</v>
      </c>
      <c r="G123">
        <v>64.83</v>
      </c>
      <c s="19" r="H123">
        <f> 1 + ((G123-E123)/E123)</f>
        <v>1</v>
      </c>
    </row>
    <row r="124">
      <c r="A124">
        <v>50</v>
      </c>
      <c r="B124">
        <v>0</v>
      </c>
      <c t="s" r="C124">
        <v>468</v>
      </c>
      <c r="E124">
        <v>18.5</v>
      </c>
      <c r="F124">
        <f>G124-E124</f>
        <v>0</v>
      </c>
      <c r="G124">
        <v>18.5</v>
      </c>
      <c s="19" r="H124">
        <f> 1 + ((G124-E124)/E124)</f>
        <v>1</v>
      </c>
    </row>
    <row r="125">
      <c r="A125">
        <v>51</v>
      </c>
      <c r="B125">
        <v>0</v>
      </c>
      <c t="s" r="C125">
        <v>4</v>
      </c>
      <c r="E125">
        <v>173.95</v>
      </c>
      <c r="F125">
        <f>G125-E125</f>
        <v>0</v>
      </c>
      <c r="G125">
        <v>173.95</v>
      </c>
      <c s="19" r="H125">
        <f> 1 + ((G125-E125)/E125)</f>
        <v>1</v>
      </c>
    </row>
    <row r="126">
      <c r="A126">
        <v>51</v>
      </c>
      <c r="B126">
        <v>0</v>
      </c>
      <c t="s" r="C126">
        <v>453</v>
      </c>
      <c r="E126">
        <v>26.67</v>
      </c>
      <c r="F126">
        <f>G126-E126</f>
        <v>0</v>
      </c>
      <c r="G126">
        <v>26.67</v>
      </c>
      <c s="19" r="H126">
        <f> 1 + ((G126-E126)/E126)</f>
        <v>1</v>
      </c>
    </row>
    <row r="127">
      <c r="A127">
        <v>52</v>
      </c>
      <c r="B127">
        <v>305</v>
      </c>
      <c t="s" r="C127">
        <v>456</v>
      </c>
      <c r="E127">
        <v>6.1</v>
      </c>
      <c r="F127">
        <f>G127-E127</f>
        <v>0.28609</v>
      </c>
      <c r="G127">
        <f>E127*H127</f>
        <v>6.38609</v>
      </c>
      <c s="19" r="H127">
        <v>1.0469</v>
      </c>
    </row>
    <row r="128">
      <c r="A128">
        <v>52</v>
      </c>
      <c r="B128">
        <v>848</v>
      </c>
      <c t="s" r="C128">
        <v>469</v>
      </c>
      <c r="E128">
        <v>33.92</v>
      </c>
      <c r="F128">
        <f>G128-E128</f>
        <v>1.1872</v>
      </c>
      <c r="G128">
        <f>E128*H128</f>
        <v>35.1072</v>
      </c>
      <c s="19" r="H128">
        <v>1.035</v>
      </c>
    </row>
    <row r="129">
      <c r="A129">
        <v>52</v>
      </c>
      <c r="B129">
        <v>70</v>
      </c>
      <c t="s" r="C129">
        <v>454</v>
      </c>
      <c r="E129">
        <v>35.7</v>
      </c>
      <c r="F129">
        <f>G129-E129</f>
        <v>6.3546</v>
      </c>
      <c r="G129">
        <f>E129*H129</f>
        <v>42.0546</v>
      </c>
      <c s="19" r="H129">
        <v>1.178</v>
      </c>
    </row>
    <row r="130">
      <c r="A130">
        <v>52</v>
      </c>
      <c r="B130">
        <v>161</v>
      </c>
      <c t="s" r="C130">
        <v>470</v>
      </c>
      <c r="E130">
        <v>72.45</v>
      </c>
      <c r="F130">
        <f>G130-E130</f>
        <v>5.00629499999999</v>
      </c>
      <c r="G130">
        <f>E130*H130</f>
        <v>77.456295</v>
      </c>
      <c s="19" r="H130">
        <v>1.0691</v>
      </c>
    </row>
    <row r="131">
      <c r="A131">
        <v>52</v>
      </c>
      <c r="B131">
        <v>230</v>
      </c>
      <c t="s" r="C131">
        <v>471</v>
      </c>
      <c r="E131">
        <v>59.8</v>
      </c>
      <c r="F131">
        <f>G131-E131</f>
        <v>6.85308</v>
      </c>
      <c r="G131">
        <f>E131*H131</f>
        <v>66.65308</v>
      </c>
      <c s="19" r="H131">
        <v>1.1146</v>
      </c>
    </row>
    <row r="132">
      <c r="A132">
        <v>52</v>
      </c>
      <c r="B132">
        <v>587</v>
      </c>
      <c t="s" r="C132">
        <v>472</v>
      </c>
      <c r="E132">
        <v>58.7</v>
      </c>
      <c r="F132">
        <f>G132-E132</f>
        <v>5.1069</v>
      </c>
      <c r="G132">
        <f>E132*H132</f>
        <v>63.8069</v>
      </c>
      <c s="19" r="H132">
        <v>1.087</v>
      </c>
    </row>
    <row r="133">
      <c r="A133">
        <v>52</v>
      </c>
      <c r="B133">
        <v>128</v>
      </c>
      <c t="s" r="C133">
        <v>473</v>
      </c>
      <c r="E133">
        <v>38.4</v>
      </c>
      <c r="F133">
        <f>G133-E133</f>
        <v>2.84544</v>
      </c>
      <c r="G133">
        <f>E133*H133</f>
        <v>41.24544</v>
      </c>
      <c s="19" r="H133">
        <v>1.0741</v>
      </c>
    </row>
    <row r="134">
      <c r="A134">
        <v>52</v>
      </c>
      <c r="B134">
        <v>0</v>
      </c>
      <c t="s" r="C134">
        <v>466</v>
      </c>
      <c r="E134">
        <v>0.23</v>
      </c>
      <c r="F134">
        <f>G134-E134</f>
        <v>0</v>
      </c>
      <c r="G134">
        <v>0.23</v>
      </c>
      <c s="19" r="H134">
        <f> 1 + ((G134-E134)/E134)</f>
        <v>1</v>
      </c>
    </row>
    <row r="135">
      <c r="A135">
        <v>52</v>
      </c>
      <c r="B135">
        <v>0</v>
      </c>
      <c t="s" r="C135">
        <v>4</v>
      </c>
      <c r="E135">
        <v>5</v>
      </c>
      <c r="F135">
        <f>G135-E135</f>
        <v>0</v>
      </c>
      <c r="G135">
        <v>5</v>
      </c>
      <c s="19" r="H135">
        <f> 1 + ((G135-E135)/E135)</f>
        <v>1</v>
      </c>
    </row>
    <row r="136">
      <c r="A136">
        <v>53</v>
      </c>
      <c t="s" r="C136">
        <v>4</v>
      </c>
      <c r="E136">
        <v>148.43</v>
      </c>
      <c r="F136">
        <f>G136-E136</f>
        <v>0</v>
      </c>
      <c r="G136">
        <v>148.43</v>
      </c>
      <c s="19" r="H136">
        <f> 1 + ((G136-E136)/E136)</f>
        <v>1</v>
      </c>
    </row>
    <row r="137">
      <c r="A137">
        <v>53</v>
      </c>
      <c t="s" r="C137">
        <v>453</v>
      </c>
      <c r="E137">
        <v>7.12</v>
      </c>
      <c r="F137">
        <f>G137-E137</f>
        <v>0</v>
      </c>
      <c r="G137">
        <v>7.12</v>
      </c>
      <c s="19" r="H137">
        <f> 1 + ((G137-E137)/E137)</f>
        <v>1</v>
      </c>
    </row>
    <row r="138">
      <c r="A138">
        <v>54</v>
      </c>
      <c t="s" r="C138">
        <v>4</v>
      </c>
      <c r="E138">
        <v>93.24</v>
      </c>
      <c r="F138">
        <f>G138-E138</f>
        <v>0</v>
      </c>
      <c r="G138">
        <v>93.24</v>
      </c>
      <c s="19" r="H138">
        <f> 1 + ((G138-E138)/E138)</f>
        <v>1</v>
      </c>
    </row>
    <row r="139">
      <c r="A139">
        <v>54</v>
      </c>
      <c t="s" r="C139">
        <v>453</v>
      </c>
      <c r="E139">
        <v>275.69</v>
      </c>
      <c r="F139">
        <f>G139-E139</f>
        <v>0</v>
      </c>
      <c r="G139">
        <v>275.69</v>
      </c>
      <c s="19" r="H139">
        <f> 1 + ((G139-E139)/E139)</f>
        <v>1</v>
      </c>
    </row>
    <row r="140">
      <c r="A140">
        <v>54</v>
      </c>
      <c r="B140">
        <v>82</v>
      </c>
      <c t="s" r="C140">
        <v>450</v>
      </c>
      <c r="E140">
        <v>49.2</v>
      </c>
      <c r="F140">
        <f>G140-E140</f>
        <v>17.72676</v>
      </c>
      <c r="G140">
        <f>E140*H140</f>
        <v>66.92676</v>
      </c>
      <c s="19" r="H140">
        <v>1.3603</v>
      </c>
    </row>
    <row r="141">
      <c r="A141">
        <v>54</v>
      </c>
      <c r="B141">
        <v>220</v>
      </c>
      <c t="s" r="C141">
        <v>460</v>
      </c>
      <c r="E141">
        <v>26.4</v>
      </c>
      <c r="F141">
        <f>G141-E141</f>
        <v>3.27888</v>
      </c>
      <c r="G141">
        <f>E141*H141</f>
        <v>29.67888</v>
      </c>
      <c s="19" r="H141">
        <v>1.1242</v>
      </c>
    </row>
    <row r="142">
      <c r="A142">
        <v>54</v>
      </c>
      <c r="B142">
        <v>2</v>
      </c>
      <c t="s" r="C142">
        <v>455</v>
      </c>
      <c r="E142">
        <v>7.2</v>
      </c>
      <c r="F142">
        <f>G142-E142</f>
        <v>1.14984</v>
      </c>
      <c r="G142">
        <f>E142*H142</f>
        <v>8.34984</v>
      </c>
      <c s="19" r="H142">
        <v>1.1597</v>
      </c>
    </row>
    <row r="143">
      <c r="A143">
        <v>54</v>
      </c>
      <c r="B143">
        <v>9</v>
      </c>
      <c t="s" r="C143">
        <v>452</v>
      </c>
      <c r="E143">
        <v>21.6</v>
      </c>
      <c r="F143">
        <f>G143-E143</f>
        <v>3.21192</v>
      </c>
      <c r="G143">
        <f>E143*H143</f>
        <v>24.81192</v>
      </c>
      <c s="19" r="H143">
        <v>1.1487</v>
      </c>
    </row>
    <row r="144">
      <c r="A144">
        <v>54</v>
      </c>
      <c r="B144">
        <v>32</v>
      </c>
      <c t="s" r="C144">
        <v>454</v>
      </c>
      <c r="E144">
        <v>16.32</v>
      </c>
      <c r="F144">
        <f>G144-E144</f>
        <v>3.032256</v>
      </c>
      <c r="G144">
        <f>E144*H144</f>
        <v>19.352256</v>
      </c>
      <c s="19" r="H144">
        <v>1.1858</v>
      </c>
    </row>
    <row r="145">
      <c r="A145">
        <v>54</v>
      </c>
      <c t="s" r="C145">
        <v>466</v>
      </c>
      <c r="E145">
        <v>4.68</v>
      </c>
      <c r="F145">
        <f>G145-E145</f>
        <v>0</v>
      </c>
      <c r="G145">
        <v>4.68</v>
      </c>
      <c s="19" r="H145">
        <f> 1 + ((G145-E145)/E145)</f>
        <v>1</v>
      </c>
    </row>
    <row r="146">
      <c r="A146">
        <v>58</v>
      </c>
      <c t="s" r="C146">
        <v>453</v>
      </c>
      <c r="E146">
        <f>45.94-24.05</f>
        <v>21.89</v>
      </c>
      <c r="F146">
        <v>0</v>
      </c>
      <c r="G146">
        <v>21.89</v>
      </c>
      <c s="19" r="H146">
        <f> 1 + ((G146-E146)/E146)</f>
        <v>1</v>
      </c>
    </row>
    <row r="147">
      <c r="A147">
        <v>58</v>
      </c>
      <c r="B147">
        <v>37</v>
      </c>
      <c t="s" r="C147">
        <v>88</v>
      </c>
      <c r="E147">
        <v>24.05</v>
      </c>
      <c r="F147">
        <f>G147-E147</f>
        <v>0</v>
      </c>
      <c r="G147">
        <v>24.05</v>
      </c>
      <c s="19" r="H147">
        <f> 1 + ((G147-E147)/E147)</f>
        <v>1</v>
      </c>
    </row>
    <row r="148">
      <c r="A148">
        <v>59</v>
      </c>
      <c t="s" r="C148">
        <v>4</v>
      </c>
      <c r="E148">
        <v>61.97</v>
      </c>
      <c r="F148">
        <f>G148-E148</f>
        <v>0</v>
      </c>
      <c r="G148">
        <v>61.97</v>
      </c>
      <c s="19" r="H148">
        <f> 1 + ((G148-E148)/E148)</f>
        <v>1</v>
      </c>
    </row>
    <row r="149">
      <c r="A149">
        <v>59</v>
      </c>
      <c t="s" r="C149">
        <v>453</v>
      </c>
      <c r="E149">
        <v>86.35</v>
      </c>
      <c r="F149">
        <f>G149-E149</f>
        <v>0</v>
      </c>
      <c r="G149">
        <v>86.35</v>
      </c>
      <c s="19" r="H149">
        <f> 1 + ((G149-E149)/E149)</f>
        <v>1</v>
      </c>
    </row>
    <row r="150">
      <c r="A150">
        <v>60</v>
      </c>
      <c t="s" r="C150">
        <v>4</v>
      </c>
      <c r="E150">
        <v>57.05</v>
      </c>
      <c r="F150">
        <f>G150-E150</f>
        <v>0</v>
      </c>
      <c r="G150">
        <v>57.05</v>
      </c>
      <c s="19" r="H150">
        <f> 1 + ((G150-E150)/E150)</f>
        <v>1</v>
      </c>
    </row>
    <row r="151">
      <c r="A151">
        <v>60</v>
      </c>
      <c t="s" r="C151">
        <v>453</v>
      </c>
      <c r="E151">
        <v>117.59</v>
      </c>
      <c r="F151">
        <f>G151-E151</f>
        <v>0</v>
      </c>
      <c r="G151">
        <v>117.59</v>
      </c>
      <c s="19" r="H151">
        <f> 1 + ((G151-E151)/E151)</f>
        <v>1</v>
      </c>
    </row>
    <row r="152">
      <c r="A152">
        <v>60</v>
      </c>
      <c r="B152">
        <v>3</v>
      </c>
      <c t="s" r="C152">
        <v>474</v>
      </c>
      <c r="E152">
        <v>3.6</v>
      </c>
      <c r="F152">
        <f>G152-E152</f>
        <v>0.57492</v>
      </c>
      <c r="G152">
        <f>E152*H152</f>
        <v>4.17492</v>
      </c>
      <c s="19" r="H152">
        <v>1.1597</v>
      </c>
    </row>
    <row r="153">
      <c r="A153">
        <v>60</v>
      </c>
      <c r="B153">
        <v>117</v>
      </c>
      <c t="s" r="C153">
        <v>431</v>
      </c>
      <c r="E153">
        <v>23.4</v>
      </c>
      <c r="F153">
        <f>G153-E153</f>
        <v>8.43102</v>
      </c>
      <c r="G153">
        <f>E153*H153</f>
        <v>31.83102</v>
      </c>
      <c s="19" r="H153">
        <v>1.3603</v>
      </c>
    </row>
    <row r="154">
      <c r="A154">
        <v>60</v>
      </c>
      <c r="B154">
        <v>497</v>
      </c>
      <c t="s" r="C154">
        <v>475</v>
      </c>
      <c r="E154">
        <v>19.88</v>
      </c>
      <c r="F154">
        <f>G154-E154</f>
        <v>2.469096</v>
      </c>
      <c r="G154">
        <f>E154*H154</f>
        <v>22.349096</v>
      </c>
      <c s="19" r="H154">
        <v>1.1242</v>
      </c>
    </row>
    <row r="155">
      <c r="A155">
        <v>60</v>
      </c>
      <c r="B155">
        <v>14</v>
      </c>
      <c t="s" r="C155">
        <v>432</v>
      </c>
      <c r="E155">
        <v>11.2</v>
      </c>
      <c r="F155">
        <f>G155-E155</f>
        <v>1.66544</v>
      </c>
      <c r="G155">
        <f>E155*H155</f>
        <v>12.86544</v>
      </c>
      <c s="19" r="H155">
        <v>1.1487</v>
      </c>
    </row>
    <row r="156">
      <c r="A156">
        <v>60</v>
      </c>
      <c r="B156">
        <v>82</v>
      </c>
      <c t="s" r="C156">
        <v>434</v>
      </c>
      <c r="E156">
        <v>13.94</v>
      </c>
      <c r="F156">
        <f>G156-E156</f>
        <v>2.590052</v>
      </c>
      <c r="G156">
        <f>E156*H156</f>
        <v>16.530052</v>
      </c>
      <c s="19" r="H156">
        <v>1.1858</v>
      </c>
    </row>
    <row r="157">
      <c r="A157">
        <v>61</v>
      </c>
      <c t="s" r="C157">
        <v>4</v>
      </c>
      <c r="E157">
        <v>103.96</v>
      </c>
      <c r="F157">
        <f>G157-E157</f>
        <v>0</v>
      </c>
      <c r="G157">
        <v>103.96</v>
      </c>
      <c s="19" r="H157">
        <f> 1 + ((G157-E157)/E157)</f>
        <v>1</v>
      </c>
    </row>
    <row r="158">
      <c r="A158">
        <v>61</v>
      </c>
      <c t="s" r="C158">
        <v>453</v>
      </c>
      <c r="E158">
        <v>175.4</v>
      </c>
      <c r="F158">
        <f>G158-E158</f>
        <v>0</v>
      </c>
      <c r="G158">
        <v>175.4</v>
      </c>
      <c s="19" r="H158">
        <f> 1 + ((G158-E158)/E158)</f>
        <v>1</v>
      </c>
    </row>
    <row r="159">
      <c r="A159">
        <v>63</v>
      </c>
      <c t="s" r="C159">
        <v>4</v>
      </c>
      <c r="E159">
        <f>311.87+88</f>
        <v>399.87</v>
      </c>
      <c r="F159">
        <f>G159-E159</f>
        <v>0</v>
      </c>
      <c r="G159">
        <f>311.87+88</f>
        <v>399.87</v>
      </c>
      <c s="19" r="H159">
        <f> 1 + ((G159-E159)/E159)</f>
        <v>1</v>
      </c>
    </row>
    <row r="160">
      <c r="A160">
        <v>63</v>
      </c>
      <c t="s" r="C160">
        <v>453</v>
      </c>
      <c r="E160">
        <f>385.5+13.03</f>
        <v>398.53</v>
      </c>
      <c r="F160">
        <f>G160-E160</f>
        <v>0</v>
      </c>
      <c r="G160">
        <f>385.5+13.03</f>
        <v>398.53</v>
      </c>
      <c s="19" r="H160">
        <f> 1 + ((G160-E160)/E160)</f>
        <v>1</v>
      </c>
    </row>
    <row r="161">
      <c r="A161">
        <v>63</v>
      </c>
      <c r="B161">
        <v>117</v>
      </c>
      <c t="s" r="C161">
        <v>469</v>
      </c>
      <c r="E161">
        <v>4.7</v>
      </c>
      <c r="F161">
        <f>G161-E161</f>
        <v>0.03478</v>
      </c>
      <c r="G161">
        <f>E161*H161</f>
        <v>4.73478</v>
      </c>
      <c s="19" r="H161">
        <v>1.0074</v>
      </c>
    </row>
    <row r="162">
      <c r="A162">
        <v>63</v>
      </c>
      <c r="B162">
        <v>4</v>
      </c>
      <c t="s" r="C162">
        <v>474</v>
      </c>
      <c r="E162">
        <v>4.8</v>
      </c>
      <c r="F162">
        <f>G162-E162</f>
        <v>0.70752</v>
      </c>
      <c r="G162">
        <f>E162*H162</f>
        <v>5.50752</v>
      </c>
      <c s="19" r="H162">
        <v>1.1474</v>
      </c>
    </row>
    <row r="163">
      <c r="A163">
        <v>63</v>
      </c>
      <c r="B163">
        <v>47</v>
      </c>
      <c t="s" r="C163">
        <v>476</v>
      </c>
      <c r="E163">
        <v>3.76</v>
      </c>
      <c r="F163">
        <f>G163-E163</f>
        <v>0.986624</v>
      </c>
      <c r="G163">
        <f>E163*H163</f>
        <v>4.746624</v>
      </c>
      <c s="19" r="H163">
        <v>1.2624</v>
      </c>
    </row>
    <row r="164">
      <c r="A164">
        <v>63</v>
      </c>
      <c r="B164">
        <v>8</v>
      </c>
      <c t="s" r="C164">
        <v>465</v>
      </c>
      <c r="E164">
        <v>2.4</v>
      </c>
      <c r="F164">
        <f>G164-E164</f>
        <v>0.84936</v>
      </c>
      <c r="G164">
        <f>E164*H164</f>
        <v>3.24936</v>
      </c>
      <c s="19" r="H164">
        <v>1.3539</v>
      </c>
    </row>
    <row r="165">
      <c r="A165">
        <v>63</v>
      </c>
      <c r="B165">
        <v>1</v>
      </c>
      <c t="s" r="C165">
        <v>477</v>
      </c>
      <c r="E165">
        <v>65.81</v>
      </c>
      <c r="F165">
        <f>G165-E165</f>
        <v>6.521771</v>
      </c>
      <c r="G165">
        <f>E165*H165</f>
        <v>72.331771</v>
      </c>
      <c s="19" r="H165">
        <v>1.0991</v>
      </c>
    </row>
    <row r="166">
      <c r="A166">
        <v>63</v>
      </c>
      <c r="B166">
        <v>1</v>
      </c>
      <c t="s" r="C166">
        <v>478</v>
      </c>
      <c r="E166">
        <v>18</v>
      </c>
      <c r="F166">
        <f>G166-E166</f>
        <v>162.31</v>
      </c>
      <c r="G166">
        <f>E166+162.31</f>
        <v>180.31</v>
      </c>
      <c s="19" r="H166">
        <f>G166/E166</f>
        <v>10.0172222222222</v>
      </c>
    </row>
    <row r="167">
      <c r="A167">
        <v>64</v>
      </c>
      <c t="s" r="C167">
        <v>4</v>
      </c>
      <c r="E167">
        <v>171.9</v>
      </c>
      <c r="F167">
        <f>G167-E167</f>
        <v>0</v>
      </c>
      <c r="G167">
        <v>171.9</v>
      </c>
      <c s="19" r="H167">
        <f> 1 + ((G167-E167)/E167)</f>
        <v>1</v>
      </c>
    </row>
    <row r="168">
      <c r="A168">
        <v>64</v>
      </c>
      <c t="s" r="C168">
        <v>453</v>
      </c>
      <c r="E168">
        <v>169.24</v>
      </c>
      <c r="F168">
        <f>G168-E168</f>
        <v>0</v>
      </c>
      <c r="G168">
        <v>169.24</v>
      </c>
      <c s="19" r="H168">
        <f> 1 + ((G168-E168)/E168)</f>
        <v>1</v>
      </c>
    </row>
    <row r="169">
      <c r="A169">
        <v>64</v>
      </c>
      <c r="B169">
        <v>1</v>
      </c>
      <c t="s" r="C169">
        <v>468</v>
      </c>
      <c r="E169">
        <v>18.5</v>
      </c>
      <c r="F169">
        <f>G169-E169</f>
        <v>0</v>
      </c>
      <c r="G169">
        <v>18.5</v>
      </c>
      <c s="19" r="H169">
        <f> 1 + ((G169-E169)/E169)</f>
        <v>1</v>
      </c>
    </row>
    <row r="170">
      <c r="A170">
        <v>64</v>
      </c>
      <c r="B170">
        <v>1</v>
      </c>
      <c t="s" r="C170">
        <v>479</v>
      </c>
      <c r="E170">
        <v>36.07</v>
      </c>
      <c r="F170">
        <f>G170-E170</f>
        <v>0</v>
      </c>
      <c r="G170">
        <v>36.07</v>
      </c>
      <c s="19" r="H170">
        <f> 1 + ((G170-E170)/E170)</f>
        <v>1</v>
      </c>
    </row>
    <row r="171">
      <c r="A171">
        <v>64</v>
      </c>
      <c r="B171">
        <v>3</v>
      </c>
      <c t="s" r="C171">
        <v>455</v>
      </c>
      <c r="E171">
        <v>10.8</v>
      </c>
      <c r="F171">
        <f>G171-E171</f>
        <v>1.59192</v>
      </c>
      <c r="G171">
        <f>E171*H171</f>
        <v>12.39192</v>
      </c>
      <c s="19" r="H171">
        <v>1.1474</v>
      </c>
    </row>
    <row r="172">
      <c r="A172">
        <v>64</v>
      </c>
      <c r="B172">
        <v>3</v>
      </c>
      <c t="s" r="C172">
        <v>480</v>
      </c>
      <c r="E172">
        <v>3</v>
      </c>
      <c r="F172">
        <f>G172-E172</f>
        <v>0.3006</v>
      </c>
      <c r="G172">
        <f>E172*H172</f>
        <v>3.3006</v>
      </c>
      <c s="19" r="H172">
        <v>1.1002</v>
      </c>
    </row>
    <row r="173">
      <c r="A173">
        <v>64</v>
      </c>
      <c r="B173">
        <v>50</v>
      </c>
      <c t="s" r="C173">
        <v>481</v>
      </c>
      <c r="E173">
        <v>1.5</v>
      </c>
      <c r="F173">
        <f>G173-E173</f>
        <v>0.1452</v>
      </c>
      <c r="G173">
        <f>E173*H173</f>
        <v>1.6452</v>
      </c>
      <c s="19" r="H173">
        <v>1.0968</v>
      </c>
    </row>
    <row r="174">
      <c r="A174">
        <v>64</v>
      </c>
      <c r="B174">
        <v>6</v>
      </c>
      <c t="s" r="C174">
        <v>470</v>
      </c>
      <c r="E174">
        <v>2.7</v>
      </c>
      <c r="F174">
        <f>G174-E174</f>
        <v>0.20628</v>
      </c>
      <c r="G174">
        <f>E174*H174</f>
        <v>2.90628</v>
      </c>
      <c s="19" r="H174">
        <v>1.0764</v>
      </c>
    </row>
    <row r="175">
      <c r="A175">
        <v>64</v>
      </c>
      <c r="B175">
        <v>5</v>
      </c>
      <c t="s" r="C175">
        <v>482</v>
      </c>
      <c r="E175">
        <v>2.7</v>
      </c>
      <c r="F175">
        <f>G175-E175</f>
        <v>1.30842</v>
      </c>
      <c r="G175">
        <f>E175*H175</f>
        <v>4.00842</v>
      </c>
      <c s="19" r="H175">
        <v>1.4846</v>
      </c>
    </row>
    <row r="176">
      <c r="A176">
        <v>64</v>
      </c>
      <c r="B176">
        <v>7</v>
      </c>
      <c t="s" r="C176">
        <v>464</v>
      </c>
      <c r="E176">
        <v>2.1</v>
      </c>
      <c r="F176">
        <f>G176-E176</f>
        <v>0.98868</v>
      </c>
      <c r="G176">
        <f>E176*H176</f>
        <v>3.08868</v>
      </c>
      <c s="19" r="H176">
        <v>1.4708</v>
      </c>
    </row>
    <row r="177">
      <c r="A177">
        <v>64</v>
      </c>
      <c r="B177">
        <v>31</v>
      </c>
      <c t="s" r="C177">
        <v>483</v>
      </c>
      <c r="E177">
        <v>7.44</v>
      </c>
      <c r="F177">
        <f>G177-E177</f>
        <v>1.958208</v>
      </c>
      <c r="G177">
        <f>E177*H177</f>
        <v>9.398208</v>
      </c>
      <c s="19" r="H177">
        <v>1.2632</v>
      </c>
    </row>
    <row r="178">
      <c r="A178">
        <v>64</v>
      </c>
      <c r="B178">
        <v>168</v>
      </c>
      <c t="s" r="C178">
        <v>469</v>
      </c>
      <c r="E178">
        <v>6.72</v>
      </c>
      <c s="26" r="F178">
        <f>G178-E178</f>
        <v>0.049728000000001</v>
      </c>
      <c r="G178">
        <f>E178*H178</f>
        <v>6.769728</v>
      </c>
      <c s="19" r="H178">
        <v>1.0074</v>
      </c>
    </row>
    <row r="179">
      <c r="A179">
        <v>64</v>
      </c>
      <c r="B179">
        <v>16</v>
      </c>
      <c t="s" r="C179">
        <v>484</v>
      </c>
      <c r="E179">
        <v>7.68</v>
      </c>
      <c r="F179">
        <f>G179-E179</f>
        <v>1.10208</v>
      </c>
      <c r="G179">
        <f>E179*H179</f>
        <v>8.78208</v>
      </c>
      <c s="19" r="H179">
        <v>1.1435</v>
      </c>
    </row>
    <row r="180">
      <c r="A180">
        <v>64</v>
      </c>
      <c r="B180">
        <v>24</v>
      </c>
      <c t="s" r="C180">
        <v>485</v>
      </c>
      <c r="E180">
        <v>4.8</v>
      </c>
      <c r="F180">
        <f>G180-E180</f>
        <v>0.3864</v>
      </c>
      <c r="G180">
        <f>E180*H180</f>
        <v>5.1864</v>
      </c>
      <c s="19" r="H180">
        <v>1.0805</v>
      </c>
    </row>
    <row r="181">
      <c r="A181">
        <v>64</v>
      </c>
      <c r="B181">
        <v>45</v>
      </c>
      <c t="s" r="C181">
        <v>486</v>
      </c>
      <c r="E181">
        <v>17.55</v>
      </c>
      <c r="F181">
        <f>G181-E181</f>
        <v>1.079325</v>
      </c>
      <c r="G181">
        <f>E181*H181</f>
        <v>18.629325</v>
      </c>
      <c s="19" r="H181">
        <v>1.0615</v>
      </c>
    </row>
    <row r="182">
      <c r="A182">
        <v>64</v>
      </c>
      <c r="B182">
        <v>65</v>
      </c>
      <c t="s" r="C182">
        <v>487</v>
      </c>
      <c r="E182">
        <v>3.9</v>
      </c>
      <c r="F182">
        <f>G182-E182</f>
        <v>0.577980000000001</v>
      </c>
      <c r="G182">
        <f>E182*H182</f>
        <v>4.47798</v>
      </c>
      <c s="19" r="H182">
        <v>1.1482</v>
      </c>
    </row>
    <row r="183">
      <c r="A183">
        <v>64</v>
      </c>
      <c r="B183">
        <v>474</v>
      </c>
      <c t="s" r="C183">
        <v>456</v>
      </c>
      <c r="E183">
        <v>9.48</v>
      </c>
      <c s="26" r="F183">
        <f>G183-E183</f>
        <v>0.616199999999999</v>
      </c>
      <c r="G183">
        <f>E183*H183</f>
        <v>10.0962</v>
      </c>
      <c s="19" r="H183">
        <v>1.065</v>
      </c>
    </row>
    <row r="184">
      <c r="A184">
        <v>64</v>
      </c>
      <c r="B184">
        <v>6</v>
      </c>
      <c t="s" r="C184">
        <v>465</v>
      </c>
      <c r="E184">
        <v>1.8</v>
      </c>
      <c r="F184">
        <f>G184-E184</f>
        <v>0.63702</v>
      </c>
      <c r="G184">
        <f>E184*H184</f>
        <v>2.43702</v>
      </c>
      <c s="19" r="H184">
        <v>1.3539</v>
      </c>
    </row>
    <row r="185">
      <c r="A185">
        <v>64</v>
      </c>
      <c t="s" r="C185">
        <v>466</v>
      </c>
      <c r="E185">
        <v>0.81</v>
      </c>
      <c r="F185">
        <f>G185-E185</f>
        <v>0</v>
      </c>
      <c r="G185">
        <f>E185*H185</f>
        <v>0.81</v>
      </c>
      <c s="19" r="H185">
        <v>1</v>
      </c>
    </row>
    <row r="186">
      <c r="A186">
        <v>72</v>
      </c>
      <c t="s" r="C186">
        <v>453</v>
      </c>
      <c r="E186">
        <f>144.59-45.50</f>
        <v>99.09</v>
      </c>
      <c r="F186">
        <f>G186-E186</f>
        <v>0</v>
      </c>
      <c r="G186">
        <v>99.09</v>
      </c>
      <c s="19" r="H186">
        <f> 1 + ((G186-E186)/E186)</f>
        <v>1</v>
      </c>
    </row>
    <row r="187">
      <c r="A187">
        <v>72</v>
      </c>
      <c t="s" r="C187">
        <v>68</v>
      </c>
      <c r="E187">
        <v>45.5</v>
      </c>
      <c r="F187">
        <f>G187-E187</f>
        <v>4.88</v>
      </c>
      <c r="G187">
        <f>51-0.62</f>
        <v>50.38</v>
      </c>
      <c s="19" r="H187">
        <f> 1 + ((G187-E187)/E187)</f>
        <v>1.10725274725275</v>
      </c>
    </row>
    <row r="188">
      <c r="A188">
        <v>73</v>
      </c>
      <c t="s" r="C188">
        <v>4</v>
      </c>
      <c r="E188">
        <v>83.8</v>
      </c>
      <c r="F188">
        <v>0</v>
      </c>
      <c r="G188">
        <v>83.8</v>
      </c>
      <c s="19" r="H188">
        <f> 1 + ((G188-E188)/E188)</f>
        <v>1</v>
      </c>
    </row>
    <row r="189">
      <c r="A189">
        <v>73</v>
      </c>
      <c t="s" r="C189">
        <v>453</v>
      </c>
      <c r="E189">
        <v>236.09</v>
      </c>
      <c r="F189">
        <v>0</v>
      </c>
      <c r="G189">
        <v>236.09</v>
      </c>
      <c s="19" r="H189">
        <f> 1 + ((G189-E189)/E189)</f>
        <v>1</v>
      </c>
    </row>
    <row r="190">
      <c r="A190">
        <v>73</v>
      </c>
      <c t="s" r="C190">
        <v>488</v>
      </c>
      <c r="E190">
        <v>24.76</v>
      </c>
      <c r="F190">
        <v>25.24</v>
      </c>
      <c r="G190">
        <f>70-0.59</f>
        <v>69.41</v>
      </c>
      <c s="19" r="H190">
        <f> 1 + ((G190-E190)/E190)</f>
        <v>2.80331179321486</v>
      </c>
    </row>
    <row r="191">
      <c r="A191">
        <v>73</v>
      </c>
      <c t="s" r="C191">
        <v>486</v>
      </c>
      <c r="E191">
        <v>10.79</v>
      </c>
      <c r="F191">
        <f>G191-E191</f>
        <v>1.21</v>
      </c>
      <c r="G191">
        <v>12</v>
      </c>
      <c s="19" r="H191">
        <f> 1 + ((G191-E191)/E191)</f>
        <v>1.11214087117702</v>
      </c>
    </row>
    <row r="192">
      <c r="A192">
        <v>74</v>
      </c>
      <c r="B192">
        <v>65</v>
      </c>
      <c t="s" r="C192">
        <v>486</v>
      </c>
      <c r="E192">
        <v>25.48</v>
      </c>
      <c r="F192">
        <f>G192-E192</f>
        <v>1.595048</v>
      </c>
      <c r="G192">
        <f>E192*H192</f>
        <v>27.075048</v>
      </c>
      <c s="19" r="H192">
        <v>1.0626</v>
      </c>
    </row>
    <row r="193">
      <c r="A193">
        <v>75</v>
      </c>
      <c t="s" r="C193">
        <v>4</v>
      </c>
      <c r="E193">
        <v>79.14</v>
      </c>
      <c r="F193">
        <f>G193-E193</f>
        <v>0</v>
      </c>
      <c r="G193">
        <v>79.14</v>
      </c>
      <c s="19" r="H193">
        <f> 1 + ((G193-E193)/E193)</f>
        <v>1</v>
      </c>
    </row>
    <row r="194">
      <c r="A194">
        <v>75</v>
      </c>
      <c t="s" r="C194">
        <v>453</v>
      </c>
      <c r="E194">
        <v>222.12</v>
      </c>
      <c r="F194">
        <f>G194-E194</f>
        <v>0</v>
      </c>
      <c r="G194">
        <v>222.12</v>
      </c>
      <c s="19" r="H194">
        <f> 1 + ((G194-E194)/E194)</f>
        <v>1</v>
      </c>
    </row>
    <row r="195">
      <c r="A195">
        <v>75</v>
      </c>
      <c r="B195">
        <v>22</v>
      </c>
      <c t="s" r="C195">
        <v>486</v>
      </c>
      <c r="E195">
        <v>8.84</v>
      </c>
      <c s="26" r="F195">
        <f>G195-E195</f>
        <v>0.553383999999999</v>
      </c>
      <c r="G195">
        <f>E195*H195</f>
        <v>9.393384</v>
      </c>
      <c s="19" r="H195">
        <v>1.0626</v>
      </c>
    </row>
    <row r="196">
      <c r="A196">
        <v>75</v>
      </c>
      <c t="s" r="C196">
        <v>489</v>
      </c>
      <c r="E196">
        <v>7</v>
      </c>
      <c s="26" r="F196">
        <f>G196-E196</f>
        <v>14.11</v>
      </c>
      <c r="G196">
        <f>22-0.89</f>
        <v>21.11</v>
      </c>
      <c s="19" r="H196">
        <f> 1 + ((G196-E196)/E196)</f>
        <v>3.01571428571429</v>
      </c>
    </row>
    <row r="197">
      <c r="A197">
        <v>84</v>
      </c>
      <c t="s" r="C197">
        <v>4</v>
      </c>
      <c r="E197">
        <v>69.34</v>
      </c>
      <c r="F197">
        <f>G197-E197</f>
        <v>0</v>
      </c>
      <c r="G197">
        <v>69.34</v>
      </c>
      <c s="19" r="H197">
        <f> 1 + ((G197-E197)/E197)</f>
        <v>1</v>
      </c>
    </row>
    <row r="198">
      <c r="A198">
        <v>84</v>
      </c>
      <c t="s" r="C198">
        <v>453</v>
      </c>
      <c r="E198">
        <v>137.37</v>
      </c>
      <c r="F198">
        <f>G198-E198</f>
        <v>0</v>
      </c>
      <c r="G198">
        <v>137.37</v>
      </c>
      <c s="19" r="H198">
        <f> 1 + ((G198-E198)/E198)</f>
        <v>1</v>
      </c>
    </row>
    <row r="199">
      <c r="A199">
        <v>84</v>
      </c>
      <c r="B199">
        <v>4</v>
      </c>
      <c t="s" r="C199">
        <v>474</v>
      </c>
      <c r="E199">
        <v>4.8</v>
      </c>
      <c s="26" r="F199">
        <f>G199-E199</f>
        <v>0.76656</v>
      </c>
      <c s="26" r="G199">
        <f>E199*H199</f>
        <v>5.56656</v>
      </c>
      <c s="19" r="H199">
        <v>1.1597</v>
      </c>
    </row>
    <row r="200">
      <c r="A200">
        <v>84</v>
      </c>
      <c r="B200">
        <v>108</v>
      </c>
      <c t="s" r="C200">
        <v>431</v>
      </c>
      <c r="E200">
        <v>21.6</v>
      </c>
      <c s="26" r="F200">
        <f>G200-E200</f>
        <v>7.78248</v>
      </c>
      <c s="26" r="G200">
        <f>E200*H200</f>
        <v>29.38248</v>
      </c>
      <c s="19" r="H200">
        <v>1.3603</v>
      </c>
    </row>
    <row r="201">
      <c r="A201">
        <v>84</v>
      </c>
      <c r="B201">
        <v>880</v>
      </c>
      <c t="s" r="C201">
        <v>475</v>
      </c>
      <c r="E201">
        <v>35.2</v>
      </c>
      <c s="26" r="F201">
        <f>G201-E201</f>
        <v>4.37184000000001</v>
      </c>
      <c s="26" r="G201">
        <f>E201*H201</f>
        <v>39.57184</v>
      </c>
      <c s="19" r="H201">
        <v>1.1242</v>
      </c>
    </row>
    <row r="202">
      <c r="A202">
        <v>84</v>
      </c>
      <c r="B202">
        <v>17</v>
      </c>
      <c t="s" r="C202">
        <v>432</v>
      </c>
      <c r="E202">
        <v>13.6</v>
      </c>
      <c s="26" r="F202">
        <f>G202-E202</f>
        <v>2.02232</v>
      </c>
      <c s="26" r="G202">
        <f>E202*H202</f>
        <v>15.62232</v>
      </c>
      <c s="19" r="H202">
        <v>1.1487</v>
      </c>
    </row>
    <row r="203">
      <c r="A203">
        <v>84</v>
      </c>
      <c r="B203">
        <v>117</v>
      </c>
      <c t="s" r="C203">
        <v>434</v>
      </c>
      <c r="E203">
        <v>19.89</v>
      </c>
      <c s="26" r="F203">
        <f>G203-E203</f>
        <v>3.695562</v>
      </c>
      <c s="26" r="G203">
        <f>E203*H203</f>
        <v>23.585562</v>
      </c>
      <c s="19" r="H203">
        <v>1.1858</v>
      </c>
    </row>
    <row r="204">
      <c r="A204">
        <v>85</v>
      </c>
      <c t="s" r="C204">
        <v>4</v>
      </c>
      <c r="E204">
        <v>165.37</v>
      </c>
      <c r="F204">
        <f>G204-E204</f>
        <v>0</v>
      </c>
      <c r="G204">
        <v>165.37</v>
      </c>
      <c s="19" r="H204">
        <f> 1 + ((G204-E204)/E204)</f>
        <v>1</v>
      </c>
    </row>
    <row r="205">
      <c r="A205">
        <v>85</v>
      </c>
      <c t="s" r="C205">
        <v>453</v>
      </c>
      <c r="E205">
        <v>230.52</v>
      </c>
      <c r="F205">
        <f>G205-E205</f>
        <v>0</v>
      </c>
      <c r="G205">
        <v>230.52</v>
      </c>
      <c s="19" r="H205">
        <f> 1 + ((G205-E205)/E205)</f>
        <v>1</v>
      </c>
    </row>
    <row r="206">
      <c r="A206">
        <v>85</v>
      </c>
      <c r="B206">
        <v>591</v>
      </c>
      <c t="s" r="C206">
        <v>456</v>
      </c>
      <c r="E206">
        <v>11.82</v>
      </c>
      <c s="26" r="F206">
        <f>G206-E206</f>
        <v>0.7683</v>
      </c>
      <c r="G206">
        <f>E206*H206</f>
        <v>12.5883</v>
      </c>
      <c s="19" r="H206">
        <v>1.065</v>
      </c>
    </row>
    <row r="207">
      <c r="A207">
        <v>85</v>
      </c>
      <c r="B207">
        <v>12</v>
      </c>
      <c t="s" r="C207">
        <v>465</v>
      </c>
      <c r="E207">
        <v>3.6</v>
      </c>
      <c s="26" r="F207">
        <f>G207-E207</f>
        <v>1.27404</v>
      </c>
      <c r="G207">
        <f>E207*H207</f>
        <v>4.87404</v>
      </c>
      <c s="19" r="H207">
        <v>1.3539</v>
      </c>
    </row>
    <row r="208">
      <c r="A208">
        <v>85</v>
      </c>
      <c r="B208">
        <v>18</v>
      </c>
      <c t="s" r="C208">
        <v>490</v>
      </c>
      <c r="E208">
        <v>2.34</v>
      </c>
      <c s="26" r="F208">
        <f>G208-E208</f>
        <v>0.146484</v>
      </c>
      <c r="G208">
        <f>E208*H208</f>
        <v>2.486484</v>
      </c>
      <c s="19" r="H208">
        <v>1.0626</v>
      </c>
    </row>
    <row r="209">
      <c r="A209">
        <v>85</v>
      </c>
      <c r="B209">
        <v>59</v>
      </c>
      <c t="s" r="C209">
        <v>433</v>
      </c>
      <c r="E209">
        <v>2.36</v>
      </c>
      <c s="26" r="F209">
        <f>G209-E209</f>
        <v>0.293112</v>
      </c>
      <c r="G209">
        <f>E209*H209</f>
        <v>2.653112</v>
      </c>
      <c s="19" r="H209">
        <v>1.1242</v>
      </c>
    </row>
    <row r="210">
      <c r="A210">
        <v>85</v>
      </c>
      <c r="B210">
        <v>29</v>
      </c>
      <c t="s" r="C210">
        <v>462</v>
      </c>
      <c r="E210">
        <v>4.35</v>
      </c>
      <c s="26" r="F210">
        <f>G210-E210</f>
        <v>0.33234</v>
      </c>
      <c r="G210">
        <f>E210*H210</f>
        <v>4.68234</v>
      </c>
      <c s="19" r="H210">
        <v>1.0764</v>
      </c>
    </row>
    <row r="211">
      <c r="A211">
        <v>85</v>
      </c>
      <c r="B211">
        <v>182</v>
      </c>
      <c t="s" r="C211">
        <v>491</v>
      </c>
      <c r="E211">
        <v>3.64</v>
      </c>
      <c s="26" r="F211">
        <f>G211-E211</f>
        <v>0.026936</v>
      </c>
      <c r="G211">
        <f>E211*H211</f>
        <v>3.666936</v>
      </c>
      <c s="19" r="H211">
        <v>1.0074</v>
      </c>
    </row>
    <row r="212">
      <c r="A212">
        <v>85</v>
      </c>
      <c r="B212">
        <v>10</v>
      </c>
      <c t="s" r="C212">
        <v>492</v>
      </c>
      <c r="E212">
        <v>2</v>
      </c>
      <c s="26" r="F212">
        <f>G212-E212</f>
        <v>0.34</v>
      </c>
      <c r="G212">
        <f>E212*H212</f>
        <v>2.34</v>
      </c>
      <c s="19" r="H212">
        <v>1.17</v>
      </c>
    </row>
    <row r="213">
      <c r="A213">
        <v>92</v>
      </c>
      <c t="s" r="C213">
        <v>4</v>
      </c>
      <c r="E213">
        <v>106.35</v>
      </c>
      <c r="F213">
        <f>G213-E213</f>
        <v>0</v>
      </c>
      <c r="G213">
        <v>106.35</v>
      </c>
      <c s="19" r="H213">
        <f> 1 + ((G213-E213)/E213)</f>
        <v>1</v>
      </c>
    </row>
    <row r="214">
      <c r="A214">
        <v>92</v>
      </c>
      <c t="s" r="C214">
        <v>453</v>
      </c>
      <c r="E214">
        <v>183.97</v>
      </c>
      <c r="F214">
        <f>G214-E214</f>
        <v>0</v>
      </c>
      <c r="G214">
        <v>183.97</v>
      </c>
      <c s="19" r="H214">
        <f> 1 + ((G214-E214)/E214)</f>
        <v>1</v>
      </c>
    </row>
    <row r="215">
      <c r="A215">
        <v>93</v>
      </c>
      <c t="s" r="C215">
        <v>4</v>
      </c>
      <c r="E215">
        <v>38.98</v>
      </c>
      <c r="F215">
        <f>G215-E215</f>
        <v>0</v>
      </c>
      <c r="G215">
        <v>38.98</v>
      </c>
      <c s="19" r="H215">
        <f> 1 + ((G215-E215)/E215)</f>
        <v>1</v>
      </c>
    </row>
    <row r="216">
      <c r="A216">
        <v>93</v>
      </c>
      <c t="s" r="C216">
        <v>453</v>
      </c>
      <c r="E216">
        <v>281.87</v>
      </c>
      <c r="F216">
        <f>G216-E216</f>
        <v>0</v>
      </c>
      <c r="G216">
        <v>281.87</v>
      </c>
      <c s="19" r="H216">
        <f> 1 + ((G216-E216)/E216)</f>
        <v>1</v>
      </c>
    </row>
    <row r="217">
      <c r="A217">
        <v>93</v>
      </c>
      <c t="s" r="C217">
        <v>493</v>
      </c>
      <c r="E217">
        <v>78</v>
      </c>
      <c r="F217">
        <f>G217-E217</f>
        <v>21.41</v>
      </c>
      <c r="G217">
        <v>99.41</v>
      </c>
      <c s="19" r="H217">
        <f> 1 + ((G217-E217)/E217)</f>
        <v>1.27448717948718</v>
      </c>
    </row>
    <row r="218">
      <c r="A218">
        <v>93</v>
      </c>
      <c r="B218">
        <v>3</v>
      </c>
      <c t="s" r="C218">
        <v>474</v>
      </c>
      <c r="E218">
        <v>3.6</v>
      </c>
      <c s="26" r="F218">
        <f>G218-E218</f>
        <v>0.57492</v>
      </c>
      <c s="26" r="G218">
        <f>E218*H218</f>
        <v>4.17492</v>
      </c>
      <c s="19" r="H218">
        <v>1.1597</v>
      </c>
    </row>
    <row r="219">
      <c r="A219">
        <v>93</v>
      </c>
      <c r="B219">
        <v>36</v>
      </c>
      <c t="s" r="C219">
        <v>431</v>
      </c>
      <c r="E219">
        <v>7.2</v>
      </c>
      <c s="26" r="F219">
        <f>G219-E219</f>
        <v>2.59416</v>
      </c>
      <c s="26" r="G219">
        <f>E219*H219</f>
        <v>9.79416</v>
      </c>
      <c s="19" r="H219">
        <v>1.3603</v>
      </c>
    </row>
    <row r="220">
      <c r="A220">
        <v>93</v>
      </c>
      <c r="B220">
        <v>144</v>
      </c>
      <c t="s" r="C220">
        <v>475</v>
      </c>
      <c r="E220">
        <v>5.76</v>
      </c>
      <c s="26" r="F220">
        <f>G220-E220</f>
        <v>0.715392</v>
      </c>
      <c s="26" r="G220">
        <f>E220*H220</f>
        <v>6.475392</v>
      </c>
      <c s="19" r="H220">
        <v>1.1242</v>
      </c>
    </row>
    <row r="221">
      <c r="A221">
        <v>93</v>
      </c>
      <c r="B221">
        <v>11</v>
      </c>
      <c t="s" r="C221">
        <v>432</v>
      </c>
      <c r="E221">
        <v>8.8</v>
      </c>
      <c s="26" r="F221">
        <f>G221-E221</f>
        <v>1.30856</v>
      </c>
      <c s="26" r="G221">
        <f>E221*H221</f>
        <v>10.10856</v>
      </c>
      <c s="19" r="H221">
        <v>1.1487</v>
      </c>
    </row>
    <row r="222">
      <c r="A222">
        <v>93</v>
      </c>
      <c r="B222">
        <v>5</v>
      </c>
      <c t="s" r="C222">
        <v>434</v>
      </c>
      <c r="E222">
        <v>0.85</v>
      </c>
      <c s="26" r="F222">
        <f>G222-E222</f>
        <v>0.15793</v>
      </c>
      <c s="26" r="G222">
        <f>E222*H222</f>
        <v>1.00793</v>
      </c>
      <c s="19" r="H222">
        <v>1.1858</v>
      </c>
    </row>
    <row r="223">
      <c r="A223">
        <v>101</v>
      </c>
      <c t="s" r="C223">
        <v>4</v>
      </c>
      <c r="E223">
        <v>36.17</v>
      </c>
      <c r="F223">
        <f>G223-E223</f>
        <v>0</v>
      </c>
      <c r="G223">
        <v>36.17</v>
      </c>
      <c s="19" r="H223">
        <f> 1 + ((G223-E223)/E223)</f>
        <v>1</v>
      </c>
    </row>
    <row r="224">
      <c r="A224">
        <v>101</v>
      </c>
      <c t="s" r="C224">
        <v>453</v>
      </c>
      <c r="E224">
        <v>103.23</v>
      </c>
      <c r="F224">
        <f>G224-E224</f>
        <v>0</v>
      </c>
      <c r="G224">
        <v>103.23</v>
      </c>
      <c s="19" r="H224">
        <f> 1 + ((G224-E224)/E224)</f>
        <v>1</v>
      </c>
    </row>
    <row r="225">
      <c r="A225">
        <v>101</v>
      </c>
      <c t="s" r="C225">
        <v>474</v>
      </c>
      <c r="E225">
        <v>1.2</v>
      </c>
      <c r="F225">
        <f>G225-E225</f>
        <v>0.19164</v>
      </c>
      <c r="G225">
        <f>E225*H225</f>
        <v>1.39164</v>
      </c>
      <c s="19" r="H225">
        <v>1.1597</v>
      </c>
    </row>
    <row r="226">
      <c r="A226">
        <v>101</v>
      </c>
      <c t="s" r="C226">
        <v>431</v>
      </c>
      <c r="E226">
        <v>2</v>
      </c>
      <c r="F226">
        <f>G226-E226</f>
        <v>0.7206</v>
      </c>
      <c r="G226">
        <f>E226*H226</f>
        <v>2.7206</v>
      </c>
      <c s="19" r="H226">
        <v>1.3603</v>
      </c>
    </row>
    <row r="227">
      <c r="A227">
        <v>101</v>
      </c>
      <c t="s" r="C227">
        <v>475</v>
      </c>
      <c r="E227">
        <v>10.92</v>
      </c>
      <c r="F227">
        <f>G227-E227</f>
        <v>1.356264</v>
      </c>
      <c r="G227">
        <f>E227*H227</f>
        <v>12.276264</v>
      </c>
      <c s="19" r="H227">
        <v>1.1242</v>
      </c>
    </row>
    <row r="228">
      <c r="A228">
        <v>101</v>
      </c>
      <c t="s" r="C228">
        <v>432</v>
      </c>
      <c r="E228">
        <v>2.4</v>
      </c>
      <c r="F228">
        <f>G228-E228</f>
        <v>0.35688</v>
      </c>
      <c r="G228">
        <f>E228*H228</f>
        <v>2.75688</v>
      </c>
      <c s="19" r="H228">
        <v>1.1487</v>
      </c>
    </row>
    <row r="229">
      <c r="A229">
        <v>101</v>
      </c>
      <c t="s" r="C229">
        <v>434</v>
      </c>
      <c r="E229">
        <v>5.78</v>
      </c>
      <c r="F229">
        <f>G229-E229</f>
        <v>1.073924</v>
      </c>
      <c r="G229">
        <f>E229*H229</f>
        <v>6.853924</v>
      </c>
      <c s="19" r="H229">
        <v>1.1858</v>
      </c>
    </row>
    <row r="230">
      <c r="A230">
        <v>110</v>
      </c>
      <c r="B230">
        <v>1</v>
      </c>
      <c t="s" r="C230">
        <v>494</v>
      </c>
      <c r="E230">
        <v>80.61</v>
      </c>
      <c r="F230">
        <f>G230-E230</f>
        <v>18.43</v>
      </c>
      <c r="G230">
        <v>99.04</v>
      </c>
      <c s="19" r="H230">
        <f> 1 + ((G230-E230)/E230)</f>
        <v>1.22863168341397</v>
      </c>
    </row>
    <row r="231">
      <c r="A231">
        <v>113</v>
      </c>
      <c r="B231">
        <v>1</v>
      </c>
      <c t="s" r="C231">
        <v>494</v>
      </c>
      <c r="E231">
        <v>106</v>
      </c>
      <c r="F231">
        <f>G231-E231</f>
        <v>25.06</v>
      </c>
      <c r="G231">
        <v>131.06</v>
      </c>
      <c s="19" r="H231">
        <f> 1 + ((G231-E231)/E231)</f>
        <v>1.23641509433962</v>
      </c>
    </row>
    <row r="232">
      <c r="A232">
        <v>113</v>
      </c>
      <c r="B232">
        <v>1</v>
      </c>
      <c t="s" r="C232">
        <v>495</v>
      </c>
      <c r="E232">
        <v>48.84</v>
      </c>
      <c r="F232">
        <f>G232-E232</f>
        <v>7.51</v>
      </c>
      <c r="G232">
        <v>56.35</v>
      </c>
      <c s="19" r="H232">
        <f> 1 + ((G232-E232)/E232)</f>
        <v>1.1537674037674</v>
      </c>
    </row>
    <row r="233">
      <c r="A233">
        <v>113</v>
      </c>
      <c r="B233">
        <v>1</v>
      </c>
      <c t="s" r="C233">
        <v>495</v>
      </c>
      <c r="E233">
        <v>55.72</v>
      </c>
      <c r="F233">
        <f>G233-E233</f>
        <v>8.63</v>
      </c>
      <c r="G233">
        <v>64.35</v>
      </c>
      <c s="19" r="H233">
        <f> 1 + ((G233-E233)/E233)</f>
        <v>1.15488155061019</v>
      </c>
    </row>
    <row r="234">
      <c r="A234">
        <v>114</v>
      </c>
      <c r="B234">
        <v>50</v>
      </c>
      <c t="s" r="C234">
        <v>431</v>
      </c>
      <c r="E234">
        <v>10</v>
      </c>
      <c s="26" r="F234">
        <f>G234-E234</f>
        <v>3.603</v>
      </c>
      <c s="26" r="G234">
        <f>E234*H234</f>
        <v>13.603</v>
      </c>
      <c s="19" r="H234">
        <v>1.3603</v>
      </c>
    </row>
    <row r="235">
      <c r="A235">
        <v>114</v>
      </c>
      <c r="B235">
        <v>747</v>
      </c>
      <c t="s" r="C235">
        <v>475</v>
      </c>
      <c r="E235">
        <v>29.88</v>
      </c>
      <c s="26" r="F235">
        <f>G235-E235</f>
        <v>3.711096</v>
      </c>
      <c s="26" r="G235">
        <f>E235*H235</f>
        <v>33.591096</v>
      </c>
      <c s="19" r="H235">
        <v>1.1242</v>
      </c>
    </row>
    <row r="236">
      <c r="A236">
        <v>114</v>
      </c>
      <c r="B236">
        <v>8</v>
      </c>
      <c t="s" r="C236">
        <v>432</v>
      </c>
      <c r="E236">
        <v>6.4</v>
      </c>
      <c s="26" r="F236">
        <f>G236-E236</f>
        <v>0.95168</v>
      </c>
      <c s="26" r="G236">
        <f>E236*H236</f>
        <v>7.35168</v>
      </c>
      <c s="19" r="H236">
        <v>1.1487</v>
      </c>
    </row>
    <row r="237">
      <c r="A237">
        <v>114</v>
      </c>
      <c r="B237">
        <v>50</v>
      </c>
      <c t="s" r="C237">
        <v>434</v>
      </c>
      <c r="E237">
        <v>8.5</v>
      </c>
      <c s="26" r="F237">
        <f>G237-E237</f>
        <v>1.5793</v>
      </c>
      <c s="26" r="G237">
        <f>E237*H237</f>
        <v>10.0793</v>
      </c>
      <c s="19" r="H237">
        <v>1.1858</v>
      </c>
    </row>
    <row r="238">
      <c r="A238">
        <v>114</v>
      </c>
      <c r="B238">
        <v>1</v>
      </c>
      <c t="s" r="C238">
        <v>496</v>
      </c>
      <c r="E238">
        <v>6</v>
      </c>
      <c s="26" r="F238">
        <f>G238-E238</f>
        <v>0.84</v>
      </c>
      <c s="26" r="G238">
        <f>E238*H238</f>
        <v>6.84</v>
      </c>
      <c s="19" r="H238">
        <v>1.14</v>
      </c>
    </row>
    <row r="239">
      <c r="A239">
        <v>114</v>
      </c>
      <c r="B239">
        <v>1</v>
      </c>
      <c t="s" r="C239">
        <v>497</v>
      </c>
      <c r="E239">
        <v>3</v>
      </c>
      <c s="26" r="F239">
        <f>G239-E239</f>
        <v>0.99</v>
      </c>
      <c s="26" r="G239">
        <f>E239*H239</f>
        <v>3.99</v>
      </c>
      <c s="19" r="H239">
        <v>1.33</v>
      </c>
    </row>
    <row r="240">
      <c r="A240">
        <v>125</v>
      </c>
      <c r="B240">
        <v>1</v>
      </c>
      <c t="s" r="C240">
        <v>498</v>
      </c>
      <c r="E240">
        <v>60</v>
      </c>
      <c s="26" r="F240">
        <f>G240-E240</f>
        <v>9</v>
      </c>
      <c s="26" r="G240">
        <f>E240*H240</f>
        <v>69</v>
      </c>
      <c s="19" r="H240">
        <v>1.15</v>
      </c>
    </row>
    <row r="241">
      <c r="A241">
        <v>125</v>
      </c>
      <c r="B241">
        <v>1</v>
      </c>
      <c t="s" r="C241">
        <v>499</v>
      </c>
      <c r="E241">
        <v>70.17</v>
      </c>
      <c s="26" r="F241">
        <f>G241-E241</f>
        <v>406.66</v>
      </c>
      <c s="26" r="G241">
        <v>476.83</v>
      </c>
      <c s="19" r="H241">
        <f> 1 + ((G241-E241)/E241)</f>
        <v>6.79535413994584</v>
      </c>
    </row>
    <row r="242">
      <c r="A242">
        <v>125</v>
      </c>
      <c r="B242">
        <v>4</v>
      </c>
      <c t="s" r="C242">
        <v>500</v>
      </c>
      <c r="E242">
        <v>2.16</v>
      </c>
      <c s="26" r="F242">
        <f>G242-E242</f>
        <v>6.840072</v>
      </c>
      <c s="26" r="G242">
        <f>E242*H242</f>
        <v>9.000072</v>
      </c>
      <c s="19" r="H242">
        <v>4.1667</v>
      </c>
    </row>
    <row r="243">
      <c r="A243">
        <v>130</v>
      </c>
      <c r="B243">
        <v>23</v>
      </c>
      <c t="s" r="C243">
        <v>431</v>
      </c>
      <c r="E243">
        <v>4.6</v>
      </c>
      <c s="26" r="F243">
        <f>G243-E243</f>
        <v>1.65738</v>
      </c>
      <c s="26" r="G243">
        <f>E243*H243</f>
        <v>6.25738</v>
      </c>
      <c s="19" r="H243">
        <v>1.3603</v>
      </c>
    </row>
    <row r="244">
      <c r="A244">
        <v>130</v>
      </c>
      <c r="B244">
        <v>56</v>
      </c>
      <c t="s" r="C244">
        <v>475</v>
      </c>
      <c r="E244">
        <v>2.24</v>
      </c>
      <c s="26" r="F244">
        <f>G244-E244</f>
        <v>0.278208</v>
      </c>
      <c s="26" r="G244">
        <f>E244*H244</f>
        <v>2.518208</v>
      </c>
      <c s="19" r="H244">
        <v>1.1242</v>
      </c>
    </row>
    <row r="245">
      <c r="A245">
        <v>130</v>
      </c>
      <c r="B245">
        <v>2</v>
      </c>
      <c t="s" r="C245">
        <v>432</v>
      </c>
      <c r="E245">
        <v>1.6</v>
      </c>
      <c s="26" r="F245">
        <f>G245-E245</f>
        <v>0.23792</v>
      </c>
      <c s="26" r="G245">
        <f>E245*H245</f>
        <v>1.83792</v>
      </c>
      <c s="19" r="H245">
        <v>1.1487</v>
      </c>
    </row>
    <row r="246">
      <c r="A246">
        <v>133</v>
      </c>
      <c r="B246">
        <v>119</v>
      </c>
      <c t="s" r="C246">
        <v>56</v>
      </c>
      <c r="E246">
        <v>35.7</v>
      </c>
      <c s="26" r="F246">
        <f>G246-E246</f>
        <v>2.69</v>
      </c>
      <c s="26" r="G246">
        <f>39-0.61</f>
        <v>38.39</v>
      </c>
      <c s="19" r="H246">
        <f> 1 + ((G246-E246)/E246)</f>
        <v>1.07535014005602</v>
      </c>
    </row>
    <row r="247">
      <c r="A247">
        <v>139</v>
      </c>
      <c r="B247">
        <v>120</v>
      </c>
      <c t="s" r="C247">
        <v>68</v>
      </c>
      <c r="E247">
        <v>60</v>
      </c>
      <c s="26" r="F247">
        <f>G247-E247</f>
        <v>6.26</v>
      </c>
      <c s="26" r="G247">
        <f>67-0.74</f>
        <v>66.26</v>
      </c>
      <c s="19" r="H247">
        <f> 1 + ((G247-E247)/E247)</f>
        <v>1.10433333333333</v>
      </c>
    </row>
    <row r="248">
      <c r="A248">
        <v>143</v>
      </c>
      <c r="B248">
        <v>136</v>
      </c>
      <c t="s" r="C248">
        <v>490</v>
      </c>
      <c r="E248">
        <v>17.68</v>
      </c>
      <c s="26" r="F248">
        <f>G248-E248</f>
        <v>1.348984</v>
      </c>
      <c s="26" r="G248">
        <f>E248*H248</f>
        <v>19.028984</v>
      </c>
      <c s="19" r="H248">
        <v>1.0763</v>
      </c>
    </row>
    <row r="249">
      <c r="A249">
        <v>144</v>
      </c>
      <c r="B249">
        <v>112</v>
      </c>
      <c t="s" r="C249">
        <v>490</v>
      </c>
      <c r="E249">
        <v>14.56</v>
      </c>
      <c s="26" r="F249">
        <f>G249-E249</f>
        <v>1.110928</v>
      </c>
      <c s="26" r="G249">
        <f>E249*H249</f>
        <v>15.670928</v>
      </c>
      <c s="19" r="H249">
        <v>1.0763</v>
      </c>
    </row>
    <row r="250">
      <c r="A250">
        <v>151</v>
      </c>
      <c r="B250">
        <v>1</v>
      </c>
      <c t="s" r="C250">
        <v>501</v>
      </c>
      <c r="E250">
        <v>26.92</v>
      </c>
      <c s="26" r="F250">
        <f>G250-E250</f>
        <v>2.53</v>
      </c>
      <c s="26" r="G250">
        <v>29.45</v>
      </c>
      <c s="19" r="H250">
        <f> 1 + ((G250-E250)/E250)</f>
        <v>1.09398216939079</v>
      </c>
    </row>
    <row r="251">
      <c r="A251">
        <v>152</v>
      </c>
      <c r="B251">
        <v>70</v>
      </c>
      <c t="s" r="C251">
        <v>68</v>
      </c>
      <c r="E251">
        <v>35</v>
      </c>
      <c s="26" r="F251">
        <f>G251-E251</f>
        <v>3</v>
      </c>
      <c s="26" r="G251">
        <v>38</v>
      </c>
      <c s="19" r="H251">
        <f> 1 + ((G251-E251)/E251)</f>
        <v>1.08571428571429</v>
      </c>
    </row>
    <row r="252">
      <c r="A252">
        <v>156</v>
      </c>
      <c r="B252">
        <v>514</v>
      </c>
      <c t="s" r="C252">
        <v>56</v>
      </c>
      <c r="E252">
        <v>154.2</v>
      </c>
      <c s="26" r="F252">
        <f>G252-E252</f>
        <v>11.92</v>
      </c>
      <c s="26" r="G252">
        <v>166.12</v>
      </c>
      <c s="19" r="H252">
        <f> 1 + ((G252-E252)/E252)</f>
        <v>1.07730220492866</v>
      </c>
    </row>
    <row r="253">
      <c r="A253">
        <v>158</v>
      </c>
      <c r="B253">
        <v>2</v>
      </c>
      <c t="s" r="C253">
        <v>502</v>
      </c>
      <c r="E253">
        <v>228</v>
      </c>
      <c s="26" r="F253">
        <f>G253-E253</f>
        <v>22.42</v>
      </c>
      <c s="26" r="G253">
        <f>(126-0.79)*2</f>
        <v>250.42</v>
      </c>
      <c s="19" r="H253">
        <f> 1 + ((G253-E253)/E253)</f>
        <v>1.09833333333333</v>
      </c>
    </row>
    <row r="254">
      <c r="A254">
        <v>161</v>
      </c>
      <c r="B254">
        <v>141</v>
      </c>
      <c t="s" r="C254">
        <v>92</v>
      </c>
      <c r="E254">
        <v>56.4</v>
      </c>
      <c s="26" r="F254">
        <f>G254-E254</f>
        <v>104.34</v>
      </c>
      <c s="26" r="G254">
        <f>E254*H254</f>
        <v>160.74</v>
      </c>
      <c s="19" r="H254">
        <v>2.85</v>
      </c>
    </row>
    <row r="255">
      <c r="A255">
        <v>163</v>
      </c>
      <c r="B255">
        <v>1</v>
      </c>
      <c t="s" r="C255">
        <v>499</v>
      </c>
      <c r="E255">
        <v>13.42</v>
      </c>
      <c s="26" r="F255">
        <f>G255-E255</f>
        <v>77.836</v>
      </c>
      <c s="26" r="G255">
        <f>E255*H255</f>
        <v>91.256</v>
      </c>
      <c s="19" r="H255">
        <v>6.8</v>
      </c>
    </row>
    <row r="256">
      <c r="A256">
        <v>164</v>
      </c>
      <c r="B256">
        <v>141</v>
      </c>
      <c t="s" r="C256">
        <v>486</v>
      </c>
      <c r="E256">
        <v>54.99</v>
      </c>
      <c s="26" r="F256">
        <f>G256-E256</f>
        <v>4.195737</v>
      </c>
      <c s="26" r="G256">
        <f>E256*H256</f>
        <v>59.185737</v>
      </c>
      <c s="19" r="H256">
        <v>1.0763</v>
      </c>
    </row>
    <row r="257">
      <c r="A257">
        <v>165</v>
      </c>
      <c r="B257">
        <v>451</v>
      </c>
      <c t="s" r="C257">
        <v>56</v>
      </c>
      <c r="E257">
        <v>135.3</v>
      </c>
      <c s="26" r="F257">
        <f>G257-E257</f>
        <v>10.87</v>
      </c>
      <c s="26" r="G257">
        <v>146.17</v>
      </c>
      <c s="19" r="H257">
        <v>1.09</v>
      </c>
    </row>
    <row r="258">
      <c r="A258">
        <v>166</v>
      </c>
      <c r="B258">
        <v>96</v>
      </c>
      <c t="s" r="C258">
        <v>68</v>
      </c>
      <c r="E258">
        <v>48</v>
      </c>
      <c s="26" r="F258">
        <f>G258-E258</f>
        <v>5.35679999999999</v>
      </c>
      <c s="26" r="G258">
        <f>E258*H258</f>
        <v>53.3568</v>
      </c>
      <c s="19" r="H258">
        <v>1.1116</v>
      </c>
    </row>
    <row r="259">
      <c r="A259">
        <v>172</v>
      </c>
      <c r="B259">
        <v>76</v>
      </c>
      <c t="s" r="C259">
        <v>92</v>
      </c>
      <c r="E259">
        <v>30.4</v>
      </c>
      <c s="26" r="F259">
        <f>G259-E259</f>
        <v>56.24</v>
      </c>
      <c s="26" r="G259">
        <f>E259*H259</f>
        <v>86.64</v>
      </c>
      <c s="19" r="H259">
        <v>2.85</v>
      </c>
    </row>
    <row r="260">
      <c r="A260">
        <v>172</v>
      </c>
      <c r="B260">
        <v>29111</v>
      </c>
      <c t="s" r="C260">
        <v>384</v>
      </c>
      <c r="E260">
        <v>291.11</v>
      </c>
      <c s="26" r="F260">
        <f>G260-E260</f>
        <v>20.3777</v>
      </c>
      <c s="26" r="G260">
        <f>E260*H260</f>
        <v>311.4877</v>
      </c>
      <c s="19" r="H260">
        <v>1.07</v>
      </c>
    </row>
    <row r="261">
      <c r="A261">
        <v>173</v>
      </c>
      <c r="B261">
        <f>2961+1656</f>
        <v>4617</v>
      </c>
      <c t="s" r="C261">
        <v>384</v>
      </c>
      <c r="E261">
        <v>46.17</v>
      </c>
      <c s="26" r="F261">
        <f>G261-E261</f>
        <v>3.2319</v>
      </c>
      <c s="26" r="G261">
        <f>E261*H261</f>
        <v>49.4019</v>
      </c>
      <c s="19" r="H261">
        <v>1.07</v>
      </c>
    </row>
    <row r="262">
      <c r="A262">
        <v>173</v>
      </c>
      <c r="B262">
        <v>16</v>
      </c>
      <c t="s" r="C262">
        <v>186</v>
      </c>
      <c r="E262">
        <v>12.8</v>
      </c>
      <c s="26" r="F262">
        <f>G262-E262</f>
        <v>19.2</v>
      </c>
      <c s="26" r="G262">
        <f>E262*H262</f>
        <v>32</v>
      </c>
      <c s="19" r="H262">
        <v>2.5</v>
      </c>
    </row>
    <row r="263">
      <c r="A263">
        <v>174</v>
      </c>
      <c r="B263">
        <v>56</v>
      </c>
      <c t="s" r="C263">
        <v>92</v>
      </c>
      <c r="E263">
        <v>22.4</v>
      </c>
      <c s="26" r="F263">
        <f>G263-E263</f>
        <v>41.44</v>
      </c>
      <c s="26" r="G263">
        <f>E263*H263</f>
        <v>63.84</v>
      </c>
      <c s="19" r="H263">
        <v>2.85</v>
      </c>
    </row>
    <row r="264">
      <c r="A264">
        <v>174</v>
      </c>
      <c r="B264">
        <v>11373</v>
      </c>
      <c t="s" r="C264">
        <v>384</v>
      </c>
      <c r="E264">
        <v>113.73</v>
      </c>
      <c s="26" r="F264">
        <f>G264-E264</f>
        <v>7.9611</v>
      </c>
      <c s="26" r="G264">
        <f>E264*H264</f>
        <v>121.6911</v>
      </c>
      <c s="19" r="H264">
        <v>1.07</v>
      </c>
    </row>
    <row r="265">
      <c r="A265">
        <v>174</v>
      </c>
      <c r="B265">
        <v>2988</v>
      </c>
      <c t="s" r="C265">
        <v>447</v>
      </c>
      <c r="E265">
        <v>29.88</v>
      </c>
      <c s="26" r="F265">
        <f>G265-E265</f>
        <v>2.0916</v>
      </c>
      <c s="26" r="G265">
        <f>E265*H265</f>
        <v>31.9716</v>
      </c>
      <c s="19" r="H265">
        <v>1.07</v>
      </c>
    </row>
    <row r="266">
      <c r="A266">
        <v>181</v>
      </c>
      <c r="B266">
        <v>204</v>
      </c>
      <c t="s" r="C266">
        <v>56</v>
      </c>
      <c r="E266">
        <v>61.2</v>
      </c>
      <c s="26" r="F266">
        <f>G266-E266</f>
        <v>4.11999999999999</v>
      </c>
      <c s="26" r="G266">
        <f>66-0.68</f>
        <v>65.32</v>
      </c>
      <c s="19" r="H266">
        <f> 1 + ((G266-E266)/E266)</f>
        <v>1.06732026143791</v>
      </c>
    </row>
    <row r="267">
      <c r="A267">
        <v>184</v>
      </c>
      <c r="B267">
        <v>503</v>
      </c>
      <c t="s" r="C267">
        <v>191</v>
      </c>
      <c r="E267">
        <v>5.03</v>
      </c>
      <c s="26" r="F267">
        <f>G267-E267</f>
        <v>5.23</v>
      </c>
      <c s="26" r="G267">
        <f>11-0.74</f>
        <v>10.26</v>
      </c>
      <c s="19" r="H267">
        <f> 1 + ((G267-E267)/E267)</f>
        <v>2.03976143141153</v>
      </c>
    </row>
    <row r="268">
      <c r="A268">
        <v>188</v>
      </c>
      <c r="B268">
        <v>2852</v>
      </c>
      <c t="s" r="C268">
        <v>447</v>
      </c>
      <c r="E268">
        <v>28.52</v>
      </c>
      <c s="26" r="F268">
        <f>G268-E268</f>
        <v>1.9964</v>
      </c>
      <c s="26" r="G268">
        <f>E268*H268</f>
        <v>30.5164</v>
      </c>
      <c s="19" r="H268">
        <v>1.07</v>
      </c>
    </row>
    <row r="269">
      <c r="A269">
        <v>188</v>
      </c>
      <c r="B269">
        <v>13717</v>
      </c>
      <c t="s" r="C269">
        <v>384</v>
      </c>
      <c r="E269">
        <v>137.17</v>
      </c>
      <c s="26" r="F269">
        <f>G269-E269</f>
        <v>9.6019</v>
      </c>
      <c s="26" r="G269">
        <f>E269*H269</f>
        <v>146.7719</v>
      </c>
      <c s="19" r="H269">
        <v>1.07</v>
      </c>
    </row>
    <row r="270">
      <c r="A270">
        <v>188</v>
      </c>
      <c r="B270">
        <v>53</v>
      </c>
      <c t="s" r="C270">
        <v>92</v>
      </c>
      <c r="E270">
        <v>21.2</v>
      </c>
      <c s="26" r="F270">
        <f>G270-E270</f>
        <v>39.22</v>
      </c>
      <c s="26" r="G270">
        <f>E270*H270</f>
        <v>60.42</v>
      </c>
      <c s="19" r="H270">
        <v>2.85</v>
      </c>
    </row>
    <row r="271">
      <c r="A271">
        <v>189</v>
      </c>
      <c r="B271">
        <v>8</v>
      </c>
      <c t="s" r="C271">
        <v>355</v>
      </c>
      <c r="E271">
        <v>4.8</v>
      </c>
      <c s="26" r="F271">
        <f>G271-E271</f>
        <v>1.824</v>
      </c>
      <c s="26" r="G271">
        <f>E271*H271</f>
        <v>6.624</v>
      </c>
      <c s="19" r="H271">
        <v>1.38</v>
      </c>
    </row>
    <row r="272">
      <c r="A272">
        <v>189</v>
      </c>
      <c r="B272">
        <v>1609</v>
      </c>
      <c t="s" r="C272">
        <v>384</v>
      </c>
      <c r="E272">
        <v>16.09</v>
      </c>
      <c s="26" r="F272">
        <f>G272-E272</f>
        <v>1.1263</v>
      </c>
      <c s="26" r="G272">
        <f>E272*H272</f>
        <v>17.2163</v>
      </c>
      <c s="19" r="H272">
        <v>1.07</v>
      </c>
    </row>
    <row r="273">
      <c r="A273">
        <v>190</v>
      </c>
      <c r="B273">
        <v>1</v>
      </c>
      <c t="s" r="C273">
        <v>503</v>
      </c>
      <c r="E273">
        <v>52.33</v>
      </c>
      <c s="26" r="F273">
        <f>G273-E273</f>
        <v>6.2796</v>
      </c>
      <c s="26" r="G273">
        <f>E273*H273</f>
        <v>58.6096</v>
      </c>
      <c s="19" r="H273">
        <v>1.12</v>
      </c>
    </row>
    <row r="274">
      <c r="A274">
        <v>190</v>
      </c>
      <c r="B274">
        <v>44</v>
      </c>
      <c t="s" r="C274">
        <v>450</v>
      </c>
      <c r="E274">
        <v>26.6</v>
      </c>
      <c s="26" r="F274">
        <f>G274-E274</f>
        <v>9.58398</v>
      </c>
      <c s="26" r="G274">
        <f>E274*H274</f>
        <v>36.18398</v>
      </c>
      <c s="19" r="H274">
        <v>1.3603</v>
      </c>
    </row>
    <row r="275">
      <c r="A275">
        <v>190</v>
      </c>
      <c r="B275">
        <v>228</v>
      </c>
      <c t="s" r="C275">
        <v>449</v>
      </c>
      <c r="E275">
        <v>27.4</v>
      </c>
      <c s="26" r="F275">
        <f>G275-E275</f>
        <v>3.40308</v>
      </c>
      <c s="26" r="G275">
        <f>E275*H275</f>
        <v>30.80308</v>
      </c>
      <c s="19" r="H275">
        <v>1.1242</v>
      </c>
    </row>
    <row r="276">
      <c r="A276">
        <v>190</v>
      </c>
      <c r="B276">
        <v>4</v>
      </c>
      <c t="s" r="C276">
        <v>452</v>
      </c>
      <c r="E276">
        <v>10.4</v>
      </c>
      <c s="26" r="F276">
        <f>G276-E276</f>
        <v>1.54648</v>
      </c>
      <c s="26" r="G276">
        <f>E276*H276</f>
        <v>11.94648</v>
      </c>
      <c s="19" r="H276">
        <v>1.1487</v>
      </c>
    </row>
    <row r="277">
      <c r="A277">
        <v>190</v>
      </c>
      <c r="B277">
        <v>16</v>
      </c>
      <c t="s" r="C277">
        <v>454</v>
      </c>
      <c r="E277">
        <v>8.16</v>
      </c>
      <c s="26" r="F277">
        <f>G277-E277</f>
        <v>1.7136</v>
      </c>
      <c s="26" r="G277">
        <f>E277*H277</f>
        <v>9.8736</v>
      </c>
      <c s="19" r="H277">
        <v>1.21</v>
      </c>
    </row>
    <row r="278">
      <c r="A278">
        <v>190</v>
      </c>
      <c r="B278">
        <v>1</v>
      </c>
      <c t="s" r="C278">
        <v>455</v>
      </c>
      <c r="E278">
        <v>6</v>
      </c>
      <c s="26" r="F278">
        <f>G278-E278</f>
        <v>0.892200000000001</v>
      </c>
      <c s="26" r="G278">
        <f>E278*H278</f>
        <v>6.8922</v>
      </c>
      <c s="19" r="H278">
        <v>1.1487</v>
      </c>
    </row>
    <row r="279">
      <c r="A279">
        <v>191</v>
      </c>
      <c r="B279">
        <v>1423</v>
      </c>
      <c t="s" r="C279">
        <v>384</v>
      </c>
      <c r="E279">
        <v>14.23</v>
      </c>
      <c s="26" r="F279">
        <f>G279-E279</f>
        <v>1.1384</v>
      </c>
      <c s="26" r="G279">
        <f>E279*H279</f>
        <v>15.3684</v>
      </c>
      <c s="19" r="H279">
        <v>1.08</v>
      </c>
    </row>
    <row r="280">
      <c r="A280">
        <v>191</v>
      </c>
      <c r="B280">
        <v>111</v>
      </c>
      <c t="s" r="C280">
        <v>103</v>
      </c>
      <c r="E280">
        <v>22.2</v>
      </c>
      <c s="26" r="F280">
        <f>G280-E280</f>
        <v>2.331</v>
      </c>
      <c s="26" r="G280">
        <f>E280*H280</f>
        <v>24.531</v>
      </c>
      <c s="19" r="H280">
        <v>1.105</v>
      </c>
    </row>
    <row r="281">
      <c r="A281">
        <v>193</v>
      </c>
      <c r="B281">
        <v>3</v>
      </c>
      <c t="s" r="C281">
        <v>504</v>
      </c>
      <c r="E281">
        <v>22.2</v>
      </c>
      <c s="26" r="F281">
        <f>G281-E281</f>
        <v>8.88</v>
      </c>
      <c s="26" r="G281">
        <f>E281*H281</f>
        <v>31.08</v>
      </c>
      <c s="19" r="H281">
        <v>1.4</v>
      </c>
    </row>
    <row r="282">
      <c r="A282">
        <v>196</v>
      </c>
      <c r="B282">
        <v>3261</v>
      </c>
      <c t="s" r="C282">
        <v>384</v>
      </c>
      <c r="E282">
        <v>32.61</v>
      </c>
      <c s="26" r="F282">
        <f>G282-E282</f>
        <v>2.6088</v>
      </c>
      <c s="26" r="G282">
        <f>E282*H282</f>
        <v>35.2188</v>
      </c>
      <c s="19" r="H282">
        <v>1.08</v>
      </c>
    </row>
    <row r="283">
      <c r="A283">
        <v>197</v>
      </c>
      <c r="B283">
        <v>372</v>
      </c>
      <c t="s" r="C283">
        <v>56</v>
      </c>
      <c r="E283">
        <v>111.6</v>
      </c>
      <c s="26" r="F283">
        <f>G283-E283</f>
        <v>6.97499999999999</v>
      </c>
      <c s="26" r="G283">
        <f>E283*H283</f>
        <v>118.575</v>
      </c>
      <c s="19" r="H283">
        <v>1.0625</v>
      </c>
    </row>
    <row r="284">
      <c r="A284">
        <v>198</v>
      </c>
      <c r="B284">
        <v>26</v>
      </c>
      <c t="s" r="C284">
        <v>432</v>
      </c>
      <c r="E284">
        <v>20.8</v>
      </c>
      <c s="26" r="F284">
        <f>G284-E284</f>
        <v>3.09296</v>
      </c>
      <c s="26" r="G284">
        <f>E284*H284</f>
        <v>23.89296</v>
      </c>
      <c s="19" r="H284">
        <v>1.1487</v>
      </c>
    </row>
    <row r="285">
      <c r="A285">
        <v>198</v>
      </c>
      <c r="B285">
        <v>124</v>
      </c>
      <c t="s" r="C285">
        <v>434</v>
      </c>
      <c r="E285">
        <v>21.08</v>
      </c>
      <c s="26" r="F285">
        <f>G285-E285</f>
        <v>4.4268</v>
      </c>
      <c s="26" r="G285">
        <f>E285*H285</f>
        <v>25.5068</v>
      </c>
      <c s="19" r="H285">
        <v>1.21</v>
      </c>
    </row>
    <row r="286">
      <c r="A286">
        <v>198</v>
      </c>
      <c r="B286">
        <v>11</v>
      </c>
      <c t="s" r="C286">
        <v>474</v>
      </c>
      <c r="E286">
        <v>13.2</v>
      </c>
      <c s="26" r="F286">
        <f>G286-E286</f>
        <v>1.96284</v>
      </c>
      <c s="26" r="G286">
        <f>E286*H286</f>
        <v>15.16284</v>
      </c>
      <c s="19" r="H286">
        <v>1.1487</v>
      </c>
    </row>
    <row r="287">
      <c r="A287">
        <v>198</v>
      </c>
      <c r="B287">
        <v>109</v>
      </c>
      <c t="s" r="C287">
        <v>431</v>
      </c>
      <c r="E287">
        <v>21.8</v>
      </c>
      <c s="26" r="F287">
        <f>G287-E287</f>
        <v>6.54</v>
      </c>
      <c s="26" r="G287">
        <f>E287*H287</f>
        <v>28.34</v>
      </c>
      <c s="19" r="H287">
        <v>1.3</v>
      </c>
    </row>
    <row r="288">
      <c r="A288">
        <v>198</v>
      </c>
      <c r="B288">
        <v>617</v>
      </c>
      <c t="s" r="C288">
        <v>433</v>
      </c>
      <c r="E288">
        <v>24.68</v>
      </c>
      <c s="26" r="F288">
        <f>G288-E288</f>
        <v>3.065256</v>
      </c>
      <c s="26" r="G288">
        <f>E288*H288</f>
        <v>27.745256</v>
      </c>
      <c s="19" r="H288">
        <v>1.1242</v>
      </c>
    </row>
    <row r="289">
      <c r="A289">
        <v>198</v>
      </c>
      <c r="B289">
        <v>1</v>
      </c>
      <c t="s" r="C289">
        <v>462</v>
      </c>
      <c r="E289">
        <v>0.15</v>
      </c>
      <c r="F289">
        <f>G289-E289</f>
        <v>0.01041</v>
      </c>
      <c r="G289">
        <f>E289*H289</f>
        <v>0.16041</v>
      </c>
      <c s="19" r="H289">
        <v>1.0694</v>
      </c>
    </row>
    <row r="290">
      <c r="A290">
        <v>199</v>
      </c>
      <c r="B290">
        <v>3048</v>
      </c>
      <c t="s" r="C290">
        <v>384</v>
      </c>
      <c r="E290">
        <v>30.48</v>
      </c>
      <c s="26" r="F290">
        <f>G290-E290</f>
        <v>2.4384</v>
      </c>
      <c s="26" r="G290">
        <f>E290*H290</f>
        <v>32.9184</v>
      </c>
      <c s="19" r="H290">
        <v>1.08</v>
      </c>
    </row>
    <row r="291">
      <c r="A291">
        <v>200</v>
      </c>
      <c r="B291">
        <v>463</v>
      </c>
      <c t="s" r="C291">
        <v>384</v>
      </c>
      <c r="E291">
        <v>4.63</v>
      </c>
      <c s="26" r="F291">
        <f>G291-E291</f>
        <v>0.3704</v>
      </c>
      <c s="26" r="G291">
        <f>E291*H291</f>
        <v>5.0004</v>
      </c>
      <c s="19" r="H291">
        <v>1.08</v>
      </c>
    </row>
    <row r="292">
      <c r="A292">
        <v>201</v>
      </c>
      <c r="B292">
        <v>1662</v>
      </c>
      <c t="s" r="C292">
        <v>384</v>
      </c>
      <c r="E292">
        <v>16.62</v>
      </c>
      <c s="26" r="F292">
        <f>G292-E292</f>
        <v>1.3296</v>
      </c>
      <c s="26" r="G292">
        <f>E292*H292</f>
        <v>17.9496</v>
      </c>
      <c s="19" r="H292">
        <v>1.08</v>
      </c>
    </row>
    <row r="293">
      <c r="A293">
        <v>202</v>
      </c>
      <c r="B293">
        <v>116</v>
      </c>
      <c t="s" r="C293">
        <v>68</v>
      </c>
      <c r="E293">
        <v>58</v>
      </c>
      <c s="26" r="F293">
        <f>G293-E293</f>
        <v>5.945</v>
      </c>
      <c s="26" r="G293">
        <f>E293*H293</f>
        <v>63.945</v>
      </c>
      <c s="19" r="H293">
        <v>1.1025</v>
      </c>
    </row>
    <row r="294">
      <c r="A294">
        <v>203</v>
      </c>
      <c r="B294">
        <v>1731</v>
      </c>
      <c t="s" r="C294">
        <v>384</v>
      </c>
      <c r="E294">
        <v>17.31</v>
      </c>
      <c s="26" r="F294">
        <f>G294-E294</f>
        <v>1.3848</v>
      </c>
      <c s="26" r="G294">
        <f>E294*H294</f>
        <v>18.6948</v>
      </c>
      <c s="19" r="H294">
        <v>1.08</v>
      </c>
    </row>
    <row r="295">
      <c r="A295">
        <v>204</v>
      </c>
      <c r="B295">
        <v>136</v>
      </c>
      <c t="s" r="C295">
        <v>490</v>
      </c>
      <c r="E295">
        <v>17.68</v>
      </c>
      <c s="26" r="F295">
        <f>G295-E295</f>
        <v>1.4144</v>
      </c>
      <c s="26" r="G295">
        <f>E295*H295</f>
        <v>19.0944</v>
      </c>
      <c s="19" r="H295">
        <v>1.08</v>
      </c>
    </row>
    <row r="296">
      <c r="A296">
        <v>205</v>
      </c>
      <c r="B296">
        <v>156</v>
      </c>
      <c t="s" r="C296">
        <v>88</v>
      </c>
      <c r="E296">
        <v>101.4</v>
      </c>
      <c s="26" r="F296">
        <f>G296-E296</f>
        <v>5.577</v>
      </c>
      <c s="26" r="G296">
        <f>E296*H296</f>
        <v>106.977</v>
      </c>
      <c s="19" r="H296">
        <v>1.055</v>
      </c>
    </row>
    <row r="297">
      <c r="A297">
        <v>205</v>
      </c>
      <c r="B297">
        <v>1429</v>
      </c>
      <c t="s" r="C297">
        <v>384</v>
      </c>
      <c r="E297">
        <v>14.29</v>
      </c>
      <c s="26" r="F297">
        <f>G297-E297</f>
        <v>1.1432</v>
      </c>
      <c s="26" r="G297">
        <f>E297*H297</f>
        <v>15.4332</v>
      </c>
      <c s="19" r="H297">
        <v>1.08</v>
      </c>
    </row>
    <row r="298">
      <c r="A298">
        <v>206</v>
      </c>
      <c r="B298">
        <v>1560</v>
      </c>
      <c t="s" r="C298">
        <v>384</v>
      </c>
      <c r="E298">
        <v>15.6</v>
      </c>
      <c s="26" r="F298">
        <f>G298-E298</f>
        <v>1.248</v>
      </c>
      <c s="26" r="G298">
        <f>E298*H298</f>
        <v>16.848</v>
      </c>
      <c s="19" r="H298">
        <v>1.08</v>
      </c>
    </row>
    <row r="299">
      <c r="A299">
        <v>207</v>
      </c>
      <c r="B299">
        <v>589</v>
      </c>
      <c t="s" r="C299">
        <v>384</v>
      </c>
      <c r="E299">
        <v>5.89</v>
      </c>
      <c s="26" r="F299">
        <f>G299-E299</f>
        <v>0.4712</v>
      </c>
      <c s="26" r="G299">
        <f>E299*H299</f>
        <v>6.3612</v>
      </c>
      <c s="19" r="H299">
        <v>1.08</v>
      </c>
    </row>
    <row r="300">
      <c r="A300">
        <v>208</v>
      </c>
      <c r="B300">
        <v>7440</v>
      </c>
      <c t="s" r="C300">
        <v>384</v>
      </c>
      <c r="E300">
        <v>74.4</v>
      </c>
      <c s="26" r="F300">
        <f>G300-E300</f>
        <v>5.95200000000001</v>
      </c>
      <c s="26" r="G300">
        <f>E300*H300</f>
        <v>80.352</v>
      </c>
      <c s="19" r="H300">
        <v>1.08</v>
      </c>
    </row>
    <row r="301">
      <c r="A301">
        <v>208</v>
      </c>
      <c r="B301">
        <v>8512</v>
      </c>
      <c t="s" r="C301">
        <v>98</v>
      </c>
      <c r="E301">
        <v>170.24</v>
      </c>
      <c s="26" r="F301">
        <f>G301-E301</f>
        <v>0</v>
      </c>
      <c s="26" r="G301">
        <f>E301*H301</f>
        <v>170.24</v>
      </c>
      <c s="19" r="H301">
        <v>1</v>
      </c>
    </row>
    <row r="302">
      <c r="A302">
        <v>209</v>
      </c>
      <c r="B302">
        <v>1041</v>
      </c>
      <c t="s" r="C302">
        <v>384</v>
      </c>
      <c r="E302">
        <v>10.41</v>
      </c>
      <c s="26" r="F302">
        <f>G302-E302</f>
        <v>0.832800000000001</v>
      </c>
      <c s="26" r="G302">
        <f>E302*H302</f>
        <v>11.2428</v>
      </c>
      <c s="19" r="H302">
        <v>1.08</v>
      </c>
    </row>
    <row r="303">
      <c r="A303">
        <v>210</v>
      </c>
      <c r="B303">
        <v>13075</v>
      </c>
      <c t="s" r="C303">
        <v>98</v>
      </c>
      <c r="E303">
        <v>261.5</v>
      </c>
      <c s="26" r="F303">
        <f>G303-E303</f>
        <v>0</v>
      </c>
      <c s="26" r="G303">
        <f>E303*H303</f>
        <v>261.5</v>
      </c>
      <c s="19" r="H303">
        <v>1</v>
      </c>
    </row>
    <row r="304">
      <c r="A304">
        <v>210</v>
      </c>
      <c r="B304">
        <v>11472</v>
      </c>
      <c t="s" r="C304">
        <v>384</v>
      </c>
      <c r="E304">
        <v>114.72</v>
      </c>
      <c s="26" r="F304">
        <f>G304-E304</f>
        <v>9.17760000000001</v>
      </c>
      <c s="26" r="G304">
        <f>E304*H304</f>
        <v>123.8976</v>
      </c>
      <c s="19" r="H304">
        <v>1.08</v>
      </c>
    </row>
    <row r="305">
      <c r="A305">
        <v>213</v>
      </c>
      <c r="B305">
        <v>27</v>
      </c>
      <c t="s" r="C305">
        <v>150</v>
      </c>
      <c r="E305">
        <v>10.8</v>
      </c>
      <c s="26" r="F305">
        <f>G305-E305</f>
        <v>14.58</v>
      </c>
      <c s="26" r="G305">
        <f>E305*H305</f>
        <v>25.38</v>
      </c>
      <c s="19" r="H305">
        <v>2.35</v>
      </c>
    </row>
    <row r="306">
      <c r="A306">
        <v>213</v>
      </c>
      <c r="B306">
        <v>3456</v>
      </c>
      <c t="s" r="C306">
        <v>447</v>
      </c>
      <c r="E306">
        <v>34.56</v>
      </c>
      <c s="26" r="F306">
        <f>G306-E306</f>
        <v>2.7648</v>
      </c>
      <c s="26" r="G306">
        <f>E306*H306</f>
        <v>37.3248</v>
      </c>
      <c s="19" r="H306">
        <v>1.08</v>
      </c>
    </row>
    <row r="307">
      <c r="A307">
        <v>213</v>
      </c>
      <c r="B307">
        <v>4668</v>
      </c>
      <c t="s" r="C307">
        <v>384</v>
      </c>
      <c r="E307">
        <v>46.68</v>
      </c>
      <c s="26" r="F307">
        <f>G307-E307</f>
        <v>3.7344</v>
      </c>
      <c s="26" r="G307">
        <f>E307*H307</f>
        <v>50.4144</v>
      </c>
      <c s="19" r="H307">
        <v>1.08</v>
      </c>
    </row>
    <row r="308">
      <c r="A308">
        <v>214</v>
      </c>
      <c r="B308">
        <v>27</v>
      </c>
      <c t="s" r="C308">
        <v>92</v>
      </c>
      <c r="E308">
        <v>10.8</v>
      </c>
      <c s="26" r="F308">
        <f>G308-E308</f>
        <v>16.2</v>
      </c>
      <c s="26" r="G308">
        <f>E308*H308</f>
        <v>27</v>
      </c>
      <c s="19" r="H308">
        <v>2.5</v>
      </c>
    </row>
    <row r="309">
      <c r="A309">
        <v>214</v>
      </c>
      <c r="B309">
        <v>731</v>
      </c>
      <c t="s" r="C309">
        <v>447</v>
      </c>
      <c r="E309">
        <v>7.31</v>
      </c>
      <c s="26" r="F309">
        <f>G309-E309</f>
        <v>0.5848</v>
      </c>
      <c s="26" r="G309">
        <f>E309*H309</f>
        <v>7.8948</v>
      </c>
      <c s="19" r="H309">
        <v>1.08</v>
      </c>
    </row>
    <row r="310">
      <c r="A310">
        <v>214</v>
      </c>
      <c r="B310">
        <v>5653</v>
      </c>
      <c t="s" r="C310">
        <v>384</v>
      </c>
      <c r="E310">
        <v>56.53</v>
      </c>
      <c s="26" r="F310">
        <f>G310-E310</f>
        <v>4.5224</v>
      </c>
      <c s="26" r="G310">
        <f>E310*H310</f>
        <v>61.0524</v>
      </c>
      <c s="19" r="H310">
        <v>1.08</v>
      </c>
    </row>
    <row r="311">
      <c r="A311">
        <v>215</v>
      </c>
      <c r="B311">
        <v>36</v>
      </c>
      <c t="s" r="C311">
        <v>204</v>
      </c>
      <c r="E311">
        <v>14.4</v>
      </c>
      <c s="26" r="F311">
        <f>G311-E311</f>
        <v>36</v>
      </c>
      <c s="26" r="G311">
        <f>E311*H311</f>
        <v>50.4</v>
      </c>
      <c s="19" r="H311">
        <v>3.5</v>
      </c>
    </row>
    <row r="312">
      <c r="A312">
        <v>215</v>
      </c>
      <c r="B312">
        <v>2351</v>
      </c>
      <c t="s" r="C312">
        <v>447</v>
      </c>
      <c r="E312">
        <v>23.51</v>
      </c>
      <c s="26" r="F312">
        <f>G312-E312</f>
        <v>1.8808</v>
      </c>
      <c s="26" r="G312">
        <f>E312*H312</f>
        <v>25.3908</v>
      </c>
      <c s="19" r="H312">
        <v>1.08</v>
      </c>
    </row>
    <row r="313">
      <c r="A313">
        <v>215</v>
      </c>
      <c r="B313">
        <v>7177</v>
      </c>
      <c t="s" r="C313">
        <v>384</v>
      </c>
      <c r="E313">
        <v>71.77</v>
      </c>
      <c s="26" r="F313">
        <f>G313-E313</f>
        <v>5.7416</v>
      </c>
      <c s="26" r="G313">
        <f>E313*H313</f>
        <v>77.5116</v>
      </c>
      <c s="19" r="H313">
        <v>1.08</v>
      </c>
    </row>
    <row r="314">
      <c r="A314">
        <v>217</v>
      </c>
      <c r="B314">
        <v>18</v>
      </c>
      <c t="s" r="C314">
        <v>432</v>
      </c>
      <c r="E314">
        <v>14.4</v>
      </c>
      <c s="26" r="F314">
        <f>G314-E314</f>
        <v>2.14128</v>
      </c>
      <c s="26" r="G314">
        <f>E314*H314</f>
        <v>16.54128</v>
      </c>
      <c s="19" r="H314">
        <v>1.1487</v>
      </c>
    </row>
    <row r="315">
      <c r="A315">
        <v>217</v>
      </c>
      <c r="B315">
        <v>75</v>
      </c>
      <c t="s" r="C315">
        <v>434</v>
      </c>
      <c r="E315">
        <v>12.75</v>
      </c>
      <c s="26" r="F315">
        <f>G315-E315</f>
        <v>2.6775</v>
      </c>
      <c s="26" r="G315">
        <f>E315*H315</f>
        <v>15.4275</v>
      </c>
      <c s="19" r="H315">
        <v>1.21</v>
      </c>
    </row>
    <row r="316">
      <c r="A316">
        <v>217</v>
      </c>
      <c r="B316">
        <v>1</v>
      </c>
      <c t="s" r="C316">
        <v>474</v>
      </c>
      <c r="E316">
        <v>1.2</v>
      </c>
      <c s="26" r="F316">
        <f>G316-E316</f>
        <v>0.17844</v>
      </c>
      <c s="26" r="G316">
        <f>E316*H316</f>
        <v>1.37844</v>
      </c>
      <c s="19" r="H316">
        <v>1.1487</v>
      </c>
    </row>
    <row r="317">
      <c r="A317">
        <v>217</v>
      </c>
      <c r="B317">
        <v>61</v>
      </c>
      <c t="s" r="C317">
        <v>431</v>
      </c>
      <c r="E317">
        <v>12.2</v>
      </c>
      <c s="26" r="F317">
        <f>G317-E317</f>
        <v>3.66</v>
      </c>
      <c s="26" r="G317">
        <f>E317*H317</f>
        <v>15.86</v>
      </c>
      <c s="19" r="H317">
        <v>1.3</v>
      </c>
    </row>
    <row r="318">
      <c r="A318">
        <v>217</v>
      </c>
      <c r="B318">
        <v>241</v>
      </c>
      <c t="s" r="C318">
        <v>433</v>
      </c>
      <c r="E318">
        <v>9.64</v>
      </c>
      <c s="26" r="F318">
        <f>G318-E318</f>
        <v>1.197288</v>
      </c>
      <c s="26" r="G318">
        <f>E318*H318</f>
        <v>10.837288</v>
      </c>
      <c s="19" r="H318">
        <v>1.1242</v>
      </c>
    </row>
    <row r="319">
      <c r="A319">
        <v>219</v>
      </c>
      <c r="B319">
        <v>1</v>
      </c>
      <c t="s" r="C319">
        <v>505</v>
      </c>
      <c r="E319">
        <v>0.04</v>
      </c>
      <c s="26" r="F319">
        <f>G319-E319</f>
        <v>0.867872</v>
      </c>
      <c s="26" r="G319">
        <f>E319*H319</f>
        <v>0.907872</v>
      </c>
      <c s="19" r="H319">
        <v>22.6968</v>
      </c>
    </row>
    <row r="320">
      <c r="A320">
        <v>219</v>
      </c>
      <c r="B320">
        <v>90</v>
      </c>
      <c t="s" r="C320">
        <v>506</v>
      </c>
      <c r="E320">
        <v>0</v>
      </c>
      <c s="26" r="F320">
        <f>G320-E320</f>
        <v>0.18</v>
      </c>
      <c s="26" r="G320">
        <f>(B320/1000) * 2</f>
        <v>0.18</v>
      </c>
      <c t="str" s="19" r="H320">
        <f> 1 + ((G320-E320)/E320)</f>
        <v>#DIV/0!:divZero</v>
      </c>
    </row>
    <row r="321">
      <c r="A321">
        <v>219</v>
      </c>
      <c r="B321">
        <v>8</v>
      </c>
      <c t="s" r="C321">
        <v>507</v>
      </c>
      <c r="E321">
        <v>0</v>
      </c>
      <c s="26" r="F321">
        <f>G321-E321</f>
        <v>0.12</v>
      </c>
      <c s="26" r="G321">
        <f>0.015*B321</f>
        <v>0.12</v>
      </c>
      <c t="str" s="19" r="H321">
        <f> 1 + ((G321-E321)/E321)</f>
        <v>#DIV/0!:divZero</v>
      </c>
    </row>
    <row r="322">
      <c r="A322">
        <v>221</v>
      </c>
      <c r="B322">
        <v>2</v>
      </c>
      <c t="s" r="C322">
        <v>508</v>
      </c>
      <c r="E322">
        <v>0.68</v>
      </c>
      <c s="26" r="F322">
        <f>G322-E322</f>
        <v>3.3252</v>
      </c>
      <c s="26" r="G322">
        <f>E322*H322</f>
        <v>4.0052</v>
      </c>
      <c s="19" r="H322">
        <v>5.89</v>
      </c>
    </row>
    <row r="323">
      <c r="A323">
        <v>222</v>
      </c>
      <c r="B323">
        <v>157</v>
      </c>
      <c t="s" r="C323">
        <v>139</v>
      </c>
      <c r="E323">
        <v>62.8</v>
      </c>
      <c s="26" r="F323">
        <f>G323-E323</f>
        <v>4.08199999999999</v>
      </c>
      <c s="26" r="G323">
        <f>E323*H323</f>
        <v>66.882</v>
      </c>
      <c s="19" r="H323">
        <v>1.065</v>
      </c>
    </row>
    <row r="324">
      <c r="A324">
        <v>223</v>
      </c>
      <c r="B324">
        <v>331</v>
      </c>
      <c t="s" r="C324">
        <v>384</v>
      </c>
      <c r="E324">
        <v>3.31</v>
      </c>
      <c s="26" r="F324">
        <f>G324-E324</f>
        <v>0.2648</v>
      </c>
      <c s="26" r="G324">
        <f>E324*H324</f>
        <v>3.5748</v>
      </c>
      <c s="19" r="H324">
        <v>1.08</v>
      </c>
    </row>
    <row r="325">
      <c r="A325">
        <v>223</v>
      </c>
      <c r="B325">
        <v>23</v>
      </c>
      <c t="s" r="C325">
        <v>103</v>
      </c>
      <c r="E325">
        <v>4.6</v>
      </c>
      <c s="26" r="F325">
        <f>G325-E325</f>
        <v>0.483</v>
      </c>
      <c s="26" r="G325">
        <f>E325*H325</f>
        <v>5.083</v>
      </c>
      <c s="19" r="H325">
        <v>1.105</v>
      </c>
    </row>
    <row r="326">
      <c r="A326">
        <v>227</v>
      </c>
      <c r="B326">
        <v>13</v>
      </c>
      <c t="s" r="C326">
        <v>432</v>
      </c>
      <c r="E326">
        <v>10.4</v>
      </c>
      <c s="26" r="F326">
        <f>G326-E326</f>
        <v>1.54648</v>
      </c>
      <c s="26" r="G326">
        <f>E326*H326</f>
        <v>11.94648</v>
      </c>
      <c s="19" r="H326">
        <v>1.1487</v>
      </c>
    </row>
    <row r="327">
      <c r="A327">
        <v>227</v>
      </c>
      <c r="B327">
        <v>22</v>
      </c>
      <c t="s" r="C327">
        <v>434</v>
      </c>
      <c r="E327">
        <v>3.74</v>
      </c>
      <c s="26" r="F327">
        <f>G327-E327</f>
        <v>0.7854</v>
      </c>
      <c s="26" r="G327">
        <f>E327*H327</f>
        <v>4.5254</v>
      </c>
      <c s="19" r="H327">
        <v>1.21</v>
      </c>
    </row>
    <row r="328">
      <c r="A328">
        <v>227</v>
      </c>
      <c r="B328">
        <v>2</v>
      </c>
      <c t="s" r="C328">
        <v>474</v>
      </c>
      <c r="E328">
        <v>2.4</v>
      </c>
      <c s="26" r="F328">
        <f>G328-E328</f>
        <v>0.35688</v>
      </c>
      <c s="26" r="G328">
        <f>E328*H328</f>
        <v>2.75688</v>
      </c>
      <c s="19" r="H328">
        <v>1.1487</v>
      </c>
    </row>
    <row r="329">
      <c r="A329">
        <v>227</v>
      </c>
      <c r="B329">
        <v>71</v>
      </c>
      <c t="s" r="C329">
        <v>431</v>
      </c>
      <c r="E329">
        <v>14.2</v>
      </c>
      <c s="26" r="F329">
        <f>G329-E329</f>
        <v>4.26</v>
      </c>
      <c s="26" r="G329">
        <f>E329*H329</f>
        <v>18.46</v>
      </c>
      <c s="19" r="H329">
        <v>1.3</v>
      </c>
    </row>
    <row r="330">
      <c r="A330">
        <v>227</v>
      </c>
      <c r="B330">
        <v>60</v>
      </c>
      <c t="s" r="C330">
        <v>433</v>
      </c>
      <c r="E330">
        <v>2.4</v>
      </c>
      <c s="26" r="F330">
        <f>G330-E330</f>
        <v>0.29808</v>
      </c>
      <c s="26" r="G330">
        <f>E330*H330</f>
        <v>2.69808</v>
      </c>
      <c s="19" r="H330">
        <v>1.1242</v>
      </c>
    </row>
    <row r="331">
      <c r="A331">
        <v>228</v>
      </c>
      <c r="B331">
        <v>2</v>
      </c>
      <c t="s" r="C331">
        <v>509</v>
      </c>
      <c r="E331">
        <v>1.52</v>
      </c>
      <c s="26" r="F331">
        <f>G331-E331</f>
        <v>1.064</v>
      </c>
      <c s="26" r="G331">
        <f>E331*H331</f>
        <v>2.584</v>
      </c>
      <c s="19" r="H331">
        <v>1.7</v>
      </c>
    </row>
    <row r="332">
      <c r="A332">
        <v>231</v>
      </c>
      <c r="B332">
        <f>651+5191</f>
        <v>5842</v>
      </c>
      <c t="s" r="C332">
        <v>384</v>
      </c>
      <c r="E332">
        <v>58.42</v>
      </c>
      <c s="26" r="F332">
        <f>G332-E332</f>
        <v>4.67360000000001</v>
      </c>
      <c s="26" r="G332">
        <f>E332*H332</f>
        <v>63.0936</v>
      </c>
      <c s="19" r="H332">
        <v>1.08</v>
      </c>
    </row>
    <row r="333">
      <c r="A333">
        <v>232</v>
      </c>
      <c r="B333">
        <v>243</v>
      </c>
      <c t="s" r="C333">
        <v>384</v>
      </c>
      <c r="E333">
        <v>2.43</v>
      </c>
      <c s="26" r="F333">
        <f>G333-E333</f>
        <v>0.1944</v>
      </c>
      <c s="26" r="G333">
        <f>E333*H333</f>
        <v>2.6244</v>
      </c>
      <c s="19" r="H333">
        <v>1.08</v>
      </c>
    </row>
    <row r="334">
      <c r="A334">
        <v>233</v>
      </c>
      <c r="B334">
        <v>2443</v>
      </c>
      <c t="s" r="C334">
        <v>510</v>
      </c>
      <c r="E334">
        <v>122.15</v>
      </c>
      <c s="26" r="F334">
        <f>G334-E334</f>
        <v>6.71824999999998</v>
      </c>
      <c s="26" r="G334">
        <f>E334*H334</f>
        <v>128.86825</v>
      </c>
      <c s="19" r="H334">
        <v>1.055</v>
      </c>
    </row>
    <row r="335">
      <c r="A335">
        <v>238</v>
      </c>
      <c r="B335">
        <v>11</v>
      </c>
      <c t="s" r="C335">
        <v>432</v>
      </c>
      <c r="E335">
        <v>14.4</v>
      </c>
      <c s="26" r="F335">
        <f>G335-E335</f>
        <v>2.14128</v>
      </c>
      <c s="26" r="G335">
        <f>E335*H335</f>
        <v>16.54128</v>
      </c>
      <c s="19" r="H335">
        <v>1.1487</v>
      </c>
    </row>
    <row r="336">
      <c r="A336">
        <v>238</v>
      </c>
      <c r="B336">
        <v>76</v>
      </c>
      <c t="s" r="C336">
        <v>434</v>
      </c>
      <c r="E336">
        <v>12.92</v>
      </c>
      <c s="26" r="F336">
        <f>G336-E336</f>
        <v>2.7132</v>
      </c>
      <c s="26" r="G336">
        <f>E336*H336</f>
        <v>15.6332</v>
      </c>
      <c s="19" r="H336">
        <v>1.21</v>
      </c>
    </row>
    <row r="337">
      <c r="A337">
        <v>238</v>
      </c>
      <c r="B337">
        <v>7</v>
      </c>
      <c t="s" r="C337">
        <v>474</v>
      </c>
      <c r="E337">
        <v>8.4</v>
      </c>
      <c s="26" r="F337">
        <f>G337-E337</f>
        <v>1.24908</v>
      </c>
      <c s="26" r="G337">
        <f>E337*H337</f>
        <v>9.64908</v>
      </c>
      <c s="19" r="H337">
        <v>1.1487</v>
      </c>
    </row>
    <row r="338">
      <c r="A338">
        <v>238</v>
      </c>
      <c r="B338">
        <v>68</v>
      </c>
      <c t="s" r="C338">
        <v>431</v>
      </c>
      <c r="E338">
        <v>13.6</v>
      </c>
      <c s="26" r="F338">
        <f>G338-E338</f>
        <v>4.08</v>
      </c>
      <c s="26" r="G338">
        <f>E338*H338</f>
        <v>17.68</v>
      </c>
      <c s="19" r="H338">
        <v>1.3</v>
      </c>
    </row>
    <row r="339">
      <c r="A339">
        <v>238</v>
      </c>
      <c r="B339">
        <v>761</v>
      </c>
      <c t="s" r="C339">
        <v>433</v>
      </c>
      <c r="E339">
        <v>30.44</v>
      </c>
      <c s="26" r="F339">
        <f>G339-E339</f>
        <v>3.780648</v>
      </c>
      <c s="26" r="G339">
        <f>E339*H339</f>
        <v>34.220648</v>
      </c>
      <c s="19" r="H339">
        <v>1.1242</v>
      </c>
    </row>
    <row r="340">
      <c r="A340">
        <v>239</v>
      </c>
      <c r="B340">
        <v>65</v>
      </c>
      <c t="s" r="C340">
        <v>490</v>
      </c>
      <c r="E340">
        <v>8.45</v>
      </c>
      <c s="26" r="F340">
        <f>G340-E340</f>
        <v>0.633749999999999</v>
      </c>
      <c s="26" r="G340">
        <f>E340*H340</f>
        <v>9.08375</v>
      </c>
      <c s="19" r="H340">
        <v>1.075</v>
      </c>
    </row>
    <row r="341">
      <c r="A341">
        <v>239</v>
      </c>
      <c r="B341">
        <v>1</v>
      </c>
      <c t="s" r="C341">
        <v>511</v>
      </c>
      <c r="E341">
        <v>37</v>
      </c>
      <c s="26" r="F341">
        <f>G341-E341</f>
        <v>3.885</v>
      </c>
      <c s="26" r="G341">
        <f>E341*H341</f>
        <v>40.885</v>
      </c>
      <c s="19" r="H341">
        <v>1.105</v>
      </c>
    </row>
    <row r="342">
      <c r="A342">
        <v>241</v>
      </c>
      <c r="B342">
        <v>1680</v>
      </c>
      <c t="s" r="C342">
        <v>510</v>
      </c>
      <c r="E342">
        <v>84</v>
      </c>
      <c s="26" r="F342">
        <f>G342-E342</f>
        <v>5.04000000000001</v>
      </c>
      <c s="26" r="G342">
        <f>E342*H342</f>
        <v>89.04</v>
      </c>
      <c s="19" r="H342">
        <v>1.06</v>
      </c>
    </row>
    <row r="343">
      <c r="A343">
        <v>242</v>
      </c>
      <c r="B343">
        <v>1</v>
      </c>
      <c t="s" r="C343">
        <v>512</v>
      </c>
      <c r="E343">
        <v>3.67</v>
      </c>
      <c s="26" r="F343">
        <f>G343-E343</f>
        <v>0.9175</v>
      </c>
      <c s="26" r="G343">
        <f>E343*H343</f>
        <v>4.5875</v>
      </c>
      <c s="19" r="H343">
        <v>1.25</v>
      </c>
    </row>
    <row r="344">
      <c r="A344">
        <v>242</v>
      </c>
      <c r="B344">
        <v>1</v>
      </c>
      <c t="s" r="C344">
        <v>512</v>
      </c>
      <c r="E344">
        <v>4.16</v>
      </c>
      <c s="26" r="F344">
        <f>G344-E344</f>
        <v>1.04</v>
      </c>
      <c s="26" r="G344">
        <f>E344*H344</f>
        <v>5.2</v>
      </c>
      <c s="19" r="H344">
        <v>1.25</v>
      </c>
    </row>
    <row r="345">
      <c r="A345">
        <v>244</v>
      </c>
      <c r="B345">
        <v>45</v>
      </c>
      <c t="s" r="C345">
        <v>490</v>
      </c>
      <c r="E345">
        <v>5.85</v>
      </c>
      <c s="26" r="F345">
        <f>G345-E345</f>
        <v>0.43875</v>
      </c>
      <c s="26" r="G345">
        <f>E345*H345</f>
        <v>6.28875</v>
      </c>
      <c s="19" r="H345">
        <v>1.075</v>
      </c>
    </row>
    <row r="346">
      <c r="A346">
        <v>246</v>
      </c>
      <c r="B346">
        <v>1120</v>
      </c>
      <c t="s" r="C346">
        <v>56</v>
      </c>
      <c r="E346">
        <v>336</v>
      </c>
      <c s="26" r="F346">
        <f>G346-E346</f>
        <v>25.2</v>
      </c>
      <c s="26" r="G346">
        <f>E346*H346</f>
        <v>361.2</v>
      </c>
      <c s="19" r="H346">
        <v>1.075</v>
      </c>
    </row>
    <row r="347">
      <c r="A347">
        <v>247</v>
      </c>
      <c r="B347">
        <v>268</v>
      </c>
      <c t="s" r="C347">
        <v>88</v>
      </c>
      <c r="E347">
        <v>174.2</v>
      </c>
      <c s="26" r="F347">
        <f>G347-E347</f>
        <v>12.8037</v>
      </c>
      <c s="26" r="G347">
        <f>E347*H347</f>
        <v>187.0037</v>
      </c>
      <c s="19" r="H347">
        <v>1.0735</v>
      </c>
    </row>
    <row r="348">
      <c r="A348">
        <v>247</v>
      </c>
      <c r="B348">
        <v>13903</v>
      </c>
      <c t="s" r="C348">
        <v>384</v>
      </c>
      <c r="E348">
        <v>139.03</v>
      </c>
      <c s="26" r="F348">
        <f>G348-E348</f>
        <v>11.1224</v>
      </c>
      <c s="26" r="G348">
        <f>E348*H348</f>
        <v>150.1524</v>
      </c>
      <c s="19" r="H348">
        <v>1.08</v>
      </c>
    </row>
    <row r="349">
      <c r="A349">
        <v>248</v>
      </c>
      <c r="B349">
        <v>12.47</v>
      </c>
      <c t="s" r="C349">
        <v>384</v>
      </c>
      <c r="E349">
        <v>12.47</v>
      </c>
      <c s="26" r="F349">
        <f>G349-E349</f>
        <v>0.9976</v>
      </c>
      <c s="26" r="G349">
        <f>E349*H349</f>
        <v>13.4676</v>
      </c>
      <c s="19" r="H349">
        <v>1.08</v>
      </c>
    </row>
    <row r="350">
      <c r="A350">
        <v>249</v>
      </c>
      <c r="B350">
        <v>24950</v>
      </c>
      <c t="s" r="C350">
        <v>384</v>
      </c>
      <c r="E350">
        <v>211.5</v>
      </c>
      <c s="26" r="F350">
        <f>G350-E350</f>
        <v>16.92</v>
      </c>
      <c s="26" r="G350">
        <f>E350*H350</f>
        <v>228.42</v>
      </c>
      <c s="19" r="H350">
        <v>1.08</v>
      </c>
    </row>
    <row r="351">
      <c r="A351">
        <v>250</v>
      </c>
      <c r="B351">
        <v>148</v>
      </c>
      <c t="s" r="C351">
        <v>490</v>
      </c>
      <c r="E351">
        <v>19.24</v>
      </c>
      <c s="26" r="F351">
        <f>G351-E351</f>
        <v>1.443</v>
      </c>
      <c s="26" r="G351">
        <f>E351*H351</f>
        <v>20.683</v>
      </c>
      <c s="19" r="H351">
        <v>1.075</v>
      </c>
    </row>
    <row r="352">
      <c r="A352">
        <v>251</v>
      </c>
      <c r="B352">
        <v>144</v>
      </c>
      <c t="s" r="C352">
        <v>139</v>
      </c>
      <c r="E352">
        <v>57.6</v>
      </c>
      <c s="26" r="F352">
        <f>G352-E352</f>
        <v>4.032</v>
      </c>
      <c s="26" r="G352">
        <f>E352*H352</f>
        <v>61.632</v>
      </c>
      <c s="19" r="H352">
        <v>1.07</v>
      </c>
    </row>
    <row r="353">
      <c r="A353">
        <v>252</v>
      </c>
      <c r="B353">
        <v>159</v>
      </c>
      <c t="s" r="C353">
        <v>384</v>
      </c>
      <c r="E353">
        <v>1.59</v>
      </c>
      <c s="26" r="F353">
        <f>G353-E353</f>
        <v>0.1272</v>
      </c>
      <c s="26" r="G353">
        <f>E353*H353</f>
        <v>1.7172</v>
      </c>
      <c s="19" r="H353">
        <v>1.08</v>
      </c>
    </row>
    <row r="354">
      <c r="A354">
        <v>253</v>
      </c>
      <c r="B354">
        <v>572</v>
      </c>
      <c t="s" r="C354">
        <v>384</v>
      </c>
      <c r="E354">
        <v>5.72</v>
      </c>
      <c s="26" r="F354">
        <f>G354-E354</f>
        <v>0.4576</v>
      </c>
      <c s="26" r="G354">
        <f>E354*H354</f>
        <v>6.1776</v>
      </c>
      <c s="19" r="H354">
        <v>1.08</v>
      </c>
    </row>
    <row r="355">
      <c r="A355">
        <v>254</v>
      </c>
      <c r="B355">
        <v>217</v>
      </c>
      <c t="s" r="C355">
        <v>384</v>
      </c>
      <c r="E355">
        <v>2.17</v>
      </c>
      <c s="26" r="F355">
        <f>G355-E355</f>
        <v>0.1736</v>
      </c>
      <c s="26" r="G355">
        <f>E355*H355</f>
        <v>2.3436</v>
      </c>
      <c s="19" r="H355">
        <v>1.08</v>
      </c>
    </row>
    <row r="356">
      <c r="A356">
        <v>254</v>
      </c>
      <c r="B356">
        <v>175</v>
      </c>
      <c t="s" r="C356">
        <v>447</v>
      </c>
      <c r="E356">
        <v>1.75</v>
      </c>
      <c s="26" r="F356">
        <f>G356-E356</f>
        <v>0.14</v>
      </c>
      <c s="26" r="G356">
        <f>E356*H356</f>
        <v>1.89</v>
      </c>
      <c s="19" r="H356">
        <v>1.08</v>
      </c>
    </row>
    <row r="357">
      <c r="A357">
        <v>254</v>
      </c>
      <c r="B357">
        <v>2</v>
      </c>
      <c t="s" r="C357">
        <v>138</v>
      </c>
      <c r="E357">
        <v>14.59</v>
      </c>
      <c s="26" r="F357">
        <f>3.54*2</f>
        <v>7.08</v>
      </c>
      <c s="26" r="G357">
        <f>E357+F357</f>
        <v>21.67</v>
      </c>
      <c s="19" r="H357">
        <f> 1 + ((G357-E357)/E357)</f>
        <v>1.48526387936943</v>
      </c>
    </row>
    <row r="358">
      <c r="A358">
        <v>255</v>
      </c>
      <c r="B358">
        <v>49614</v>
      </c>
      <c t="s" r="C358">
        <v>384</v>
      </c>
      <c r="E358">
        <v>496.14</v>
      </c>
      <c s="26" r="F358">
        <f>G358-E358</f>
        <v>39.6912</v>
      </c>
      <c s="26" r="G358">
        <f>E358*H358</f>
        <v>535.8312</v>
      </c>
      <c s="19" r="H358">
        <v>1.08</v>
      </c>
    </row>
    <row r="359">
      <c r="A359">
        <v>255</v>
      </c>
      <c r="B359">
        <v>13768</v>
      </c>
      <c t="s" r="C359">
        <v>447</v>
      </c>
      <c r="E359">
        <v>137.68</v>
      </c>
      <c s="26" r="F359">
        <f>G359-E359</f>
        <v>11.0144</v>
      </c>
      <c s="26" r="G359">
        <f>E359*H359</f>
        <v>148.6944</v>
      </c>
      <c s="19" r="H359">
        <v>1.08</v>
      </c>
    </row>
    <row r="360">
      <c r="A360">
        <v>255</v>
      </c>
      <c r="B360">
        <v>229</v>
      </c>
      <c t="s" r="C360">
        <v>92</v>
      </c>
      <c r="E360">
        <v>91.6</v>
      </c>
      <c s="26" r="F360">
        <f>G360-E360</f>
        <v>151.14</v>
      </c>
      <c s="26" r="G360">
        <f>E360*H360</f>
        <v>242.74</v>
      </c>
      <c s="19" r="H360">
        <v>2.65</v>
      </c>
    </row>
    <row r="361">
      <c r="A361">
        <v>256</v>
      </c>
      <c r="B361">
        <v>6477</v>
      </c>
      <c t="s" r="C361">
        <v>384</v>
      </c>
      <c r="E361">
        <f>B361*0.01</f>
        <v>64.77</v>
      </c>
      <c s="26" r="F361">
        <f>G361-E361</f>
        <v>5.1816</v>
      </c>
      <c s="26" r="G361">
        <f>E361*H361</f>
        <v>69.9516</v>
      </c>
      <c s="19" r="H361">
        <v>1.08</v>
      </c>
    </row>
    <row r="362">
      <c r="A362">
        <v>256</v>
      </c>
      <c r="B362">
        <v>1358</v>
      </c>
      <c t="s" r="C362">
        <v>447</v>
      </c>
      <c r="E362">
        <f>B362*0.01</f>
        <v>13.58</v>
      </c>
      <c s="26" r="F362">
        <f>G362-E362</f>
        <v>1.0864</v>
      </c>
      <c s="26" r="G362">
        <f>E362*H362</f>
        <v>14.6664</v>
      </c>
      <c s="19" r="H362">
        <v>1.08</v>
      </c>
    </row>
    <row r="363">
      <c r="A363">
        <v>256</v>
      </c>
      <c r="B363">
        <v>27</v>
      </c>
      <c t="s" r="C363">
        <v>204</v>
      </c>
      <c r="E363">
        <v>10.8</v>
      </c>
      <c s="26" r="F363">
        <f>G363-E363</f>
        <v>25.92</v>
      </c>
      <c s="26" r="G363">
        <f>E363*H363</f>
        <v>36.72</v>
      </c>
      <c s="19" r="H363">
        <v>3.4</v>
      </c>
    </row>
    <row r="364">
      <c r="A364">
        <v>257</v>
      </c>
      <c r="B364">
        <v>11622</v>
      </c>
      <c t="s" r="C364">
        <v>384</v>
      </c>
      <c r="E364">
        <f>B364*0.01</f>
        <v>116.22</v>
      </c>
      <c s="26" r="F364">
        <f>G364-E364</f>
        <v>9.2976</v>
      </c>
      <c s="26" r="G364">
        <f>E364*H364</f>
        <v>125.5176</v>
      </c>
      <c s="19" r="H364">
        <v>1.08</v>
      </c>
    </row>
    <row r="365">
      <c r="A365">
        <v>257</v>
      </c>
      <c r="B365">
        <v>42</v>
      </c>
      <c t="s" r="C365">
        <v>227</v>
      </c>
      <c r="E365">
        <v>33.6</v>
      </c>
      <c s="26" r="F365">
        <f>G365-E365</f>
        <v>78.288</v>
      </c>
      <c s="26" r="G365">
        <f>E365*H365</f>
        <v>111.888</v>
      </c>
      <c s="19" r="H365">
        <v>3.33</v>
      </c>
    </row>
    <row r="366">
      <c r="A366">
        <v>258</v>
      </c>
      <c r="B366">
        <v>611</v>
      </c>
      <c t="s" r="C366">
        <v>384</v>
      </c>
      <c r="E366">
        <f>B366*0.01</f>
        <v>6.11</v>
      </c>
      <c s="26" r="F366">
        <f>G366-E366</f>
        <v>0.4888</v>
      </c>
      <c s="26" r="G366">
        <f>E366*H366</f>
        <v>6.5988</v>
      </c>
      <c s="19" r="H366">
        <v>1.08</v>
      </c>
    </row>
    <row r="367">
      <c r="A367">
        <v>258</v>
      </c>
      <c r="B367">
        <v>2</v>
      </c>
      <c t="s" r="C367">
        <v>150</v>
      </c>
      <c r="E367">
        <v>0.8</v>
      </c>
      <c s="26" r="F367">
        <f>G367-E367</f>
        <v>1.12</v>
      </c>
      <c s="26" r="G367">
        <f>E367*H367</f>
        <v>1.92</v>
      </c>
      <c s="19" r="H367">
        <v>2.4</v>
      </c>
    </row>
    <row r="368">
      <c r="A368">
        <v>259</v>
      </c>
      <c r="B368">
        <v>610</v>
      </c>
      <c t="s" r="C368">
        <v>513</v>
      </c>
      <c r="E368">
        <f>B368*0.01</f>
        <v>6.1</v>
      </c>
      <c s="26" r="F368">
        <f>G368-E368</f>
        <v>0.061</v>
      </c>
      <c s="26" r="G368">
        <f>E368*H368</f>
        <v>6.161</v>
      </c>
      <c s="19" r="H368">
        <v>1.01</v>
      </c>
    </row>
    <row r="369">
      <c r="A369">
        <v>259</v>
      </c>
      <c r="B369">
        <v>648</v>
      </c>
      <c t="s" r="C369">
        <v>384</v>
      </c>
      <c r="E369">
        <f>B369*0.01</f>
        <v>6.48</v>
      </c>
      <c s="26" r="F369">
        <f>G369-E369</f>
        <v>0.518400000000001</v>
      </c>
      <c s="26" r="G369">
        <f>E369*H369</f>
        <v>6.9984</v>
      </c>
      <c s="19" r="H369">
        <v>1.08</v>
      </c>
    </row>
    <row r="370">
      <c r="A370">
        <v>259</v>
      </c>
      <c r="B370">
        <v>216</v>
      </c>
      <c t="s" r="C370">
        <v>103</v>
      </c>
      <c r="E370">
        <v>24</v>
      </c>
      <c s="26" r="F370">
        <f>G370-E370</f>
        <v>2.88</v>
      </c>
      <c s="26" r="G370">
        <f>E370*H370</f>
        <v>26.88</v>
      </c>
      <c s="19" r="H370">
        <v>1.12</v>
      </c>
    </row>
    <row r="371">
      <c r="A371">
        <v>261</v>
      </c>
      <c r="B371">
        <v>8</v>
      </c>
      <c t="s" r="C371">
        <v>514</v>
      </c>
      <c r="E371">
        <v>4.8</v>
      </c>
      <c s="26" r="F371">
        <f>G371-E371</f>
        <v>0.96</v>
      </c>
      <c s="26" r="G371">
        <f>E371*H371</f>
        <v>5.76</v>
      </c>
      <c s="19" r="H371">
        <v>1.2</v>
      </c>
    </row>
    <row r="372">
      <c r="A372">
        <v>261</v>
      </c>
      <c r="B372">
        <v>133</v>
      </c>
      <c t="s" r="C372">
        <v>515</v>
      </c>
      <c r="E372">
        <v>26.6</v>
      </c>
      <c s="26" r="F372">
        <f>G372-E372</f>
        <v>1.33</v>
      </c>
      <c s="26" r="G372">
        <f>E372*H372</f>
        <v>27.93</v>
      </c>
      <c s="19" r="H372">
        <v>1.05</v>
      </c>
    </row>
    <row r="373">
      <c r="A373">
        <v>262</v>
      </c>
      <c r="B373">
        <v>1</v>
      </c>
      <c t="s" r="C373">
        <v>516</v>
      </c>
      <c r="E373">
        <v>0.2</v>
      </c>
      <c s="26" r="F373">
        <f>G373-E373</f>
        <v>0.8</v>
      </c>
      <c s="26" r="G373">
        <f>E373*H373</f>
        <v>1</v>
      </c>
      <c s="19" r="H373">
        <v>5</v>
      </c>
    </row>
    <row r="374">
      <c r="A374">
        <v>264</v>
      </c>
      <c r="B374">
        <v>3</v>
      </c>
      <c t="s" r="C374">
        <v>514</v>
      </c>
      <c r="E374">
        <v>1.8</v>
      </c>
      <c s="26" r="F374">
        <f>G374-E374</f>
        <v>0.36</v>
      </c>
      <c s="26" r="G374">
        <f>E374*H374</f>
        <v>2.16</v>
      </c>
      <c s="19" r="H374">
        <v>1.2</v>
      </c>
    </row>
    <row r="375">
      <c r="A375">
        <v>265</v>
      </c>
      <c r="B375">
        <v>6</v>
      </c>
      <c t="s" r="C375">
        <v>445</v>
      </c>
      <c r="E375">
        <v>6</v>
      </c>
      <c s="26" r="F375">
        <f>G375-E375</f>
        <v>3.96</v>
      </c>
      <c s="26" r="G375">
        <f>E375*H375</f>
        <v>9.96</v>
      </c>
      <c s="19" r="H375">
        <v>1.66</v>
      </c>
    </row>
    <row r="376">
      <c r="A376">
        <v>266</v>
      </c>
      <c r="B376">
        <v>3356</v>
      </c>
      <c t="s" r="C376">
        <v>510</v>
      </c>
      <c r="E376">
        <v>167.8</v>
      </c>
      <c s="26" r="F376">
        <f>G376-E376</f>
        <v>10.068</v>
      </c>
      <c s="26" r="G376">
        <f>E376*H376</f>
        <v>177.868</v>
      </c>
      <c s="19" r="H376">
        <v>1.06</v>
      </c>
    </row>
    <row r="377">
      <c r="A377">
        <v>268</v>
      </c>
      <c r="B377">
        <v>1</v>
      </c>
      <c t="s" r="C377">
        <v>517</v>
      </c>
      <c r="E377">
        <v>31.2</v>
      </c>
      <c s="26" r="F377">
        <f>G377-E377</f>
        <v>0</v>
      </c>
      <c s="26" r="G377">
        <f>E377*H377</f>
        <v>31.2</v>
      </c>
      <c s="19" r="H377">
        <v>1</v>
      </c>
    </row>
    <row r="378">
      <c r="A378">
        <v>268</v>
      </c>
      <c r="B378">
        <v>152</v>
      </c>
      <c t="s" r="C378">
        <v>518</v>
      </c>
      <c r="E378">
        <v>15.2</v>
      </c>
      <c s="26" r="F378">
        <f>G378-E378</f>
        <v>0.911999999999999</v>
      </c>
      <c s="26" r="G378">
        <f>E378*H378</f>
        <v>16.112</v>
      </c>
      <c s="19" r="H378">
        <v>1.06</v>
      </c>
    </row>
    <row r="379">
      <c r="A379">
        <v>268</v>
      </c>
      <c r="B379">
        <v>1030</v>
      </c>
      <c t="s" r="C379">
        <v>510</v>
      </c>
      <c r="E379">
        <v>51.5</v>
      </c>
      <c s="26" r="F379">
        <f>G379-E379</f>
        <v>3.09</v>
      </c>
      <c s="26" r="G379">
        <f>E379*H379</f>
        <v>54.59</v>
      </c>
      <c s="19" r="H379">
        <v>1.06</v>
      </c>
    </row>
    <row r="380">
      <c r="A380">
        <v>269</v>
      </c>
      <c r="B380">
        <v>892</v>
      </c>
      <c t="s" r="C380">
        <v>384</v>
      </c>
      <c r="E380">
        <v>8.92</v>
      </c>
      <c s="26" r="F380">
        <f>G380-E380</f>
        <v>0.713600000000001</v>
      </c>
      <c s="26" r="G380">
        <f>E380*H380</f>
        <v>9.6336</v>
      </c>
      <c s="19" r="H380">
        <v>1.08</v>
      </c>
    </row>
    <row r="381">
      <c r="A381">
        <v>270</v>
      </c>
      <c r="B381">
        <v>753</v>
      </c>
      <c t="s" r="C381">
        <v>510</v>
      </c>
      <c r="E381">
        <v>37.65</v>
      </c>
      <c s="26" r="F381">
        <f>G381-E381</f>
        <v>2.259</v>
      </c>
      <c s="26" r="G381">
        <f>E381*H381</f>
        <v>39.909</v>
      </c>
      <c s="19" r="H381">
        <v>1.06</v>
      </c>
    </row>
    <row r="382">
      <c r="A382">
        <v>270</v>
      </c>
      <c r="B382">
        <v>1000</v>
      </c>
      <c t="s" r="C382">
        <v>518</v>
      </c>
      <c r="E382">
        <v>100</v>
      </c>
      <c s="26" r="F382">
        <f>G382-E382</f>
        <v>6</v>
      </c>
      <c s="26" r="G382">
        <f>E382*H382</f>
        <v>106</v>
      </c>
      <c s="19" r="H382">
        <v>1.06</v>
      </c>
    </row>
    <row r="383">
      <c r="A383">
        <v>271</v>
      </c>
      <c r="B383">
        <v>1004</v>
      </c>
      <c t="s" r="C383">
        <v>384</v>
      </c>
      <c r="E383">
        <f>B383*0.01</f>
        <v>10.04</v>
      </c>
      <c s="26" r="F383">
        <f>G383-E383</f>
        <v>0.8032</v>
      </c>
      <c s="26" r="G383">
        <f>E383*H383</f>
        <v>10.8432</v>
      </c>
      <c s="19" r="H383">
        <v>1.08</v>
      </c>
    </row>
    <row r="384">
      <c r="A384">
        <v>271</v>
      </c>
      <c r="B384">
        <v>1372</v>
      </c>
      <c t="s" r="C384">
        <v>519</v>
      </c>
      <c r="E384">
        <f>B384*0.01</f>
        <v>13.72</v>
      </c>
      <c s="26" r="F384">
        <f>G384-E384</f>
        <v>0.5488</v>
      </c>
      <c s="26" r="G384">
        <f>E384*H384</f>
        <v>14.2688</v>
      </c>
      <c s="19" r="H384">
        <v>1.04</v>
      </c>
    </row>
    <row r="385">
      <c r="A385">
        <v>271</v>
      </c>
      <c r="B385">
        <v>1258</v>
      </c>
      <c t="s" r="C385">
        <v>98</v>
      </c>
      <c r="E385">
        <v>25.16</v>
      </c>
      <c s="26" r="F385">
        <f>G385-E385</f>
        <v>1.0064</v>
      </c>
      <c s="26" r="G385">
        <f>E385*H385</f>
        <v>26.1664</v>
      </c>
      <c s="19" r="H385">
        <v>1.04</v>
      </c>
    </row>
    <row r="386">
      <c r="A386">
        <v>272</v>
      </c>
      <c r="B386">
        <v>51</v>
      </c>
      <c t="s" r="C386">
        <v>384</v>
      </c>
      <c r="E386">
        <f>B386*0.01</f>
        <v>0.51</v>
      </c>
      <c s="26" r="F386">
        <f>G386-E386</f>
        <v>0.0408</v>
      </c>
      <c s="26" r="G386">
        <f>E386*H386</f>
        <v>0.5508</v>
      </c>
      <c s="19" r="H386">
        <v>1.08</v>
      </c>
    </row>
    <row r="387">
      <c r="A387">
        <v>272</v>
      </c>
      <c r="B387">
        <v>309</v>
      </c>
      <c t="s" r="C387">
        <v>519</v>
      </c>
      <c r="E387">
        <f>B387*0.01</f>
        <v>3.09</v>
      </c>
      <c s="26" r="F387">
        <f>G387-E387</f>
        <v>0.1236</v>
      </c>
      <c s="26" r="G387">
        <f>E387*H387</f>
        <v>3.2136</v>
      </c>
      <c s="19" r="H387">
        <v>1.04</v>
      </c>
    </row>
    <row r="388">
      <c r="A388">
        <v>273</v>
      </c>
      <c r="B388">
        <v>287</v>
      </c>
      <c t="s" r="C388">
        <v>384</v>
      </c>
      <c r="E388">
        <f>B388*0.01</f>
        <v>2.87</v>
      </c>
      <c s="26" r="F388">
        <f>G388-E388</f>
        <v>0.2296</v>
      </c>
      <c s="26" r="G388">
        <f>E388*H388</f>
        <v>3.0996</v>
      </c>
      <c s="19" r="H388">
        <v>1.08</v>
      </c>
    </row>
    <row r="389">
      <c r="A389">
        <v>273</v>
      </c>
      <c r="B389">
        <v>138</v>
      </c>
      <c t="s" r="C389">
        <v>519</v>
      </c>
      <c r="E389">
        <f>B389*0.01</f>
        <v>1.38</v>
      </c>
      <c s="26" r="F389">
        <f>G389-E389</f>
        <v>0.0552</v>
      </c>
      <c s="26" r="G389">
        <f>E389*H389</f>
        <v>1.4352</v>
      </c>
      <c s="19" r="H389">
        <v>1.04</v>
      </c>
    </row>
    <row r="390">
      <c r="A390">
        <v>274</v>
      </c>
      <c r="B390">
        <v>1</v>
      </c>
      <c t="s" r="C390">
        <v>520</v>
      </c>
      <c r="E390">
        <v>67.39</v>
      </c>
      <c s="26" r="F390">
        <f>G390-E390</f>
        <v>8.7607</v>
      </c>
      <c s="26" r="G390">
        <f>E390*H390</f>
        <v>76.1507</v>
      </c>
      <c s="19" r="H390">
        <v>1.13</v>
      </c>
    </row>
    <row r="391">
      <c r="A391">
        <v>274</v>
      </c>
      <c r="B391">
        <v>29</v>
      </c>
      <c t="s" r="C391">
        <v>432</v>
      </c>
      <c r="E391">
        <v>23.2</v>
      </c>
      <c s="26" r="F391">
        <f>G391-E391</f>
        <v>3.44984</v>
      </c>
      <c s="26" r="G391">
        <f>E391*H391</f>
        <v>26.64984</v>
      </c>
      <c s="19" r="H391">
        <v>1.1487</v>
      </c>
    </row>
    <row r="392">
      <c r="A392">
        <v>274</v>
      </c>
      <c r="B392">
        <v>99</v>
      </c>
      <c t="s" r="C392">
        <v>434</v>
      </c>
      <c r="E392">
        <v>16.83</v>
      </c>
      <c s="26" r="F392">
        <f>G392-E392</f>
        <v>3.5343</v>
      </c>
      <c s="26" r="G392">
        <f>E392*H392</f>
        <v>20.3643</v>
      </c>
      <c s="19" r="H392">
        <v>1.21</v>
      </c>
    </row>
    <row r="393">
      <c r="A393">
        <v>274</v>
      </c>
      <c r="B393">
        <v>6</v>
      </c>
      <c t="s" r="C393">
        <v>474</v>
      </c>
      <c r="E393">
        <v>7.2</v>
      </c>
      <c s="26" r="F393">
        <f>G393-E393</f>
        <v>1.07064</v>
      </c>
      <c s="26" r="G393">
        <f>E393*H393</f>
        <v>8.27064</v>
      </c>
      <c s="19" r="H393">
        <v>1.1487</v>
      </c>
    </row>
    <row r="394">
      <c r="A394">
        <v>274</v>
      </c>
      <c r="B394">
        <v>138</v>
      </c>
      <c t="s" r="C394">
        <v>431</v>
      </c>
      <c r="E394">
        <v>27.6</v>
      </c>
      <c s="26" r="F394">
        <f>G394-E394</f>
        <v>8.28</v>
      </c>
      <c s="26" r="G394">
        <f>E394*H394</f>
        <v>35.88</v>
      </c>
      <c s="19" r="H394">
        <v>1.3</v>
      </c>
    </row>
    <row r="395">
      <c r="A395">
        <v>274</v>
      </c>
      <c r="B395">
        <v>981</v>
      </c>
      <c t="s" r="C395">
        <v>433</v>
      </c>
      <c r="E395">
        <v>39.24</v>
      </c>
      <c s="26" r="F395">
        <f>G395-E395</f>
        <v>4.873608</v>
      </c>
      <c s="26" r="G395">
        <f>E395*H395</f>
        <v>44.113608</v>
      </c>
      <c s="19" r="H395">
        <v>1.1242</v>
      </c>
    </row>
    <row r="396">
      <c r="A396">
        <v>274</v>
      </c>
      <c r="B396">
        <v>1</v>
      </c>
      <c t="s" r="C396">
        <v>497</v>
      </c>
      <c r="E396">
        <v>3</v>
      </c>
      <c s="26" r="F396">
        <f>G396-E396</f>
        <v>0.84</v>
      </c>
      <c s="26" r="G396">
        <f>E396*H396</f>
        <v>3.84</v>
      </c>
      <c s="19" r="H396">
        <v>1.28</v>
      </c>
    </row>
    <row r="397">
      <c r="A397">
        <v>275</v>
      </c>
      <c r="B397">
        <v>1149</v>
      </c>
      <c t="s" r="C397">
        <v>384</v>
      </c>
      <c r="E397">
        <f>B397*0.01</f>
        <v>11.49</v>
      </c>
      <c s="26" r="F397">
        <f>G397-E397</f>
        <v>0.9192</v>
      </c>
      <c s="26" r="G397">
        <f>E397*H397</f>
        <v>12.4092</v>
      </c>
      <c s="19" r="H397">
        <v>1.08</v>
      </c>
    </row>
    <row r="398">
      <c r="A398">
        <v>275</v>
      </c>
      <c r="B398">
        <v>1594</v>
      </c>
      <c t="s" r="C398">
        <v>513</v>
      </c>
      <c r="E398">
        <f>B398*0.01</f>
        <v>15.94</v>
      </c>
      <c s="26" r="F398">
        <f>G398-E398</f>
        <v>0</v>
      </c>
      <c s="26" r="G398">
        <f>E398*H398</f>
        <v>15.94</v>
      </c>
      <c s="19" r="H398">
        <v>1</v>
      </c>
    </row>
    <row r="399">
      <c r="A399">
        <v>275</v>
      </c>
      <c r="B399">
        <v>180</v>
      </c>
      <c t="s" r="C399">
        <v>103</v>
      </c>
      <c r="E399">
        <v>36</v>
      </c>
      <c s="26" r="F399">
        <f>G399-E399</f>
        <v>4.32000000000001</v>
      </c>
      <c s="26" r="G399">
        <f>E399*H399</f>
        <v>40.32</v>
      </c>
      <c s="19" r="H399">
        <v>1.12</v>
      </c>
    </row>
    <row r="400">
      <c r="A400">
        <v>276</v>
      </c>
      <c r="B400">
        <v>1</v>
      </c>
      <c t="s" r="C400">
        <v>521</v>
      </c>
      <c r="E400">
        <v>64.6</v>
      </c>
      <c s="26" r="F400">
        <f>G400-E400</f>
        <v>25.84</v>
      </c>
      <c s="26" r="G400">
        <f>E400*H400</f>
        <v>90.44</v>
      </c>
      <c s="19" r="H400">
        <v>1.4</v>
      </c>
    </row>
    <row r="401">
      <c r="A401">
        <v>276</v>
      </c>
      <c r="B401">
        <v>1</v>
      </c>
      <c t="s" r="C401">
        <v>521</v>
      </c>
      <c r="E401">
        <v>64.6</v>
      </c>
      <c s="26" r="F401">
        <f>G401-E401</f>
        <v>25.84</v>
      </c>
      <c s="26" r="G401">
        <f>E401*H401</f>
        <v>90.44</v>
      </c>
      <c s="19" r="H401">
        <v>1.4</v>
      </c>
    </row>
    <row r="402">
      <c r="A402">
        <v>276</v>
      </c>
      <c r="B402">
        <v>1</v>
      </c>
      <c t="s" r="C402">
        <v>522</v>
      </c>
      <c r="E402">
        <v>160</v>
      </c>
      <c s="26" r="F402">
        <f>G402-E402</f>
        <v>56</v>
      </c>
      <c s="26" r="G402">
        <f>E402*H402</f>
        <v>216</v>
      </c>
      <c s="19" r="H402">
        <v>1.35</v>
      </c>
    </row>
    <row r="403">
      <c r="A403">
        <v>276</v>
      </c>
      <c r="B403">
        <v>1</v>
      </c>
      <c t="s" r="C403">
        <v>523</v>
      </c>
      <c r="E403">
        <v>0</v>
      </c>
      <c s="26" r="F403">
        <f>G403-E403</f>
        <v>0</v>
      </c>
      <c s="26" r="G403">
        <f>E403*H403</f>
        <v>0</v>
      </c>
      <c s="19" r="H403">
        <v>1.2</v>
      </c>
    </row>
    <row r="404">
      <c r="A404">
        <v>276</v>
      </c>
      <c r="B404">
        <v>92</v>
      </c>
      <c t="s" r="C404">
        <v>524</v>
      </c>
      <c r="E404">
        <v>184</v>
      </c>
      <c s="26" r="F404">
        <f>G404-E404</f>
        <v>11.04</v>
      </c>
      <c s="26" r="G404">
        <f>E404*H404</f>
        <v>195.04</v>
      </c>
      <c s="19" r="H404">
        <v>1.06</v>
      </c>
    </row>
    <row r="405">
      <c r="A405">
        <v>276</v>
      </c>
      <c r="B405">
        <v>25038</v>
      </c>
      <c t="s" r="C405">
        <v>525</v>
      </c>
      <c r="E405">
        <v>751.14</v>
      </c>
      <c s="26" r="F405">
        <f>G405-E405</f>
        <v>37.557</v>
      </c>
      <c s="26" r="G405">
        <f>E405*H405</f>
        <v>788.697</v>
      </c>
      <c s="19" r="H405">
        <v>1.05</v>
      </c>
    </row>
    <row r="406">
      <c r="A406">
        <v>277</v>
      </c>
      <c r="B406">
        <v>1681</v>
      </c>
      <c t="s" r="C406">
        <v>518</v>
      </c>
      <c r="E406">
        <v>168.1</v>
      </c>
      <c s="26" r="F406">
        <f>G406-E406</f>
        <v>10.086</v>
      </c>
      <c s="26" r="G406">
        <f>E406*H406</f>
        <v>178.186</v>
      </c>
      <c s="19" r="H406">
        <v>1.06</v>
      </c>
    </row>
    <row r="407">
      <c r="A407">
        <v>277</v>
      </c>
      <c r="B407">
        <v>1284</v>
      </c>
      <c t="s" r="C407">
        <v>525</v>
      </c>
      <c r="E407">
        <v>38.52</v>
      </c>
      <c s="26" r="F407">
        <f>G407-E407</f>
        <v>1.926</v>
      </c>
      <c s="26" r="G407">
        <f>E407*H407</f>
        <v>40.446</v>
      </c>
      <c s="19" r="H407">
        <v>1.05</v>
      </c>
    </row>
    <row r="408">
      <c r="A408">
        <v>277</v>
      </c>
      <c r="B408">
        <v>292</v>
      </c>
      <c t="s" r="C408">
        <v>510</v>
      </c>
      <c r="E408">
        <v>14.6</v>
      </c>
      <c s="26" r="F408">
        <f>G408-E408</f>
        <v>0.876000000000001</v>
      </c>
      <c s="26" r="G408">
        <f>E408*H408</f>
        <v>15.476</v>
      </c>
      <c s="19" r="H408">
        <v>1.06</v>
      </c>
    </row>
    <row r="409">
      <c r="A409">
        <v>277</v>
      </c>
      <c r="B409">
        <v>1681</v>
      </c>
      <c t="s" r="C409">
        <v>518</v>
      </c>
      <c r="E409">
        <v>168.1</v>
      </c>
      <c s="26" r="F409">
        <f>G409-E409</f>
        <v>8.405</v>
      </c>
      <c s="26" r="G409">
        <f>E409*H409</f>
        <v>176.505</v>
      </c>
      <c s="19" r="H409">
        <v>1.05</v>
      </c>
    </row>
    <row r="410">
      <c r="A410">
        <v>277</v>
      </c>
      <c r="B410">
        <v>1681</v>
      </c>
      <c t="s" r="C410">
        <v>518</v>
      </c>
      <c r="E410">
        <v>168.1</v>
      </c>
      <c s="26" r="F410">
        <f>G410-E410</f>
        <v>8.405</v>
      </c>
      <c s="26" r="G410">
        <f>E410*H410</f>
        <v>176.505</v>
      </c>
      <c s="19" r="H410">
        <v>1.05</v>
      </c>
    </row>
    <row r="411">
      <c r="A411">
        <v>277</v>
      </c>
      <c r="B411">
        <v>6</v>
      </c>
      <c t="s" r="C411">
        <v>526</v>
      </c>
      <c r="E411">
        <v>24</v>
      </c>
      <c s="26" r="F411">
        <f>G411-E411</f>
        <v>0</v>
      </c>
      <c s="26" r="G411">
        <f>E411*H411</f>
        <v>24</v>
      </c>
      <c s="19" r="H411">
        <v>1</v>
      </c>
    </row>
    <row r="412">
      <c r="A412">
        <v>277</v>
      </c>
      <c r="B412">
        <v>1</v>
      </c>
      <c t="s" r="C412">
        <v>499</v>
      </c>
      <c r="E412">
        <v>19.79</v>
      </c>
      <c s="26" r="F412">
        <f>G412-E412</f>
        <v>126.656</v>
      </c>
      <c s="26" r="G412">
        <f>E412*H412</f>
        <v>146.446</v>
      </c>
      <c s="19" r="H412">
        <v>7.4</v>
      </c>
    </row>
    <row r="413">
      <c r="A413">
        <v>278</v>
      </c>
      <c r="B413">
        <v>208</v>
      </c>
      <c t="s" r="C413">
        <v>527</v>
      </c>
      <c r="E413">
        <v>52</v>
      </c>
      <c s="26" r="F413">
        <f>G413-E413</f>
        <v>4.16</v>
      </c>
      <c s="26" r="G413">
        <f>E413*H413</f>
        <v>56.16</v>
      </c>
      <c s="19" r="H413">
        <v>1.08</v>
      </c>
    </row>
    <row r="414">
      <c r="A414">
        <v>278</v>
      </c>
      <c r="B414">
        <v>809</v>
      </c>
      <c t="s" r="C414">
        <v>510</v>
      </c>
      <c r="E414">
        <v>40.45</v>
      </c>
      <c s="26" r="F414">
        <f>G414-E414</f>
        <v>2.427</v>
      </c>
      <c s="26" r="G414">
        <f>E414*H414</f>
        <v>42.877</v>
      </c>
      <c s="19" r="H414">
        <v>1.06</v>
      </c>
    </row>
    <row r="415">
      <c r="A415">
        <v>279</v>
      </c>
      <c r="B415">
        <v>1</v>
      </c>
      <c t="s" r="C415">
        <v>521</v>
      </c>
      <c r="E415">
        <v>64.6</v>
      </c>
      <c s="26" r="F415">
        <f>G415-E415</f>
        <v>25.84</v>
      </c>
      <c s="26" r="G415">
        <f>E415*H415</f>
        <v>90.44</v>
      </c>
      <c s="19" r="H415">
        <v>1.4</v>
      </c>
    </row>
    <row r="416">
      <c r="A416">
        <v>279</v>
      </c>
      <c r="B416">
        <v>1</v>
      </c>
      <c t="s" r="C416">
        <v>528</v>
      </c>
      <c r="E416">
        <v>139</v>
      </c>
      <c s="26" r="F416">
        <f>G416-E416</f>
        <v>0</v>
      </c>
      <c s="26" r="G416">
        <f>E416*H416</f>
        <v>139</v>
      </c>
      <c s="19" r="H416">
        <v>1</v>
      </c>
    </row>
    <row r="417">
      <c r="A417">
        <v>279</v>
      </c>
      <c r="B417">
        <v>1</v>
      </c>
      <c t="s" r="C417">
        <v>529</v>
      </c>
      <c r="E417">
        <v>139.5</v>
      </c>
      <c s="26" r="F417">
        <f>G417-E417</f>
        <v>0</v>
      </c>
      <c s="26" r="G417">
        <f>E417*H417</f>
        <v>139.5</v>
      </c>
      <c s="19" r="H417">
        <v>1</v>
      </c>
    </row>
    <row r="418">
      <c r="A418">
        <v>280</v>
      </c>
      <c r="B418">
        <v>433</v>
      </c>
      <c t="s" r="C418">
        <v>384</v>
      </c>
      <c r="E418">
        <f>B418*0.01</f>
        <v>4.33</v>
      </c>
      <c s="26" r="F418">
        <f>G418-E418</f>
        <v>0.3464</v>
      </c>
      <c s="26" r="G418">
        <f>E418*H418</f>
        <v>4.6764</v>
      </c>
      <c s="19" r="H418">
        <v>1.08</v>
      </c>
    </row>
    <row r="419">
      <c r="A419">
        <v>280</v>
      </c>
      <c r="B419">
        <v>579</v>
      </c>
      <c t="s" r="C419">
        <v>519</v>
      </c>
      <c r="E419">
        <f>B419*0.01</f>
        <v>5.79</v>
      </c>
      <c s="26" r="F419">
        <f>G419-E419</f>
        <v>0.2316</v>
      </c>
      <c s="26" r="G419">
        <f>E419*H419</f>
        <v>6.0216</v>
      </c>
      <c s="19" r="H419">
        <v>1.04</v>
      </c>
    </row>
    <row r="420">
      <c r="A420">
        <v>281</v>
      </c>
      <c r="B420">
        <v>1174</v>
      </c>
      <c t="s" r="C420">
        <v>384</v>
      </c>
      <c r="E420">
        <f>B420*0.01</f>
        <v>11.74</v>
      </c>
      <c s="26" r="F420">
        <f>G420-E420</f>
        <v>0.939200000000001</v>
      </c>
      <c s="26" r="G420">
        <f>E420*H420</f>
        <v>12.6792</v>
      </c>
      <c s="19" r="H420">
        <v>1.08</v>
      </c>
    </row>
    <row r="421">
      <c r="A421">
        <v>282</v>
      </c>
      <c r="B421">
        <v>1450</v>
      </c>
      <c t="s" r="C421">
        <v>56</v>
      </c>
      <c r="E421">
        <v>435</v>
      </c>
      <c s="26" r="F421">
        <f>G421-E421</f>
        <v>34.8</v>
      </c>
      <c s="26" r="G421">
        <f>E421*H421</f>
        <v>469.8</v>
      </c>
      <c s="19" r="H421">
        <v>1.08</v>
      </c>
    </row>
    <row r="422">
      <c r="A422">
        <v>282</v>
      </c>
      <c r="B422">
        <v>42577</v>
      </c>
      <c t="s" r="C422">
        <v>513</v>
      </c>
      <c r="E422">
        <v>425.77</v>
      </c>
      <c s="26" r="F422">
        <f>G422-E422</f>
        <v>4.2577</v>
      </c>
      <c s="26" r="G422">
        <f>E422*H422</f>
        <v>430.0277</v>
      </c>
      <c s="19" r="H422">
        <v>1.01</v>
      </c>
    </row>
    <row r="423">
      <c r="A423">
        <v>283</v>
      </c>
      <c r="B423">
        <v>4028</v>
      </c>
      <c t="s" r="C423">
        <v>530</v>
      </c>
      <c r="E423">
        <v>805.6</v>
      </c>
      <c s="26" r="F423">
        <f>G423-E423</f>
        <v>16.112</v>
      </c>
      <c s="26" r="G423">
        <f>E423*H423</f>
        <v>821.712</v>
      </c>
      <c s="19" r="H423">
        <v>1.02</v>
      </c>
    </row>
    <row r="424">
      <c r="A424">
        <v>284</v>
      </c>
      <c r="B424">
        <v>205</v>
      </c>
      <c t="s" r="C424">
        <v>384</v>
      </c>
      <c r="E424">
        <f>B424*0.01</f>
        <v>2.05</v>
      </c>
      <c s="26" r="F424">
        <f>G424-E424</f>
        <v>0.164</v>
      </c>
      <c s="26" r="G424">
        <f>E424*H424</f>
        <v>2.214</v>
      </c>
      <c s="19" r="H424">
        <v>1.08</v>
      </c>
    </row>
    <row r="425">
      <c r="A425">
        <v>285</v>
      </c>
      <c r="B425">
        <v>383</v>
      </c>
      <c t="s" r="C425">
        <v>384</v>
      </c>
      <c r="E425">
        <f>B425*0.01</f>
        <v>3.83</v>
      </c>
      <c s="26" r="F425">
        <f>G425-E425</f>
        <v>0.3064</v>
      </c>
      <c s="26" r="G425">
        <f>E425*H425</f>
        <v>4.1364</v>
      </c>
      <c s="19" r="H425">
        <v>1.08</v>
      </c>
    </row>
    <row r="426">
      <c r="A426">
        <v>289</v>
      </c>
      <c r="B426">
        <v>351</v>
      </c>
      <c t="s" r="C426">
        <v>56</v>
      </c>
      <c r="E426">
        <v>105.3</v>
      </c>
      <c s="26" r="F426">
        <f>G426-E426</f>
        <v>8.42400000000001</v>
      </c>
      <c s="26" r="G426">
        <f>E426*H426</f>
        <v>113.724</v>
      </c>
      <c s="19" r="H426">
        <v>1.08</v>
      </c>
    </row>
    <row r="427">
      <c r="A427">
        <v>292</v>
      </c>
      <c r="B427">
        <v>242</v>
      </c>
      <c t="s" r="C427">
        <v>384</v>
      </c>
      <c r="E427">
        <f>B427*0.01</f>
        <v>2.42</v>
      </c>
      <c s="26" r="F427">
        <f>G427-E427</f>
        <v>0.1936</v>
      </c>
      <c s="26" r="G427">
        <f>E427*H427</f>
        <v>2.6136</v>
      </c>
      <c s="19" r="H427">
        <v>1.08</v>
      </c>
    </row>
    <row r="428">
      <c r="A428">
        <v>292</v>
      </c>
      <c r="B428">
        <v>132</v>
      </c>
      <c t="s" r="C428">
        <v>447</v>
      </c>
      <c r="E428">
        <f>B428*0.01</f>
        <v>1.32</v>
      </c>
      <c s="26" r="F428">
        <f>G428-E428</f>
        <v>0.1056</v>
      </c>
      <c s="26" r="G428">
        <f>E428*H428</f>
        <v>1.4256</v>
      </c>
      <c s="19" r="H428">
        <v>1.08</v>
      </c>
    </row>
    <row r="429">
      <c r="A429">
        <v>291</v>
      </c>
      <c r="B429">
        <v>1</v>
      </c>
      <c t="s" r="C429">
        <v>531</v>
      </c>
      <c r="E429">
        <v>1</v>
      </c>
      <c s="26" r="F429">
        <f>G429-E429</f>
        <v>299</v>
      </c>
      <c s="26" r="G429">
        <f>E429*H429</f>
        <v>300</v>
      </c>
      <c s="19" r="H429">
        <v>300</v>
      </c>
    </row>
    <row r="430">
      <c r="A430">
        <v>295</v>
      </c>
      <c r="B430">
        <v>337</v>
      </c>
      <c t="s" r="C430">
        <v>56</v>
      </c>
      <c r="E430">
        <v>101.1</v>
      </c>
      <c s="26" r="F430">
        <f>G430-E430</f>
        <v>7.07700000000001</v>
      </c>
      <c s="26" r="G430">
        <f>E430*H430</f>
        <v>108.177</v>
      </c>
      <c s="19" r="H430">
        <v>1.07</v>
      </c>
    </row>
    <row r="431">
      <c r="A431">
        <v>296</v>
      </c>
      <c r="B431">
        <v>2128</v>
      </c>
      <c t="s" r="C431">
        <v>384</v>
      </c>
      <c r="E431">
        <f>B431*0.01</f>
        <v>21.28</v>
      </c>
      <c s="26" r="F431">
        <f>G431-E431</f>
        <v>1.7024</v>
      </c>
      <c s="26" r="G431">
        <f>E431*H431</f>
        <v>22.9824</v>
      </c>
      <c s="19" r="H431">
        <v>1.08</v>
      </c>
    </row>
    <row r="432">
      <c r="A432">
        <v>296</v>
      </c>
      <c r="B432">
        <v>2384</v>
      </c>
      <c t="s" r="C432">
        <v>519</v>
      </c>
      <c r="E432">
        <f>B432*0.01</f>
        <v>23.84</v>
      </c>
      <c s="26" r="F432">
        <f>G432-E432</f>
        <v>0.953600000000002</v>
      </c>
      <c s="26" r="G432">
        <f>E432*H432</f>
        <v>24.7936</v>
      </c>
      <c s="19" r="H432">
        <v>1.04</v>
      </c>
    </row>
    <row r="433">
      <c r="A433">
        <v>300</v>
      </c>
      <c r="B433">
        <v>24107</v>
      </c>
      <c t="s" r="C433">
        <v>384</v>
      </c>
      <c r="E433">
        <f>B433*0.01</f>
        <v>241.07</v>
      </c>
      <c s="26" r="F433">
        <f>G433-E433</f>
        <v>19.2856</v>
      </c>
      <c s="26" r="G433">
        <f>E433*H433</f>
        <v>260.3556</v>
      </c>
      <c s="19" r="H433">
        <v>1.08</v>
      </c>
    </row>
    <row r="434">
      <c r="A434">
        <v>300</v>
      </c>
      <c r="B434">
        <v>3734</v>
      </c>
      <c t="s" r="C434">
        <v>447</v>
      </c>
      <c r="E434">
        <f>B434*0.01</f>
        <v>37.34</v>
      </c>
      <c s="26" r="F434">
        <f>G434-E434</f>
        <v>2.9872</v>
      </c>
      <c s="26" r="G434">
        <f>E434*H434</f>
        <v>40.3272</v>
      </c>
      <c s="19" r="H434">
        <v>1.08</v>
      </c>
    </row>
    <row r="435">
      <c r="A435">
        <v>300</v>
      </c>
      <c r="B435">
        <v>95</v>
      </c>
      <c t="s" r="C435">
        <v>204</v>
      </c>
      <c r="E435">
        <v>38</v>
      </c>
      <c s="26" r="F435">
        <f>G435-E435</f>
        <v>95</v>
      </c>
      <c s="26" r="G435">
        <f>E435*H435</f>
        <v>133</v>
      </c>
      <c s="19" r="H435">
        <v>3.5</v>
      </c>
    </row>
    <row r="436">
      <c r="A436">
        <v>300</v>
      </c>
      <c r="B436">
        <v>1</v>
      </c>
      <c t="s" r="C436">
        <v>532</v>
      </c>
      <c r="E436">
        <v>0.01</v>
      </c>
      <c s="26" r="F436">
        <f>G436-E436</f>
        <v>23.99</v>
      </c>
      <c s="26" r="G436">
        <v>24</v>
      </c>
      <c s="19" r="H436">
        <f> 1 + ((G436-E436)/E436)</f>
        <v>2400</v>
      </c>
    </row>
    <row r="437">
      <c r="A437">
        <v>300</v>
      </c>
      <c r="B437">
        <v>1</v>
      </c>
      <c t="s" r="C437">
        <v>533</v>
      </c>
      <c r="E437">
        <v>0.01</v>
      </c>
      <c s="26" r="F437">
        <f>G437-E437</f>
        <v>3.99</v>
      </c>
      <c s="26" r="G437">
        <v>4</v>
      </c>
      <c s="19" r="H437">
        <f> 1 + ((G437-E437)/E437)</f>
        <v>400</v>
      </c>
    </row>
    <row r="438">
      <c r="A438">
        <v>300</v>
      </c>
      <c r="B438">
        <v>1</v>
      </c>
      <c t="s" r="C438">
        <v>534</v>
      </c>
      <c r="E438">
        <v>0.01</v>
      </c>
      <c s="26" r="F438">
        <f>G438-E438</f>
        <v>1.49</v>
      </c>
      <c s="26" r="G438">
        <v>1.5</v>
      </c>
      <c s="19" r="H438">
        <f> 1 + ((G438-E438)/E438)</f>
        <v>150</v>
      </c>
    </row>
    <row r="439">
      <c r="A439">
        <v>301</v>
      </c>
      <c r="B439">
        <v>4309</v>
      </c>
      <c t="s" r="C439">
        <v>384</v>
      </c>
      <c r="E439">
        <f>B439*0.01</f>
        <v>43.09</v>
      </c>
      <c s="26" r="F439">
        <f>G439-E439</f>
        <v>3.4472</v>
      </c>
      <c s="26" r="G439">
        <f>E439*H439</f>
        <v>46.5372</v>
      </c>
      <c s="19" r="H439">
        <v>1.08</v>
      </c>
    </row>
    <row r="440">
      <c r="A440">
        <v>301</v>
      </c>
      <c r="B440">
        <v>21</v>
      </c>
      <c t="s" r="C440">
        <v>227</v>
      </c>
      <c r="E440">
        <v>16.8</v>
      </c>
      <c s="26" r="F440">
        <f>G440-E440</f>
        <v>39.48</v>
      </c>
      <c s="26" r="G440">
        <f>E440*H440</f>
        <v>56.28</v>
      </c>
      <c s="19" r="H440">
        <v>3.35</v>
      </c>
    </row>
    <row r="441">
      <c r="A441">
        <v>303</v>
      </c>
      <c r="B441">
        <v>208</v>
      </c>
      <c t="s" r="C441">
        <v>535</v>
      </c>
      <c r="E441">
        <v>8.32</v>
      </c>
      <c s="26" r="F441">
        <f>G441-E441</f>
        <v>2.8288</v>
      </c>
      <c s="26" r="G441">
        <f>E441*H441</f>
        <v>11.1488</v>
      </c>
      <c s="19" r="H441">
        <v>1.34</v>
      </c>
    </row>
    <row r="442">
      <c r="A442">
        <v>303</v>
      </c>
      <c r="B442">
        <v>964</v>
      </c>
      <c t="s" r="C442">
        <v>384</v>
      </c>
      <c r="E442">
        <f>B442*0.01</f>
        <v>9.64</v>
      </c>
      <c s="26" r="F442">
        <f>G442-E442</f>
        <v>0.7712</v>
      </c>
      <c s="26" r="G442">
        <f>E442*H442</f>
        <v>10.4112</v>
      </c>
      <c s="19" r="H442">
        <v>1.08</v>
      </c>
    </row>
    <row r="443">
      <c r="A443">
        <v>304</v>
      </c>
      <c r="B443">
        <v>860</v>
      </c>
      <c t="s" r="C443">
        <v>384</v>
      </c>
      <c r="E443">
        <f>B443*0.01</f>
        <v>8.6</v>
      </c>
      <c s="26" r="F443">
        <f>G443-E443</f>
        <v>0.688000000000001</v>
      </c>
      <c s="26" r="G443">
        <f>E443*H443</f>
        <v>9.288</v>
      </c>
      <c s="19" r="H443">
        <v>1.08</v>
      </c>
    </row>
    <row r="444">
      <c r="A444">
        <v>306</v>
      </c>
      <c r="B444">
        <v>17</v>
      </c>
      <c t="s" r="C444">
        <v>536</v>
      </c>
      <c r="E444">
        <v>3.4</v>
      </c>
      <c s="26" r="F444">
        <f>G444-E444</f>
        <v>0.238</v>
      </c>
      <c s="26" r="G444">
        <f>E444*H444</f>
        <v>3.638</v>
      </c>
      <c s="19" r="H444">
        <v>1.07</v>
      </c>
    </row>
    <row r="445">
      <c r="A445">
        <v>306</v>
      </c>
      <c r="B445">
        <v>47</v>
      </c>
      <c t="s" r="C445">
        <v>537</v>
      </c>
      <c r="E445">
        <v>14.1</v>
      </c>
      <c s="26" r="F445">
        <f>G445-E445</f>
        <v>1.128</v>
      </c>
      <c s="26" r="G445">
        <f>E445*H445</f>
        <v>15.228</v>
      </c>
      <c s="19" r="H445">
        <v>1.08</v>
      </c>
    </row>
    <row r="446">
      <c r="A446">
        <v>306</v>
      </c>
      <c r="B446">
        <v>281</v>
      </c>
      <c t="s" r="C446">
        <v>538</v>
      </c>
      <c r="E446">
        <v>2.81</v>
      </c>
      <c s="26" r="F446">
        <f>G446-E446</f>
        <v>0.1405</v>
      </c>
      <c s="26" r="G446">
        <f>E446*H446</f>
        <v>2.9505</v>
      </c>
      <c s="19" r="H446">
        <v>1.05</v>
      </c>
    </row>
    <row r="447">
      <c r="A447">
        <v>306</v>
      </c>
      <c r="B447">
        <v>38</v>
      </c>
      <c t="s" r="C447">
        <v>539</v>
      </c>
      <c r="E447">
        <v>4.56</v>
      </c>
      <c s="26" r="F447">
        <f>G447-E447</f>
        <v>0.2508</v>
      </c>
      <c s="26" r="G447">
        <f>E447*H447</f>
        <v>4.8108</v>
      </c>
      <c s="19" r="H447">
        <v>1.055</v>
      </c>
    </row>
    <row r="448">
      <c r="A448">
        <v>306</v>
      </c>
      <c r="B448">
        <v>19</v>
      </c>
      <c t="s" r="C448">
        <v>540</v>
      </c>
      <c r="E448">
        <v>9.69</v>
      </c>
      <c s="26" r="F448">
        <f>G448-E448</f>
        <v>5.3295</v>
      </c>
      <c s="26" r="G448">
        <f>E448*H448</f>
        <v>15.0195</v>
      </c>
      <c s="19" r="H448">
        <v>1.55</v>
      </c>
    </row>
    <row r="449">
      <c r="A449">
        <v>306</v>
      </c>
      <c r="B449">
        <v>5</v>
      </c>
      <c t="s" r="C449">
        <v>541</v>
      </c>
      <c r="E449">
        <v>3.75</v>
      </c>
      <c s="26" r="F449">
        <f>G449-E449</f>
        <v>0.1125</v>
      </c>
      <c s="26" r="G449">
        <f>E449*H449</f>
        <v>3.8625</v>
      </c>
      <c s="19" r="H449">
        <v>1.03</v>
      </c>
    </row>
    <row r="450">
      <c r="A450">
        <v>306</v>
      </c>
      <c r="B450">
        <v>44</v>
      </c>
      <c t="s" r="C450">
        <v>542</v>
      </c>
      <c r="E450">
        <v>7.04</v>
      </c>
      <c s="26" r="F450">
        <f>G450-E450</f>
        <v>0.352</v>
      </c>
      <c s="26" r="G450">
        <f>E450*H450</f>
        <v>7.392</v>
      </c>
      <c s="19" r="H450">
        <v>1.05</v>
      </c>
    </row>
    <row r="451">
      <c r="A451">
        <v>309</v>
      </c>
      <c r="B451">
        <v>517</v>
      </c>
      <c t="s" r="C451">
        <v>384</v>
      </c>
      <c r="E451">
        <f>B451*0.01</f>
        <v>5.17</v>
      </c>
      <c s="26" r="F451">
        <f>G451-E451</f>
        <v>0.413600000000001</v>
      </c>
      <c s="26" r="G451">
        <f>E451*H451</f>
        <v>5.5836</v>
      </c>
      <c s="19" r="H451">
        <v>1.08</v>
      </c>
    </row>
    <row r="452">
      <c r="A452">
        <v>310</v>
      </c>
      <c r="B452">
        <v>368</v>
      </c>
      <c t="s" r="C452">
        <v>384</v>
      </c>
      <c r="E452">
        <f>B452*0.01</f>
        <v>3.68</v>
      </c>
      <c s="26" r="F452">
        <f>G452-E452</f>
        <v>0.2944</v>
      </c>
      <c s="26" r="G452">
        <f>E452*H452</f>
        <v>3.9744</v>
      </c>
      <c s="19" r="H452">
        <v>1.08</v>
      </c>
    </row>
    <row r="453">
      <c r="A453">
        <v>312</v>
      </c>
      <c r="B453">
        <v>1</v>
      </c>
      <c t="s" r="C453">
        <v>543</v>
      </c>
      <c r="E453">
        <v>108</v>
      </c>
      <c s="26" r="F453">
        <f>G453-E453</f>
        <v>32.4</v>
      </c>
      <c s="26" r="G453">
        <f>E453*H453</f>
        <v>140.4</v>
      </c>
      <c s="19" r="H453">
        <v>1.3</v>
      </c>
    </row>
    <row r="454">
      <c r="A454">
        <v>316</v>
      </c>
      <c r="B454">
        <v>31</v>
      </c>
      <c t="s" r="C454">
        <v>490</v>
      </c>
      <c r="E454">
        <v>4.03</v>
      </c>
      <c s="26" r="F454">
        <f>G454-E454</f>
        <v>0.3627</v>
      </c>
      <c s="26" r="G454">
        <f>E454*H454</f>
        <v>4.3927</v>
      </c>
      <c s="19" r="H454">
        <v>1.09</v>
      </c>
    </row>
    <row r="455">
      <c r="A455">
        <v>317</v>
      </c>
      <c r="B455">
        <v>378</v>
      </c>
      <c t="s" r="C455">
        <v>384</v>
      </c>
      <c r="E455">
        <f>B455*0.01</f>
        <v>3.78</v>
      </c>
      <c s="26" r="F455">
        <f>G455-E455</f>
        <v>0.3024</v>
      </c>
      <c s="26" r="G455">
        <f>E455*H455</f>
        <v>4.0824</v>
      </c>
      <c s="19" r="H455">
        <v>1.08</v>
      </c>
    </row>
    <row r="456">
      <c r="A456">
        <v>319</v>
      </c>
      <c r="B456">
        <v>1</v>
      </c>
      <c t="s" r="C456">
        <v>531</v>
      </c>
      <c r="E456">
        <v>1</v>
      </c>
      <c s="26" r="F456">
        <f>G456-E456</f>
        <v>35</v>
      </c>
      <c s="26" r="G456">
        <f>E456*H456</f>
        <v>36</v>
      </c>
      <c s="19" r="H456">
        <v>36</v>
      </c>
    </row>
    <row r="457">
      <c r="A457">
        <v>320</v>
      </c>
      <c r="B457">
        <v>1717</v>
      </c>
      <c t="s" r="C457">
        <v>56</v>
      </c>
      <c r="E457">
        <v>515.1</v>
      </c>
      <c s="26" r="F457">
        <f>G457-E457</f>
        <v>30.9060000000001</v>
      </c>
      <c s="26" r="G457">
        <f>E457*H457</f>
        <v>546.006</v>
      </c>
      <c s="19" r="H457">
        <v>1.06</v>
      </c>
    </row>
    <row r="458">
      <c r="A458">
        <v>320</v>
      </c>
      <c r="B458">
        <v>58823</v>
      </c>
      <c t="s" r="C458">
        <v>513</v>
      </c>
      <c r="E458">
        <v>588.23</v>
      </c>
      <c s="26" r="F458">
        <f>G458-E458</f>
        <v>1.76468999999997</v>
      </c>
      <c s="26" r="G458">
        <f>E458*H458</f>
        <v>589.99469</v>
      </c>
      <c s="19" r="H458">
        <v>1.003</v>
      </c>
    </row>
    <row r="459">
      <c r="A459">
        <v>321</v>
      </c>
      <c r="B459">
        <v>3024</v>
      </c>
      <c t="s" r="C459">
        <v>384</v>
      </c>
      <c r="E459">
        <f>B459*0.01</f>
        <v>30.24</v>
      </c>
      <c s="26" r="F459">
        <f>G459-E459</f>
        <v>2.4192</v>
      </c>
      <c s="26" r="G459">
        <f>E459*H459</f>
        <v>32.6592</v>
      </c>
      <c s="19" r="H459">
        <v>1.08</v>
      </c>
    </row>
    <row r="460">
      <c r="A460">
        <v>322</v>
      </c>
      <c r="B460">
        <v>905</v>
      </c>
      <c t="s" r="C460">
        <v>384</v>
      </c>
      <c r="E460">
        <f>B460*0.01</f>
        <v>9.05</v>
      </c>
      <c s="26" r="F460">
        <f>G460-E460</f>
        <v>0.724</v>
      </c>
      <c s="26" r="G460">
        <f>E460*H460</f>
        <v>9.774</v>
      </c>
      <c s="19" r="H460">
        <v>1.08</v>
      </c>
    </row>
    <row r="461">
      <c r="A461">
        <v>323</v>
      </c>
      <c r="B461">
        <v>6018</v>
      </c>
      <c t="s" r="C461">
        <v>384</v>
      </c>
      <c r="E461">
        <f>B461*0.01</f>
        <v>60.18</v>
      </c>
      <c s="26" r="F461">
        <f>G461-E461</f>
        <v>4.8144</v>
      </c>
      <c s="26" r="G461">
        <f>E461*H461</f>
        <v>64.9944</v>
      </c>
      <c s="19" r="H461">
        <v>1.08</v>
      </c>
    </row>
    <row r="462">
      <c r="A462">
        <v>327</v>
      </c>
      <c r="B462">
        <v>1</v>
      </c>
      <c t="s" r="C462">
        <v>544</v>
      </c>
      <c r="E462">
        <v>182.7</v>
      </c>
      <c s="26" r="F462">
        <f>G462-E462</f>
        <v>40.194</v>
      </c>
      <c s="26" r="G462">
        <f>E462*H462</f>
        <v>222.894</v>
      </c>
      <c s="19" r="H462">
        <v>1.22</v>
      </c>
    </row>
    <row r="463">
      <c r="A463">
        <v>333</v>
      </c>
      <c r="B463">
        <v>1</v>
      </c>
      <c t="s" r="C463">
        <v>545</v>
      </c>
      <c r="E463">
        <v>46.8</v>
      </c>
      <c s="26" r="F463">
        <f>G463-E463</f>
        <v>2.808</v>
      </c>
      <c s="26" r="G463">
        <f>E463*H463</f>
        <v>49.608</v>
      </c>
      <c s="19" r="H463">
        <v>1.06</v>
      </c>
    </row>
    <row r="464">
      <c r="A464">
        <v>324</v>
      </c>
      <c r="B464">
        <v>940</v>
      </c>
      <c t="s" r="C464">
        <v>384</v>
      </c>
      <c r="E464">
        <f>B464*0.01</f>
        <v>9.4</v>
      </c>
      <c s="26" r="F464">
        <f>G464-E464</f>
        <v>0.752000000000001</v>
      </c>
      <c s="26" r="G464">
        <f>E464*H464</f>
        <v>10.152</v>
      </c>
      <c s="19" r="H464">
        <v>1.08</v>
      </c>
    </row>
    <row r="465">
      <c r="A465">
        <v>324</v>
      </c>
      <c r="B465">
        <v>3</v>
      </c>
      <c t="s" r="C465">
        <v>192</v>
      </c>
      <c r="E465">
        <v>1.8</v>
      </c>
      <c s="26" r="F465">
        <f>G465-E465</f>
        <v>0.594</v>
      </c>
      <c s="26" r="G465">
        <f>E465*H465</f>
        <v>2.394</v>
      </c>
      <c s="19" r="H465">
        <v>1.33</v>
      </c>
    </row>
    <row r="466">
      <c r="A466">
        <v>325</v>
      </c>
      <c r="B466">
        <v>15801</v>
      </c>
      <c t="s" r="C466">
        <v>384</v>
      </c>
      <c r="E466">
        <f>B466*0.01</f>
        <v>158.01</v>
      </c>
      <c s="26" r="F466">
        <f>G466-E466</f>
        <v>12.6408</v>
      </c>
      <c s="26" r="G466">
        <f>E466*H466</f>
        <v>170.6508</v>
      </c>
      <c s="19" r="H466">
        <v>1.08</v>
      </c>
    </row>
    <row r="467">
      <c r="A467">
        <v>325</v>
      </c>
      <c r="B467">
        <v>8329</v>
      </c>
      <c t="s" r="C467">
        <v>447</v>
      </c>
      <c r="E467">
        <f>B467*0.01</f>
        <v>83.29</v>
      </c>
      <c s="26" r="F467">
        <f>G467-E467</f>
        <v>6.6632</v>
      </c>
      <c s="26" r="G467">
        <f>E467*H467</f>
        <v>89.9532</v>
      </c>
      <c s="19" r="H467">
        <v>1.08</v>
      </c>
    </row>
    <row r="468">
      <c r="A468">
        <v>325</v>
      </c>
      <c r="B468">
        <v>57</v>
      </c>
      <c t="s" r="C468">
        <v>204</v>
      </c>
      <c r="E468">
        <v>22.8</v>
      </c>
      <c s="26" r="F468">
        <f>G468-E468</f>
        <v>57</v>
      </c>
      <c s="26" r="G468">
        <f>E468*H468</f>
        <v>79.8</v>
      </c>
      <c s="19" r="H468">
        <v>3.5</v>
      </c>
    </row>
    <row r="469">
      <c r="A469">
        <v>326</v>
      </c>
      <c r="B469">
        <v>11189</v>
      </c>
      <c t="s" r="C469">
        <v>384</v>
      </c>
      <c r="E469">
        <f>B469*0.01</f>
        <v>111.89</v>
      </c>
      <c s="26" r="F469">
        <f>G469-E469</f>
        <v>8.95120000000001</v>
      </c>
      <c s="26" r="G469">
        <f>E469*H469</f>
        <v>120.8412</v>
      </c>
      <c s="19" r="H469">
        <v>1.08</v>
      </c>
    </row>
    <row r="470">
      <c r="A470">
        <v>326</v>
      </c>
      <c r="B470">
        <v>335</v>
      </c>
      <c t="s" r="C470">
        <v>447</v>
      </c>
      <c r="E470">
        <f>B470*0.01</f>
        <v>3.35</v>
      </c>
      <c s="26" r="F470">
        <f>G470-E470</f>
        <v>0.268</v>
      </c>
      <c s="26" r="G470">
        <f>E470*H470</f>
        <v>3.618</v>
      </c>
      <c s="19" r="H470">
        <v>1.08</v>
      </c>
    </row>
    <row r="471">
      <c r="A471">
        <v>326</v>
      </c>
      <c r="B471">
        <v>24</v>
      </c>
      <c t="s" r="C471">
        <v>150</v>
      </c>
      <c r="E471">
        <v>9.6</v>
      </c>
      <c s="26" r="F471">
        <f>G471-E471</f>
        <v>14.592</v>
      </c>
      <c s="26" r="G471">
        <f>E471*H471</f>
        <v>24.192</v>
      </c>
      <c s="19" r="H471">
        <v>2.52</v>
      </c>
    </row>
    <row r="472">
      <c r="A472">
        <v>335</v>
      </c>
      <c r="B472">
        <v>2342</v>
      </c>
      <c t="s" r="C472">
        <v>384</v>
      </c>
      <c r="E472">
        <f>B472*0.01</f>
        <v>23.42</v>
      </c>
      <c s="26" r="F472">
        <f>G472-E472</f>
        <v>1.8736</v>
      </c>
      <c s="26" r="G472">
        <f>E472*H472</f>
        <v>25.2936</v>
      </c>
      <c s="19" r="H472">
        <v>1.08</v>
      </c>
    </row>
    <row r="473">
      <c r="A473">
        <v>336</v>
      </c>
      <c r="B473">
        <v>437</v>
      </c>
      <c t="s" r="C473">
        <v>384</v>
      </c>
      <c r="E473">
        <f>B473*0.01</f>
        <v>4.37</v>
      </c>
      <c s="26" r="F473">
        <f>G473-E473</f>
        <v>0.349600000000001</v>
      </c>
      <c s="26" r="G473">
        <f>E473*H473</f>
        <v>4.7196</v>
      </c>
      <c s="19" r="H473">
        <v>1.08</v>
      </c>
    </row>
    <row r="474">
      <c r="A474">
        <v>339</v>
      </c>
      <c r="B474">
        <v>1474</v>
      </c>
      <c t="s" r="C474">
        <v>56</v>
      </c>
      <c r="E474">
        <v>442.2</v>
      </c>
      <c s="26" r="F474">
        <f>G474-E474</f>
        <v>26.532</v>
      </c>
      <c s="26" r="G474">
        <f>E474*H474</f>
        <v>468.732</v>
      </c>
      <c s="19" r="H474">
        <v>1.06</v>
      </c>
    </row>
    <row r="475">
      <c r="A475">
        <v>339</v>
      </c>
      <c r="B475">
        <v>37222</v>
      </c>
      <c t="s" r="C475">
        <v>513</v>
      </c>
      <c r="E475">
        <v>372.22</v>
      </c>
      <c s="26" r="F475">
        <f>G475-E475</f>
        <v>3.72219999999999</v>
      </c>
      <c s="26" r="G475">
        <f>E475*H475</f>
        <v>375.9422</v>
      </c>
      <c s="19" r="H475">
        <v>1.01</v>
      </c>
    </row>
    <row r="476">
      <c r="A476">
        <v>340</v>
      </c>
      <c r="B476">
        <v>18299</v>
      </c>
      <c t="s" r="C476">
        <v>384</v>
      </c>
      <c r="E476">
        <f>B476*0.01</f>
        <v>182.99</v>
      </c>
      <c s="26" r="F476">
        <f>G476-E476</f>
        <v>14.6392</v>
      </c>
      <c s="26" r="G476">
        <f>E476*H476</f>
        <v>197.6292</v>
      </c>
      <c s="19" r="H476">
        <v>1.08</v>
      </c>
    </row>
    <row r="477">
      <c r="A477">
        <v>340</v>
      </c>
      <c r="B477">
        <v>23885</v>
      </c>
      <c t="s" r="C477">
        <v>513</v>
      </c>
      <c r="E477">
        <f>B477*0.01</f>
        <v>238.85</v>
      </c>
      <c s="26" r="F477">
        <f>G477-E477</f>
        <v>2.38849999999999</v>
      </c>
      <c s="26" r="G477">
        <f>E477*H477</f>
        <v>241.2385</v>
      </c>
      <c s="19" r="H477">
        <v>1.01</v>
      </c>
    </row>
    <row r="478">
      <c r="A478">
        <v>340</v>
      </c>
      <c r="B478">
        <v>1028</v>
      </c>
      <c t="s" r="C478">
        <v>88</v>
      </c>
      <c r="E478">
        <v>668.2</v>
      </c>
      <c s="26" r="F478">
        <f>G478-E478</f>
        <v>40.092</v>
      </c>
      <c s="26" r="G478">
        <f>E478*H478</f>
        <v>708.292</v>
      </c>
      <c s="19" r="H478">
        <v>1.06</v>
      </c>
    </row>
    <row r="479">
      <c r="A479">
        <v>340</v>
      </c>
      <c r="B479">
        <v>1</v>
      </c>
      <c t="s" r="C479">
        <v>546</v>
      </c>
      <c r="E479">
        <v>0.21</v>
      </c>
      <c s="26" r="F479">
        <f>G479-E479</f>
        <v>39.69</v>
      </c>
      <c s="26" r="G479">
        <f>E479*H479</f>
        <v>39.9</v>
      </c>
      <c s="19" r="H479">
        <v>190</v>
      </c>
    </row>
    <row r="480">
      <c r="A480">
        <v>344</v>
      </c>
      <c r="B480">
        <v>1</v>
      </c>
      <c t="s" r="C480">
        <v>547</v>
      </c>
      <c r="E480">
        <v>10</v>
      </c>
      <c s="26" r="F480">
        <f>G480-E480</f>
        <v>1.9</v>
      </c>
      <c s="26" r="G480">
        <f>E480*H480</f>
        <v>11.9</v>
      </c>
      <c s="19" r="H480">
        <v>1.19</v>
      </c>
    </row>
    <row r="481">
      <c r="A481">
        <v>346</v>
      </c>
      <c r="B481">
        <v>21849</v>
      </c>
      <c t="s" r="C481">
        <v>384</v>
      </c>
      <c r="E481">
        <f>B481*0.01</f>
        <v>218.49</v>
      </c>
      <c s="26" r="F481">
        <f>G481-E481</f>
        <v>17.4792</v>
      </c>
      <c s="26" r="G481">
        <f>E481*H481</f>
        <v>235.9692</v>
      </c>
      <c s="19" r="H481">
        <v>1.08</v>
      </c>
    </row>
    <row r="482">
      <c r="A482">
        <v>346</v>
      </c>
      <c r="B482">
        <v>875</v>
      </c>
      <c t="s" r="C482">
        <v>88</v>
      </c>
      <c r="E482">
        <v>568.75</v>
      </c>
      <c s="26" r="F482">
        <f>G482-E482</f>
        <v>28.4375</v>
      </c>
      <c s="26" r="G482">
        <f>E482*H482</f>
        <v>597.1875</v>
      </c>
      <c s="19" r="H482">
        <v>1.05</v>
      </c>
    </row>
    <row r="483">
      <c r="A483">
        <v>346</v>
      </c>
      <c r="B483">
        <v>13546</v>
      </c>
      <c t="s" r="C483">
        <v>513</v>
      </c>
      <c r="E483">
        <f>B483*0.01</f>
        <v>135.46</v>
      </c>
      <c s="26" r="F483">
        <f>G483-E483</f>
        <v>1.3546</v>
      </c>
      <c s="26" r="G483">
        <f>E483*H483</f>
        <v>136.8146</v>
      </c>
      <c s="19" r="H483">
        <v>1.01</v>
      </c>
    </row>
    <row r="484">
      <c r="A484">
        <v>347</v>
      </c>
      <c r="B484">
        <v>16440</v>
      </c>
      <c t="s" r="C484">
        <v>384</v>
      </c>
      <c r="E484">
        <f>B484*0.01</f>
        <v>164.4</v>
      </c>
      <c s="26" r="F484">
        <f>G484-E484</f>
        <v>13.152</v>
      </c>
      <c s="26" r="G484">
        <f>E484*H484</f>
        <v>177.552</v>
      </c>
      <c s="19" r="H484">
        <v>1.08</v>
      </c>
    </row>
    <row r="485">
      <c r="A485">
        <v>348</v>
      </c>
      <c r="B485">
        <v>1</v>
      </c>
      <c t="s" r="C485">
        <v>544</v>
      </c>
      <c r="E485">
        <v>182.7</v>
      </c>
      <c s="26" r="F485">
        <f>G485-E485</f>
        <v>31.059</v>
      </c>
      <c s="26" r="G485">
        <f>E485*H485</f>
        <v>213.759</v>
      </c>
      <c s="19" r="H485">
        <v>1.17</v>
      </c>
    </row>
    <row r="486">
      <c r="A486">
        <v>349</v>
      </c>
      <c r="B486">
        <v>172</v>
      </c>
      <c t="s" r="C486">
        <v>68</v>
      </c>
      <c r="E486">
        <v>86</v>
      </c>
      <c s="26" r="F486">
        <f>G486-E486</f>
        <v>4.9966</v>
      </c>
      <c s="26" r="G486">
        <f>E486*H486</f>
        <v>90.9966</v>
      </c>
      <c s="19" r="H486">
        <v>1.0581</v>
      </c>
    </row>
    <row r="487">
      <c r="A487">
        <v>352</v>
      </c>
      <c r="B487">
        <v>1</v>
      </c>
      <c t="s" r="C487">
        <v>544</v>
      </c>
      <c r="E487">
        <v>64.35</v>
      </c>
      <c s="26" r="F487">
        <f>G487-E487</f>
        <v>10.9395</v>
      </c>
      <c s="26" r="G487">
        <f>E487*H487</f>
        <v>75.2895</v>
      </c>
      <c s="19" r="H487">
        <v>1.17</v>
      </c>
    </row>
    <row r="488">
      <c r="A488">
        <v>354</v>
      </c>
      <c r="B488">
        <v>2</v>
      </c>
      <c t="s" r="C488">
        <v>547</v>
      </c>
      <c r="E488">
        <v>20</v>
      </c>
      <c s="26" r="F488">
        <f>G488-E488</f>
        <v>3.8</v>
      </c>
      <c s="26" r="G488">
        <f>E488*H488</f>
        <v>23.8</v>
      </c>
      <c s="19" r="H488">
        <v>1.19</v>
      </c>
    </row>
    <row r="489">
      <c r="A489">
        <v>355</v>
      </c>
      <c r="B489">
        <v>3</v>
      </c>
      <c t="s" r="C489">
        <v>547</v>
      </c>
      <c r="E489">
        <v>30</v>
      </c>
      <c s="26" r="F489">
        <f>G489-E489</f>
        <v>5.7</v>
      </c>
      <c s="26" r="G489">
        <f>E489*H489</f>
        <v>35.7</v>
      </c>
      <c s="19" r="H489">
        <v>1.19</v>
      </c>
    </row>
    <row r="490">
      <c r="A490">
        <v>356</v>
      </c>
      <c r="B490">
        <v>1</v>
      </c>
      <c t="s" r="C490">
        <v>531</v>
      </c>
      <c r="E490">
        <v>1</v>
      </c>
      <c s="26" r="F490">
        <f>G490-E490</f>
        <v>94</v>
      </c>
      <c s="26" r="G490">
        <f>E490*H490</f>
        <v>95</v>
      </c>
      <c s="19" r="H490">
        <v>95</v>
      </c>
    </row>
    <row r="491">
      <c r="A491">
        <v>357</v>
      </c>
      <c r="B491">
        <v>1132</v>
      </c>
      <c t="s" r="C491">
        <v>56</v>
      </c>
      <c r="E491">
        <v>339.6</v>
      </c>
      <c s="26" r="F491">
        <f>G491-E491</f>
        <v>20.376</v>
      </c>
      <c s="26" r="G491">
        <f>E491*H491</f>
        <v>359.976</v>
      </c>
      <c s="19" r="H491">
        <v>1.06</v>
      </c>
    </row>
    <row r="492">
      <c r="A492">
        <v>357</v>
      </c>
      <c r="B492">
        <v>45819</v>
      </c>
      <c t="s" r="C492">
        <v>513</v>
      </c>
      <c r="E492">
        <f>B492*0.01</f>
        <v>458.19</v>
      </c>
      <c s="26" r="F492">
        <f>G492-E492</f>
        <v>1.60366500000004</v>
      </c>
      <c s="26" r="G492">
        <f>E492*H492</f>
        <v>459.793665</v>
      </c>
      <c s="19" r="H492">
        <v>1.0035</v>
      </c>
    </row>
    <row r="493">
      <c r="A493">
        <v>358</v>
      </c>
      <c r="B493">
        <v>2145</v>
      </c>
      <c t="s" r="C493">
        <v>384</v>
      </c>
      <c r="E493">
        <f>B493*0.01</f>
        <v>21.45</v>
      </c>
      <c s="26" r="F493">
        <f>G493-E493</f>
        <v>1.716</v>
      </c>
      <c s="26" r="G493">
        <f>E493*H493</f>
        <v>23.166</v>
      </c>
      <c s="19" r="H493">
        <v>1.08</v>
      </c>
    </row>
    <row r="494">
      <c r="A494">
        <v>359</v>
      </c>
      <c r="B494">
        <v>1</v>
      </c>
      <c t="s" r="C494">
        <v>548</v>
      </c>
      <c r="E494">
        <v>16.5</v>
      </c>
      <c s="26" r="F494">
        <f>G494-E494</f>
        <v>6.105</v>
      </c>
      <c s="26" r="G494">
        <f>E494*H494</f>
        <v>22.605</v>
      </c>
      <c s="19" r="H494">
        <v>1.37</v>
      </c>
    </row>
    <row r="495">
      <c r="A495">
        <v>359</v>
      </c>
      <c r="B495">
        <v>1</v>
      </c>
      <c t="s" r="C495">
        <v>549</v>
      </c>
      <c r="E495">
        <v>14.85</v>
      </c>
      <c s="26" r="F495">
        <f>G495-E495</f>
        <v>5.4945</v>
      </c>
      <c s="26" r="G495">
        <f>E495*H495</f>
        <v>20.3445</v>
      </c>
      <c s="19" r="H495">
        <v>1.37</v>
      </c>
    </row>
    <row r="496">
      <c r="A496">
        <v>361</v>
      </c>
      <c r="B496">
        <v>1</v>
      </c>
      <c t="s" r="C496">
        <v>550</v>
      </c>
      <c r="E496">
        <v>70</v>
      </c>
      <c s="26" r="F496">
        <f>G496-E496</f>
        <v>18.9</v>
      </c>
      <c s="26" r="G496">
        <f>E496*H496</f>
        <v>88.9</v>
      </c>
      <c s="19" r="H496">
        <v>1.27</v>
      </c>
    </row>
    <row r="497">
      <c r="A497">
        <v>361</v>
      </c>
      <c r="B497">
        <v>1</v>
      </c>
      <c t="s" r="C497">
        <v>551</v>
      </c>
      <c r="E497">
        <v>22.7</v>
      </c>
      <c s="26" r="F497">
        <f>G497-E497</f>
        <v>6.129</v>
      </c>
      <c s="26" r="G497">
        <f>E497*H497</f>
        <v>28.829</v>
      </c>
      <c s="19" r="H497">
        <v>1.27</v>
      </c>
    </row>
    <row r="498">
      <c r="A498">
        <v>363</v>
      </c>
      <c r="B498">
        <v>1230</v>
      </c>
      <c t="s" r="C498">
        <v>56</v>
      </c>
      <c r="E498">
        <v>369</v>
      </c>
      <c s="26" r="F498">
        <f>G498-E498</f>
        <v>18.45</v>
      </c>
      <c s="26" r="G498">
        <f>E498*H498</f>
        <v>387.45</v>
      </c>
      <c s="19" r="H498">
        <v>1.05</v>
      </c>
    </row>
    <row r="499">
      <c r="A499">
        <v>364</v>
      </c>
      <c r="B499">
        <v>209</v>
      </c>
      <c t="s" r="C499">
        <v>68</v>
      </c>
      <c r="E499">
        <v>104.5</v>
      </c>
      <c s="26" r="F499">
        <f>G499-E499</f>
        <v>5.22500000000001</v>
      </c>
      <c s="26" r="G499">
        <f>E499*H499</f>
        <v>109.725</v>
      </c>
      <c s="19" r="H499">
        <v>1.05</v>
      </c>
    </row>
    <row r="500">
      <c r="A500">
        <v>369</v>
      </c>
      <c r="B500">
        <v>16694</v>
      </c>
      <c t="s" r="C500">
        <v>384</v>
      </c>
      <c r="E500">
        <f>B500*0.01</f>
        <v>166.94</v>
      </c>
      <c s="26" r="F500">
        <f>G500-E500</f>
        <v>12.5205</v>
      </c>
      <c s="26" r="G500">
        <f>E500*H500</f>
        <v>179.4605</v>
      </c>
      <c s="19" r="H500">
        <v>1.075</v>
      </c>
    </row>
    <row r="501">
      <c r="A501">
        <v>370</v>
      </c>
      <c r="B501">
        <v>1</v>
      </c>
      <c t="s" r="C501">
        <v>552</v>
      </c>
      <c r="E501">
        <v>6.45</v>
      </c>
      <c s="26" r="F501">
        <f>G501-E501</f>
        <v>1.548</v>
      </c>
      <c s="26" r="G501">
        <f>E501*H501</f>
        <v>7.998</v>
      </c>
      <c s="19" r="H501">
        <v>1.24</v>
      </c>
    </row>
    <row r="502">
      <c r="A502">
        <v>371</v>
      </c>
      <c r="B502">
        <v>1138</v>
      </c>
      <c t="s" r="C502">
        <v>384</v>
      </c>
      <c r="E502">
        <f>B502*0.01</f>
        <v>11.38</v>
      </c>
      <c s="26" r="F502">
        <f>G502-E502</f>
        <v>0.796600000000002</v>
      </c>
      <c s="26" r="G502">
        <f>E502*H502</f>
        <v>12.1766</v>
      </c>
      <c s="19" r="H502">
        <v>1.07</v>
      </c>
    </row>
    <row r="503">
      <c r="A503">
        <v>377</v>
      </c>
      <c r="B503">
        <v>4426</v>
      </c>
      <c t="s" r="C503">
        <v>384</v>
      </c>
      <c r="E503">
        <f>B503*0.01</f>
        <v>44.26</v>
      </c>
      <c s="26" r="F503">
        <f>G503-E503</f>
        <v>3.09820000000001</v>
      </c>
      <c s="26" r="G503">
        <f>E503*H503</f>
        <v>47.3582</v>
      </c>
      <c s="19" r="H503">
        <v>1.07</v>
      </c>
    </row>
    <row r="504">
      <c r="A504">
        <v>379</v>
      </c>
      <c r="B504">
        <v>1651</v>
      </c>
      <c t="s" r="C504">
        <v>384</v>
      </c>
      <c r="E504">
        <f>B504*0.01</f>
        <v>16.51</v>
      </c>
      <c s="26" r="F504">
        <f>G504-E504</f>
        <v>1.23825</v>
      </c>
      <c s="26" r="G504">
        <f>E504*H504</f>
        <v>17.74825</v>
      </c>
      <c s="19" r="H504">
        <v>1.075</v>
      </c>
    </row>
    <row r="505">
      <c r="A505">
        <v>380</v>
      </c>
      <c r="B505">
        <v>3334</v>
      </c>
      <c t="s" r="C505">
        <v>384</v>
      </c>
      <c r="E505">
        <f>B505*0.01</f>
        <v>33.34</v>
      </c>
      <c s="26" r="F505">
        <f>G505-E505</f>
        <v>2.5005</v>
      </c>
      <c s="26" r="G505">
        <f>E505*H505</f>
        <v>35.8405</v>
      </c>
      <c s="19" r="H505">
        <v>1.075</v>
      </c>
    </row>
    <row r="506">
      <c r="A506">
        <v>381</v>
      </c>
      <c r="B506">
        <v>815</v>
      </c>
      <c t="s" r="C506">
        <v>384</v>
      </c>
      <c r="E506">
        <f>B506*0.01</f>
        <v>8.15</v>
      </c>
      <c s="26" r="F506">
        <f>G506-E506</f>
        <v>0.61125</v>
      </c>
      <c s="26" r="G506">
        <f>E506*H506</f>
        <v>8.76125</v>
      </c>
      <c s="19" r="H506">
        <v>1.075</v>
      </c>
    </row>
    <row r="507">
      <c r="A507">
        <v>382</v>
      </c>
      <c r="B507">
        <v>1</v>
      </c>
      <c t="s" r="C507">
        <v>531</v>
      </c>
      <c r="E507">
        <v>1</v>
      </c>
      <c s="26" r="F507">
        <f>G507-E507</f>
        <v>89</v>
      </c>
      <c s="26" r="G507">
        <f>E507*H507</f>
        <v>90</v>
      </c>
      <c s="19" r="H507">
        <v>90</v>
      </c>
    </row>
    <row r="508">
      <c r="A508">
        <v>382</v>
      </c>
      <c r="B508">
        <v>1</v>
      </c>
      <c t="s" r="C508">
        <v>547</v>
      </c>
      <c r="E508">
        <v>10</v>
      </c>
      <c s="26" r="F508">
        <f>G508-E508</f>
        <v>2</v>
      </c>
      <c s="26" r="G508">
        <f>E508*H508</f>
        <v>12</v>
      </c>
      <c s="19" r="H508">
        <v>1.2</v>
      </c>
    </row>
    <row r="509">
      <c r="A509">
        <v>383</v>
      </c>
      <c r="B509">
        <v>4550</v>
      </c>
      <c t="s" r="C509">
        <v>384</v>
      </c>
      <c r="E509">
        <f>B509*0.01</f>
        <v>45.5</v>
      </c>
      <c s="26" r="F509">
        <f>G509-E509</f>
        <v>3.4125</v>
      </c>
      <c s="26" r="G509">
        <f>E509*H509</f>
        <v>48.9125</v>
      </c>
      <c s="19" r="H509">
        <v>1.075</v>
      </c>
    </row>
    <row r="510">
      <c r="A510">
        <v>384</v>
      </c>
      <c r="B510">
        <v>3</v>
      </c>
      <c t="s" r="C510">
        <v>547</v>
      </c>
      <c r="E510">
        <v>30</v>
      </c>
      <c s="26" r="F510">
        <f>G510-E510</f>
        <v>6</v>
      </c>
      <c s="26" r="G510">
        <f>E510*H510</f>
        <v>36</v>
      </c>
      <c s="19" r="H510">
        <v>1.2</v>
      </c>
    </row>
    <row r="511">
      <c r="A511">
        <v>384</v>
      </c>
      <c r="B511">
        <v>1</v>
      </c>
      <c t="s" r="C511">
        <v>544</v>
      </c>
      <c r="E511">
        <v>182.7</v>
      </c>
      <c s="26" r="F511">
        <f>G511-E511</f>
        <v>32.886</v>
      </c>
      <c s="26" r="G511">
        <f>E511*H511</f>
        <v>215.586</v>
      </c>
      <c s="19" r="H511">
        <v>1.18</v>
      </c>
    </row>
    <row r="512">
      <c r="A512">
        <v>384</v>
      </c>
      <c r="B512">
        <v>1</v>
      </c>
      <c t="s" r="C512">
        <v>553</v>
      </c>
      <c r="E512">
        <v>35.08</v>
      </c>
      <c s="26" r="F512">
        <f>G512-E512</f>
        <v>8.77</v>
      </c>
      <c s="26" r="G512">
        <f>E512*H512</f>
        <v>43.85</v>
      </c>
      <c s="19" r="H512">
        <v>1.25</v>
      </c>
    </row>
    <row r="513">
      <c r="A513">
        <v>384</v>
      </c>
      <c r="B513">
        <v>1</v>
      </c>
      <c t="s" r="C513">
        <v>554</v>
      </c>
      <c r="E513">
        <v>39.6</v>
      </c>
      <c s="26" r="F513">
        <f>G513-E513</f>
        <v>16.236</v>
      </c>
      <c s="26" r="G513">
        <f>E513*H513</f>
        <v>55.836</v>
      </c>
      <c s="19" r="H513">
        <v>1.41</v>
      </c>
    </row>
    <row r="514">
      <c r="A514">
        <v>385</v>
      </c>
      <c r="B514">
        <v>2479</v>
      </c>
      <c t="s" r="C514">
        <v>384</v>
      </c>
      <c r="E514">
        <f>B514*0.01</f>
        <v>24.79</v>
      </c>
      <c s="26" r="F514">
        <f>G514-E514</f>
        <v>1.85925</v>
      </c>
      <c s="26" r="G514">
        <f>E514*H514</f>
        <v>26.64925</v>
      </c>
      <c s="19" r="H514">
        <v>1.075</v>
      </c>
    </row>
    <row r="515">
      <c r="A515">
        <v>386</v>
      </c>
      <c r="B515">
        <v>1</v>
      </c>
      <c t="s" r="C515">
        <v>555</v>
      </c>
      <c r="E515">
        <v>62</v>
      </c>
      <c s="26" r="F515">
        <f>G515-E515</f>
        <v>15.5</v>
      </c>
      <c s="26" r="G515">
        <f>E515*H515</f>
        <v>77.5</v>
      </c>
      <c s="19" r="H515">
        <v>1.25</v>
      </c>
    </row>
    <row r="516">
      <c r="A516">
        <v>387</v>
      </c>
      <c r="B516">
        <v>1</v>
      </c>
      <c t="s" r="C516">
        <v>531</v>
      </c>
      <c r="E516">
        <v>1</v>
      </c>
      <c s="26" r="F516">
        <f>G516-E516</f>
        <v>73</v>
      </c>
      <c s="26" r="G516">
        <f>E516*H516</f>
        <v>74</v>
      </c>
      <c s="19" r="H516">
        <v>74</v>
      </c>
    </row>
    <row r="517">
      <c r="A517">
        <v>387</v>
      </c>
      <c r="B517">
        <v>1</v>
      </c>
      <c t="s" r="C517">
        <v>549</v>
      </c>
      <c r="E517">
        <v>16.4</v>
      </c>
      <c s="26" r="F517">
        <f>G517-E517</f>
        <v>4.92</v>
      </c>
      <c s="26" r="G517">
        <f>E517*H517</f>
        <v>21.32</v>
      </c>
      <c s="19" r="H517">
        <v>1.3</v>
      </c>
    </row>
    <row r="518">
      <c r="A518">
        <v>391</v>
      </c>
      <c r="B518">
        <v>1</v>
      </c>
      <c t="s" r="C518">
        <v>556</v>
      </c>
      <c r="E518">
        <v>19</v>
      </c>
      <c s="26" r="F518">
        <f>G518-E518</f>
        <v>6.65</v>
      </c>
      <c s="26" r="G518">
        <f>E518*H518</f>
        <v>25.65</v>
      </c>
      <c s="19" r="H518">
        <v>1.35</v>
      </c>
    </row>
    <row r="519">
      <c r="A519">
        <v>393</v>
      </c>
      <c r="B519">
        <v>3</v>
      </c>
      <c t="s" r="C519">
        <v>557</v>
      </c>
      <c r="E519">
        <v>1.08</v>
      </c>
      <c s="26" r="F519">
        <f>G519-E519</f>
        <v>1.188</v>
      </c>
      <c s="26" r="G519">
        <f>E519*H519</f>
        <v>2.268</v>
      </c>
      <c s="19" r="H519">
        <v>2.1</v>
      </c>
    </row>
    <row r="520">
      <c r="A520">
        <v>394</v>
      </c>
      <c r="B520">
        <v>54</v>
      </c>
      <c t="s" r="C520">
        <v>490</v>
      </c>
      <c r="E520">
        <f>1.43+5.59</f>
        <v>7.02</v>
      </c>
      <c s="26" r="F520">
        <f>G520-E520</f>
        <v>0.702000000000001</v>
      </c>
      <c s="26" r="G520">
        <f>E520*H520</f>
        <v>7.722</v>
      </c>
      <c s="19" r="H520">
        <v>1.1</v>
      </c>
    </row>
    <row r="521">
      <c r="A521">
        <v>398</v>
      </c>
      <c r="B521">
        <v>156</v>
      </c>
      <c t="s" r="C521">
        <v>431</v>
      </c>
      <c r="E521">
        <f>0.2*B521</f>
        <v>31.2</v>
      </c>
      <c s="26" r="F521">
        <f>G521-E521</f>
        <v>8.736</v>
      </c>
      <c s="26" r="G521">
        <f>E521*H521</f>
        <v>39.936</v>
      </c>
      <c s="19" r="H521">
        <v>1.28</v>
      </c>
    </row>
    <row r="522">
      <c r="A522">
        <v>398</v>
      </c>
      <c r="B522">
        <v>112</v>
      </c>
      <c t="s" r="C522">
        <v>434</v>
      </c>
      <c r="E522">
        <f>0.17*B522</f>
        <v>19.04</v>
      </c>
      <c s="26" r="F522">
        <f>G522-E522</f>
        <v>3.808</v>
      </c>
      <c s="26" r="G522">
        <f>E522*H522</f>
        <v>22.848</v>
      </c>
      <c s="19" r="H522">
        <v>1.2</v>
      </c>
    </row>
    <row r="523">
      <c r="A523">
        <v>398</v>
      </c>
      <c r="B523">
        <v>7</v>
      </c>
      <c t="s" r="C523">
        <v>474</v>
      </c>
      <c r="E523">
        <f>1.2*B523</f>
        <v>8.4</v>
      </c>
      <c s="26" r="F523">
        <f>G523-E523</f>
        <v>1.176</v>
      </c>
      <c s="26" r="G523">
        <f>E523*H523</f>
        <v>9.576</v>
      </c>
      <c s="19" r="H523">
        <v>1.14</v>
      </c>
    </row>
    <row r="524">
      <c r="A524">
        <v>398</v>
      </c>
      <c r="B524">
        <v>25</v>
      </c>
      <c t="s" r="C524">
        <v>432</v>
      </c>
      <c r="E524">
        <f>0.8*B524</f>
        <v>20</v>
      </c>
      <c s="26" r="F524">
        <f>G524-E524</f>
        <v>4</v>
      </c>
      <c s="26" r="G524">
        <f>E524*H524</f>
        <v>24</v>
      </c>
      <c s="19" r="H524">
        <v>1.2</v>
      </c>
    </row>
    <row r="525">
      <c r="A525">
        <v>398</v>
      </c>
      <c r="B525">
        <v>627</v>
      </c>
      <c t="s" r="C525">
        <v>433</v>
      </c>
      <c r="E525">
        <f>B525*0.04</f>
        <v>25.08</v>
      </c>
      <c s="26" r="F525">
        <f>G525-E525</f>
        <v>3.0096</v>
      </c>
      <c s="26" r="G525">
        <f>E525*H525</f>
        <v>28.0896</v>
      </c>
      <c s="19" r="H525">
        <v>1.12</v>
      </c>
    </row>
    <row r="526">
      <c r="A526">
        <v>404</v>
      </c>
      <c r="B526">
        <v>96</v>
      </c>
      <c t="s" r="C526">
        <v>431</v>
      </c>
      <c r="E526">
        <f>0.2*B526</f>
        <v>19.2</v>
      </c>
      <c s="26" r="F526">
        <f>G526-E526</f>
        <v>5.376</v>
      </c>
      <c s="26" r="G526">
        <f>E526*H526</f>
        <v>24.576</v>
      </c>
      <c s="19" r="H526">
        <v>1.28</v>
      </c>
    </row>
    <row r="527">
      <c r="A527">
        <v>404</v>
      </c>
      <c r="B527">
        <v>9</v>
      </c>
      <c t="s" r="C527">
        <v>434</v>
      </c>
      <c r="E527">
        <f>0.17*B527</f>
        <v>1.53</v>
      </c>
      <c s="26" r="F527">
        <f>G527-E527</f>
        <v>0.306</v>
      </c>
      <c s="26" r="G527">
        <f>E527*H527</f>
        <v>1.836</v>
      </c>
      <c s="19" r="H527">
        <v>1.2</v>
      </c>
    </row>
    <row r="528">
      <c r="A528">
        <v>404</v>
      </c>
      <c r="B528">
        <v>4</v>
      </c>
      <c t="s" r="C528">
        <v>474</v>
      </c>
      <c r="E528">
        <f>1.2*B528</f>
        <v>4.8</v>
      </c>
      <c s="26" r="F528">
        <f>G528-E528</f>
        <v>0.672</v>
      </c>
      <c s="26" r="G528">
        <f>E528*H528</f>
        <v>5.472</v>
      </c>
      <c s="19" r="H528">
        <v>1.14</v>
      </c>
    </row>
    <row r="529">
      <c r="A529">
        <v>404</v>
      </c>
      <c r="B529">
        <v>13</v>
      </c>
      <c t="s" r="C529">
        <v>432</v>
      </c>
      <c r="E529">
        <f>0.8*B529</f>
        <v>10.4</v>
      </c>
      <c s="26" r="F529">
        <f>G529-E529</f>
        <v>2.08</v>
      </c>
      <c s="26" r="G529">
        <f>E529*H529</f>
        <v>12.48</v>
      </c>
      <c s="19" r="H529">
        <v>1.2</v>
      </c>
    </row>
    <row r="530">
      <c r="A530">
        <v>404</v>
      </c>
      <c r="B530">
        <v>431</v>
      </c>
      <c t="s" r="C530">
        <v>433</v>
      </c>
      <c r="E530">
        <f>B530*0.04</f>
        <v>17.24</v>
      </c>
      <c s="26" r="F530">
        <f>G530-E530</f>
        <v>2.0688</v>
      </c>
      <c s="26" r="G530">
        <f>E530*H530</f>
        <v>19.3088</v>
      </c>
      <c s="19" r="H530">
        <v>1.12</v>
      </c>
    </row>
    <row r="531">
      <c r="A531">
        <v>405</v>
      </c>
      <c r="B531">
        <v>1</v>
      </c>
      <c t="s" r="C531">
        <v>558</v>
      </c>
      <c r="E531">
        <v>7</v>
      </c>
      <c s="26" r="F531">
        <f>G531-E531</f>
        <v>1.4</v>
      </c>
      <c s="26" r="G531">
        <f>E531*H531</f>
        <v>8.4</v>
      </c>
      <c s="19" r="H531">
        <v>1.2</v>
      </c>
    </row>
    <row r="532">
      <c r="A532">
        <v>405</v>
      </c>
      <c r="B532">
        <f>114+167</f>
        <v>281</v>
      </c>
      <c t="s" r="C532">
        <v>490</v>
      </c>
      <c r="E532">
        <f>B532*0.13</f>
        <v>36.53</v>
      </c>
      <c s="26" r="F532">
        <f>G532-E532</f>
        <v>2.9224</v>
      </c>
      <c s="26" r="G532">
        <f>E532*H532</f>
        <v>39.4524</v>
      </c>
      <c s="19" r="H532">
        <v>1.08</v>
      </c>
    </row>
    <row r="533">
      <c r="A533">
        <v>406</v>
      </c>
      <c r="B533">
        <v>73</v>
      </c>
      <c t="s" r="C533">
        <v>490</v>
      </c>
      <c r="E533">
        <f>B533*0.13</f>
        <v>9.49</v>
      </c>
      <c s="26" r="F533">
        <f>G533-E533</f>
        <v>0.7592</v>
      </c>
      <c s="26" r="G533">
        <f>E533*H533</f>
        <v>10.2492</v>
      </c>
      <c s="19" r="H533">
        <v>1.08</v>
      </c>
    </row>
    <row r="534">
      <c r="A534">
        <v>408</v>
      </c>
      <c r="B534">
        <v>13</v>
      </c>
      <c t="s" r="C534">
        <v>490</v>
      </c>
      <c r="E534">
        <f>B534*0.13</f>
        <v>1.69</v>
      </c>
      <c s="26" r="F534">
        <f>G534-E534</f>
        <v>0.1352</v>
      </c>
      <c s="26" r="G534">
        <f>E534*H534</f>
        <v>1.8252</v>
      </c>
      <c s="19" r="H534">
        <v>1.08</v>
      </c>
    </row>
    <row r="535">
      <c r="A535">
        <v>409</v>
      </c>
      <c r="B535">
        <v>2</v>
      </c>
      <c t="s" r="C535">
        <v>559</v>
      </c>
      <c r="E535">
        <v>9</v>
      </c>
      <c s="26" r="F535">
        <f>G535-E535</f>
        <v>0.9</v>
      </c>
      <c s="26" r="G535">
        <f>E535*H535</f>
        <v>9.9</v>
      </c>
      <c s="19" r="H535">
        <v>1.1</v>
      </c>
    </row>
    <row r="536">
      <c r="A536">
        <v>409</v>
      </c>
      <c r="B536">
        <v>1</v>
      </c>
      <c t="s" r="C536">
        <v>509</v>
      </c>
      <c r="E536">
        <v>0.72</v>
      </c>
      <c s="26" r="F536">
        <f>G536-E536</f>
        <v>0.72</v>
      </c>
      <c s="26" r="G536">
        <f>E536*H536</f>
        <v>1.44</v>
      </c>
      <c s="19" r="H536">
        <v>2</v>
      </c>
    </row>
    <row r="537">
      <c r="A537">
        <v>409</v>
      </c>
      <c r="B537">
        <v>1</v>
      </c>
      <c t="s" r="C537">
        <v>560</v>
      </c>
      <c r="E537">
        <v>4.5</v>
      </c>
      <c s="26" r="F537">
        <f>G537-E537</f>
        <v>0.45</v>
      </c>
      <c s="26" r="G537">
        <f>E537*H537</f>
        <v>4.95</v>
      </c>
      <c s="19" r="H537">
        <v>1.1</v>
      </c>
    </row>
    <row r="538">
      <c r="A538">
        <v>409</v>
      </c>
      <c r="B538">
        <v>1</v>
      </c>
      <c t="s" r="C538">
        <v>561</v>
      </c>
      <c r="E538">
        <v>4</v>
      </c>
      <c s="26" r="F538">
        <f>G538-E538</f>
        <v>0</v>
      </c>
      <c s="26" r="G538">
        <f>E538*H538</f>
        <v>4</v>
      </c>
      <c s="19" r="H538">
        <v>1</v>
      </c>
    </row>
    <row r="539">
      <c r="A539">
        <v>410</v>
      </c>
      <c r="B539">
        <v>4</v>
      </c>
      <c t="s" r="C539">
        <v>559</v>
      </c>
      <c r="E539">
        <f>4.5*B539</f>
        <v>18</v>
      </c>
      <c s="26" r="F539">
        <f>G539-E539</f>
        <v>1.8</v>
      </c>
      <c s="26" r="G539">
        <f>E539*H539</f>
        <v>19.8</v>
      </c>
      <c s="19" r="H539">
        <v>1.1</v>
      </c>
    </row>
    <row r="540">
      <c r="A540">
        <v>410</v>
      </c>
      <c r="B540">
        <v>5</v>
      </c>
      <c t="s" r="C540">
        <v>562</v>
      </c>
      <c r="E540">
        <v>1.7</v>
      </c>
      <c s="26" r="F540">
        <f>G540-E540</f>
        <v>9.52</v>
      </c>
      <c s="26" r="G540">
        <f>E540*H540</f>
        <v>11.22</v>
      </c>
      <c s="19" r="H540">
        <v>6.6</v>
      </c>
    </row>
    <row r="541">
      <c r="A541">
        <v>410</v>
      </c>
      <c r="B541">
        <v>4</v>
      </c>
      <c t="s" r="C541">
        <v>560</v>
      </c>
      <c r="E541">
        <f>4.5*B541</f>
        <v>18</v>
      </c>
      <c s="26" r="F541">
        <f>G541-E541</f>
        <v>1.8</v>
      </c>
      <c s="26" r="G541">
        <f>E541*H541</f>
        <v>19.8</v>
      </c>
      <c s="19" r="H541">
        <v>1.1</v>
      </c>
    </row>
    <row r="542">
      <c r="A542">
        <v>410</v>
      </c>
      <c r="B542">
        <v>2</v>
      </c>
      <c t="s" r="C542">
        <v>561</v>
      </c>
      <c r="E542">
        <f>4*B542</f>
        <v>8</v>
      </c>
      <c s="26" r="F542">
        <f>G542-E542</f>
        <v>0</v>
      </c>
      <c s="26" r="G542">
        <f>E542*H542</f>
        <v>8</v>
      </c>
      <c s="19" r="H542">
        <v>1</v>
      </c>
    </row>
    <row r="543">
      <c r="A543">
        <v>410</v>
      </c>
      <c r="B543">
        <v>2</v>
      </c>
      <c t="s" r="C543">
        <v>504</v>
      </c>
      <c r="E543">
        <f>7.40*B543</f>
        <v>14.8</v>
      </c>
      <c s="26" r="F543">
        <f>G543-E543</f>
        <v>10.36</v>
      </c>
      <c s="26" r="G543">
        <f>E543*H543</f>
        <v>25.16</v>
      </c>
      <c s="19" r="H543">
        <v>1.7</v>
      </c>
    </row>
    <row r="544">
      <c r="A544">
        <v>411</v>
      </c>
      <c r="B544">
        <v>857</v>
      </c>
      <c t="s" r="C544">
        <v>56</v>
      </c>
      <c r="E544">
        <f>0.3*B544</f>
        <v>257.1</v>
      </c>
      <c s="26" r="F544">
        <f>G544-E544</f>
        <v>12.855</v>
      </c>
      <c s="26" r="G544">
        <f>E544*H544</f>
        <v>269.955</v>
      </c>
      <c s="19" r="H544">
        <v>1.05</v>
      </c>
    </row>
    <row r="545">
      <c r="A545">
        <v>412</v>
      </c>
      <c r="B545">
        <v>396</v>
      </c>
      <c t="s" r="C545">
        <v>384</v>
      </c>
      <c r="E545">
        <f>B545*0.01</f>
        <v>3.96</v>
      </c>
      <c s="26" r="F545">
        <f>G545-E545</f>
        <v>0.297</v>
      </c>
      <c s="26" r="G545">
        <f>E545*H545</f>
        <v>4.257</v>
      </c>
      <c s="19" r="H545">
        <v>1.075</v>
      </c>
    </row>
    <row r="546">
      <c r="A546">
        <v>413</v>
      </c>
      <c r="B546">
        <v>3</v>
      </c>
      <c t="s" r="C546">
        <v>560</v>
      </c>
      <c r="E546">
        <f>4.5*B546</f>
        <v>13.5</v>
      </c>
      <c s="26" r="F546">
        <f>G546-E546</f>
        <v>1.35</v>
      </c>
      <c s="26" r="G546">
        <f>E546*H546</f>
        <v>14.85</v>
      </c>
      <c s="19" r="H546">
        <v>1.1</v>
      </c>
    </row>
    <row r="547">
      <c r="A547">
        <v>413</v>
      </c>
      <c r="B547">
        <v>1</v>
      </c>
      <c t="s" r="C547">
        <v>559</v>
      </c>
      <c r="E547">
        <f>4.5*B547</f>
        <v>4.5</v>
      </c>
      <c s="26" r="F547">
        <f>G547-E547</f>
        <v>0.45</v>
      </c>
      <c s="26" r="G547">
        <f>E547*H547</f>
        <v>4.95</v>
      </c>
      <c s="19" r="H547">
        <v>1.1</v>
      </c>
    </row>
    <row r="548">
      <c r="A548">
        <v>414</v>
      </c>
      <c r="B548">
        <v>7817</v>
      </c>
      <c t="s" r="C548">
        <v>384</v>
      </c>
      <c r="E548">
        <f>B548*0.01</f>
        <v>78.17</v>
      </c>
      <c s="26" r="F548">
        <f>G548-E548</f>
        <v>5.86274999999999</v>
      </c>
      <c s="26" r="G548">
        <f>E548*H548</f>
        <v>84.03275</v>
      </c>
      <c s="19" r="H548">
        <v>1.075</v>
      </c>
    </row>
    <row r="549">
      <c r="A549">
        <v>414</v>
      </c>
      <c r="B549">
        <v>1292</v>
      </c>
      <c t="s" r="C549">
        <v>447</v>
      </c>
      <c r="E549">
        <f>B549*0.01</f>
        <v>12.92</v>
      </c>
      <c s="26" r="F549">
        <f>G549-E549</f>
        <v>0.968999999999999</v>
      </c>
      <c s="26" r="G549">
        <f>E549*H549</f>
        <v>13.889</v>
      </c>
      <c s="19" r="H549">
        <v>1.075</v>
      </c>
    </row>
    <row r="550">
      <c r="A550">
        <v>414</v>
      </c>
      <c r="B550">
        <v>1341662</v>
      </c>
      <c t="s" r="C550">
        <v>272</v>
      </c>
      <c r="E550">
        <f>0.0001*B550</f>
        <v>134.1662</v>
      </c>
      <c s="26" r="F550">
        <f>G550-E550</f>
        <v>93.91634</v>
      </c>
      <c s="26" r="G550">
        <f>E550*H550</f>
        <v>228.08254</v>
      </c>
      <c s="19" r="H550">
        <v>1.7</v>
      </c>
    </row>
    <row r="551">
      <c r="A551">
        <v>416</v>
      </c>
      <c r="B551">
        <v>318</v>
      </c>
      <c t="s" r="C551">
        <v>139</v>
      </c>
      <c r="E551">
        <f>0.4*B551</f>
        <v>127.2</v>
      </c>
      <c s="26" r="F551">
        <f>G551-E551</f>
        <v>7.63200000000002</v>
      </c>
      <c s="26" r="G551">
        <f>E551*H551</f>
        <v>134.832</v>
      </c>
      <c s="19" r="H551">
        <v>1.06</v>
      </c>
    </row>
    <row r="552">
      <c r="A552">
        <v>417</v>
      </c>
      <c r="B552">
        <v>87</v>
      </c>
      <c t="s" r="C552">
        <v>431</v>
      </c>
      <c r="E552">
        <f>0.2*B552</f>
        <v>17.4</v>
      </c>
      <c s="26" r="F552">
        <f>G552-E552</f>
        <v>4.872</v>
      </c>
      <c s="26" r="G552">
        <f>E552*H552</f>
        <v>22.272</v>
      </c>
      <c s="19" r="H552">
        <v>1.28</v>
      </c>
    </row>
    <row r="553">
      <c r="A553">
        <v>417</v>
      </c>
      <c r="B553">
        <v>68</v>
      </c>
      <c t="s" r="C553">
        <v>434</v>
      </c>
      <c r="E553">
        <f>0.17*B553</f>
        <v>11.56</v>
      </c>
      <c s="26" r="F553">
        <f>G553-E553</f>
        <v>2.312</v>
      </c>
      <c s="26" r="G553">
        <f>E553*H553</f>
        <v>13.872</v>
      </c>
      <c s="19" r="H553">
        <v>1.2</v>
      </c>
    </row>
    <row r="554">
      <c r="A554">
        <v>417</v>
      </c>
      <c r="B554">
        <v>6</v>
      </c>
      <c t="s" r="C554">
        <v>474</v>
      </c>
      <c r="E554">
        <f>1.2*B554</f>
        <v>7.2</v>
      </c>
      <c s="26" r="F554">
        <f>G554-E554</f>
        <v>1.008</v>
      </c>
      <c s="26" r="G554">
        <f>E554*H554</f>
        <v>8.208</v>
      </c>
      <c s="19" r="H554">
        <v>1.14</v>
      </c>
    </row>
    <row r="555">
      <c r="A555">
        <v>417</v>
      </c>
      <c r="B555">
        <v>14</v>
      </c>
      <c t="s" r="C555">
        <v>432</v>
      </c>
      <c r="E555">
        <f>0.8*B555</f>
        <v>11.2</v>
      </c>
      <c s="26" r="F555">
        <f>G555-E555</f>
        <v>2.24</v>
      </c>
      <c s="26" r="G555">
        <f>E555*H555</f>
        <v>13.44</v>
      </c>
      <c s="19" r="H555">
        <v>1.2</v>
      </c>
    </row>
    <row r="556">
      <c r="A556">
        <v>417</v>
      </c>
      <c r="B556">
        <v>512</v>
      </c>
      <c t="s" r="C556">
        <v>433</v>
      </c>
      <c r="E556">
        <f>B556*0.04</f>
        <v>20.48</v>
      </c>
      <c s="26" r="F556">
        <f>G556-E556</f>
        <v>2.4576</v>
      </c>
      <c s="26" r="G556">
        <f>E556*H556</f>
        <v>22.9376</v>
      </c>
      <c s="19" r="H556">
        <v>1.12</v>
      </c>
    </row>
    <row r="557">
      <c r="A557">
        <v>419</v>
      </c>
      <c r="B557">
        <v>283</v>
      </c>
      <c t="s" r="C557">
        <v>56</v>
      </c>
      <c r="E557">
        <f>0.3*B557</f>
        <v>84.9</v>
      </c>
      <c s="26" r="F557">
        <f>G557-E557</f>
        <v>4.245</v>
      </c>
      <c s="26" r="G557">
        <f>E557*H557</f>
        <v>89.145</v>
      </c>
      <c s="19" r="H557">
        <v>1.05</v>
      </c>
    </row>
    <row r="558">
      <c r="A558">
        <v>421</v>
      </c>
      <c r="B558">
        <v>8</v>
      </c>
      <c t="s" r="C558">
        <v>560</v>
      </c>
      <c r="E558">
        <f>4.5*B558</f>
        <v>36</v>
      </c>
      <c s="26" r="F558">
        <f>G558-E558</f>
        <v>3.6</v>
      </c>
      <c s="26" r="G558">
        <f>E558*H558</f>
        <v>39.6</v>
      </c>
      <c s="19" r="H558">
        <v>1.1</v>
      </c>
    </row>
    <row r="559">
      <c r="A559">
        <v>421</v>
      </c>
      <c r="B559">
        <v>6</v>
      </c>
      <c t="s" r="C559">
        <v>559</v>
      </c>
      <c r="E559">
        <f>4.5*B559</f>
        <v>27</v>
      </c>
      <c s="26" r="F559">
        <f>G559-E559</f>
        <v>2.7</v>
      </c>
      <c s="26" r="G559">
        <f>E559*H559</f>
        <v>29.7</v>
      </c>
      <c s="19" r="H559">
        <v>1.1</v>
      </c>
    </row>
    <row r="560">
      <c r="A560">
        <v>421</v>
      </c>
      <c r="B560">
        <v>1</v>
      </c>
      <c t="s" r="C560">
        <v>563</v>
      </c>
      <c r="E560">
        <v>101</v>
      </c>
      <c s="26" r="F560">
        <f>G560-E560</f>
        <v>30.3</v>
      </c>
      <c s="26" r="G560">
        <f>E560*H560</f>
        <v>131.3</v>
      </c>
      <c s="19" r="H560">
        <v>1.3</v>
      </c>
    </row>
    <row r="561">
      <c r="A561">
        <v>421</v>
      </c>
      <c r="B561">
        <v>4</v>
      </c>
      <c t="s" r="C561">
        <v>509</v>
      </c>
      <c r="E561">
        <v>0.72</v>
      </c>
      <c s="26" r="F561">
        <f>G561-E561</f>
        <v>0.72</v>
      </c>
      <c s="26" r="G561">
        <f>E561*H561</f>
        <v>1.44</v>
      </c>
      <c s="19" r="H561">
        <v>2</v>
      </c>
    </row>
    <row r="562">
      <c r="A562">
        <v>421</v>
      </c>
      <c r="B562">
        <v>5</v>
      </c>
      <c t="s" r="C562">
        <v>562</v>
      </c>
      <c r="E562">
        <v>1.7</v>
      </c>
      <c s="26" r="F562">
        <f>G562-E562</f>
        <v>9.52</v>
      </c>
      <c s="26" r="G562">
        <f>E562*H562</f>
        <v>11.22</v>
      </c>
      <c s="19" r="H562">
        <v>6.6</v>
      </c>
    </row>
    <row r="563">
      <c r="A563">
        <v>421</v>
      </c>
      <c r="B563">
        <v>3</v>
      </c>
      <c t="s" r="C563">
        <v>504</v>
      </c>
      <c r="E563">
        <f>7.40*B563</f>
        <v>22.2</v>
      </c>
      <c s="26" r="F563">
        <f>G563-E563</f>
        <v>15.54</v>
      </c>
      <c s="26" r="G563">
        <f>E563*H563</f>
        <v>37.74</v>
      </c>
      <c s="19" r="H563">
        <v>1.7</v>
      </c>
    </row>
    <row r="564">
      <c r="A564">
        <v>421</v>
      </c>
      <c r="B564">
        <v>1</v>
      </c>
      <c t="s" r="C564">
        <v>564</v>
      </c>
      <c r="E564">
        <f>0.12*B564</f>
        <v>0.12</v>
      </c>
      <c s="26" r="F564">
        <f>G564-E564</f>
        <v>0.27</v>
      </c>
      <c s="26" r="G564">
        <f>E564*H564</f>
        <v>0.39</v>
      </c>
      <c s="19" r="H564">
        <v>3.25</v>
      </c>
    </row>
    <row r="565">
      <c r="A565">
        <v>421</v>
      </c>
      <c r="B565">
        <v>2</v>
      </c>
      <c t="s" r="C565">
        <v>524</v>
      </c>
      <c r="E565">
        <f>2*B565</f>
        <v>4</v>
      </c>
      <c s="26" r="F565">
        <f>G565-E565</f>
        <v>0.44</v>
      </c>
      <c s="26" r="G565">
        <f>E565*H565</f>
        <v>4.44</v>
      </c>
      <c s="19" r="H565">
        <v>1.11</v>
      </c>
    </row>
    <row r="566">
      <c r="A566">
        <v>423</v>
      </c>
      <c r="B566">
        <v>1304</v>
      </c>
      <c t="s" r="C566">
        <v>139</v>
      </c>
      <c r="E566">
        <f>0.4*B566</f>
        <v>521.6</v>
      </c>
      <c s="26" r="F566">
        <f>G566-E566</f>
        <v>7.30240000000003</v>
      </c>
      <c s="26" r="G566">
        <f>E566*H566</f>
        <v>528.9024</v>
      </c>
      <c s="19" r="H566">
        <v>1.014</v>
      </c>
    </row>
    <row r="567">
      <c r="A567">
        <v>424</v>
      </c>
      <c r="B567">
        <v>6</v>
      </c>
      <c t="s" r="C567">
        <v>562</v>
      </c>
      <c r="E567">
        <v>1.7</v>
      </c>
      <c s="26" r="F567">
        <f>G567-E567</f>
        <v>9.52</v>
      </c>
      <c s="26" r="G567">
        <f>E567*H567</f>
        <v>11.22</v>
      </c>
      <c s="19" r="H567">
        <v>6.6</v>
      </c>
    </row>
    <row r="568">
      <c r="A568">
        <v>424</v>
      </c>
      <c r="B568">
        <v>3</v>
      </c>
      <c t="s" r="C568">
        <v>504</v>
      </c>
      <c r="E568">
        <f>7.40*B568</f>
        <v>22.2</v>
      </c>
      <c s="26" r="F568">
        <f>G568-E568</f>
        <v>15.54</v>
      </c>
      <c s="26" r="G568">
        <f>E568*H568</f>
        <v>37.74</v>
      </c>
      <c s="19" r="H568">
        <v>1.7</v>
      </c>
    </row>
    <row r="569">
      <c r="A569">
        <v>424</v>
      </c>
      <c r="B569">
        <v>1</v>
      </c>
      <c t="s" r="C569">
        <v>564</v>
      </c>
      <c r="E569">
        <f>0.12*B569</f>
        <v>0.12</v>
      </c>
      <c s="26" r="F569">
        <f>G569-E569</f>
        <v>0.27</v>
      </c>
      <c s="26" r="G569">
        <f>E569*H569</f>
        <v>0.39</v>
      </c>
      <c s="19" r="H569">
        <v>3.25</v>
      </c>
    </row>
    <row r="570">
      <c r="A570">
        <v>424</v>
      </c>
      <c r="B570">
        <v>2</v>
      </c>
      <c t="s" r="C570">
        <v>524</v>
      </c>
      <c r="E570">
        <f>2*B570</f>
        <v>4</v>
      </c>
      <c s="26" r="F570">
        <f>G570-E570</f>
        <v>0.44</v>
      </c>
      <c s="26" r="G570">
        <f>E570*H570</f>
        <v>4.44</v>
      </c>
      <c s="19" r="H570">
        <v>1.11</v>
      </c>
    </row>
    <row r="571">
      <c r="A571">
        <v>424</v>
      </c>
      <c r="B571">
        <v>3</v>
      </c>
      <c t="s" r="C571">
        <v>559</v>
      </c>
      <c r="E571">
        <f>4.5*B571</f>
        <v>13.5</v>
      </c>
      <c s="26" r="F571">
        <f>G571-E571</f>
        <v>1.35</v>
      </c>
      <c s="26" r="G571">
        <f>E571*H571</f>
        <v>14.85</v>
      </c>
      <c s="19" r="H571">
        <v>1.1</v>
      </c>
    </row>
    <row r="572">
      <c r="A572">
        <v>425</v>
      </c>
      <c r="B572">
        <v>592</v>
      </c>
      <c t="s" r="C572">
        <v>139</v>
      </c>
      <c r="E572">
        <f>0.4*B572</f>
        <v>236.8</v>
      </c>
      <c s="26" r="F572">
        <f>G572-E572</f>
        <v>3.3152</v>
      </c>
      <c s="26" r="G572">
        <f>E572*H572</f>
        <v>240.1152</v>
      </c>
      <c s="19" r="H572">
        <v>1.014</v>
      </c>
    </row>
    <row r="573">
      <c r="A573">
        <v>426</v>
      </c>
      <c r="B573">
        <v>963</v>
      </c>
      <c t="s" r="C573">
        <v>384</v>
      </c>
      <c r="E573">
        <f>B573*0.01</f>
        <v>9.63</v>
      </c>
      <c s="26" r="F573">
        <f>G573-E573</f>
        <v>0.674100000000001</v>
      </c>
      <c s="26" r="G573">
        <f>E573*H573</f>
        <v>10.3041</v>
      </c>
      <c s="19" r="H573">
        <v>1.07</v>
      </c>
    </row>
    <row r="574">
      <c r="A574">
        <v>427</v>
      </c>
      <c r="B574">
        <v>550</v>
      </c>
      <c t="s" r="C574">
        <v>384</v>
      </c>
      <c r="E574">
        <f>B574*0.01</f>
        <v>5.5</v>
      </c>
      <c s="26" r="F574">
        <f>G574-E574</f>
        <v>0.385000000000001</v>
      </c>
      <c s="26" r="G574">
        <f>E574*H574</f>
        <v>5.885</v>
      </c>
      <c s="19" r="H574">
        <v>1.07</v>
      </c>
    </row>
    <row r="575">
      <c r="A575">
        <v>428</v>
      </c>
      <c r="B575">
        <f>6727+1033</f>
        <v>7760</v>
      </c>
      <c t="s" r="C575">
        <v>384</v>
      </c>
      <c r="E575">
        <f>B575*0.01</f>
        <v>77.6</v>
      </c>
      <c s="26" r="F575">
        <f>G575-E575</f>
        <v>5.432</v>
      </c>
      <c s="26" r="G575">
        <f>E575*H575</f>
        <v>83.032</v>
      </c>
      <c s="19" r="H575">
        <v>1.07</v>
      </c>
    </row>
    <row r="576">
      <c r="A576">
        <v>428</v>
      </c>
      <c r="B576">
        <v>2918</v>
      </c>
      <c t="s" r="C576">
        <v>447</v>
      </c>
      <c r="E576">
        <f>B576*0.01</f>
        <v>29.18</v>
      </c>
      <c s="26" r="F576">
        <f>G576-E576</f>
        <v>2.0426</v>
      </c>
      <c s="26" r="G576">
        <f>E576*H573</f>
        <v>31.2226</v>
      </c>
      <c s="19" r="H576">
        <v>1.07</v>
      </c>
    </row>
    <row r="577">
      <c r="A577">
        <v>428</v>
      </c>
      <c r="B577">
        <v>39</v>
      </c>
      <c t="s" r="C577">
        <v>324</v>
      </c>
      <c r="E577">
        <f>0.4*B577</f>
        <v>15.6</v>
      </c>
      <c s="26" r="F577">
        <f>G577-E577</f>
        <v>15.6</v>
      </c>
      <c s="26" r="G577">
        <f>E577*H577</f>
        <v>31.2</v>
      </c>
      <c s="19" r="H577">
        <v>2</v>
      </c>
    </row>
    <row r="578">
      <c r="A578">
        <v>430</v>
      </c>
      <c r="B578">
        <v>8</v>
      </c>
      <c t="s" r="C578">
        <v>559</v>
      </c>
      <c r="E578">
        <f>4.5*B578</f>
        <v>36</v>
      </c>
      <c s="26" r="F578">
        <f>G578-E578</f>
        <v>3.6</v>
      </c>
      <c s="26" r="G578">
        <f>E578*H578</f>
        <v>39.6</v>
      </c>
      <c s="19" r="H578">
        <v>1.1</v>
      </c>
    </row>
    <row r="579">
      <c r="A579">
        <v>430</v>
      </c>
      <c r="B579">
        <v>1</v>
      </c>
      <c t="s" r="C579">
        <v>562</v>
      </c>
      <c r="E579">
        <v>1.7</v>
      </c>
      <c s="26" r="F579">
        <f>G579-E579</f>
        <v>9.52</v>
      </c>
      <c s="26" r="G579">
        <f>E579*H579</f>
        <v>11.22</v>
      </c>
      <c s="19" r="H579">
        <v>6.6</v>
      </c>
    </row>
    <row r="580">
      <c r="A580">
        <v>430</v>
      </c>
      <c r="B580">
        <v>1</v>
      </c>
      <c t="s" r="C580">
        <v>504</v>
      </c>
      <c r="E580">
        <f>7.40*B580</f>
        <v>7.4</v>
      </c>
      <c s="26" r="F580">
        <f>G580-E580</f>
        <v>5.18</v>
      </c>
      <c s="26" r="G580">
        <f>E580*H580</f>
        <v>12.58</v>
      </c>
      <c s="19" r="H580">
        <v>1.7</v>
      </c>
    </row>
    <row r="581">
      <c r="A581">
        <v>430</v>
      </c>
      <c r="B581">
        <v>2</v>
      </c>
      <c t="s" r="C581">
        <v>560</v>
      </c>
      <c r="E581">
        <f>4.5*B581</f>
        <v>9</v>
      </c>
      <c s="26" r="F581">
        <f>G581-E581</f>
        <v>0.9</v>
      </c>
      <c s="26" r="G581">
        <f>E581*H581</f>
        <v>9.9</v>
      </c>
      <c s="19" r="H581">
        <v>1.1</v>
      </c>
    </row>
    <row r="582">
      <c r="A582">
        <v>430</v>
      </c>
      <c r="B582">
        <v>1</v>
      </c>
      <c t="s" r="C582">
        <v>563</v>
      </c>
      <c r="E582">
        <f>101/2</f>
        <v>50.5</v>
      </c>
      <c s="26" r="F582">
        <f>G582-E582</f>
        <v>15.15</v>
      </c>
      <c s="26" r="G582">
        <f>E582*H582</f>
        <v>65.65</v>
      </c>
      <c s="19" r="H582">
        <v>1.3</v>
      </c>
    </row>
    <row r="583">
      <c r="A583">
        <v>430</v>
      </c>
      <c r="B583">
        <v>1</v>
      </c>
      <c t="s" r="C583">
        <v>565</v>
      </c>
      <c r="E583">
        <f>22.5/2</f>
        <v>11.25</v>
      </c>
      <c s="26" r="F583">
        <f>G583-E583</f>
        <v>0</v>
      </c>
      <c s="26" r="G583">
        <f>E583*H583</f>
        <v>11.25</v>
      </c>
      <c s="19" r="H583">
        <v>1</v>
      </c>
    </row>
    <row r="584">
      <c r="A584">
        <v>431</v>
      </c>
      <c r="B584">
        <v>1</v>
      </c>
      <c t="s" r="C584">
        <v>564</v>
      </c>
      <c r="E584">
        <f>0.12*B584</f>
        <v>0.12</v>
      </c>
      <c s="26" r="F584">
        <f>G584-E584</f>
        <v>0.27</v>
      </c>
      <c s="26" r="G584">
        <f>E584*H584</f>
        <v>0.39</v>
      </c>
      <c s="19" r="H584">
        <v>3.25</v>
      </c>
    </row>
    <row r="585">
      <c r="A585">
        <v>433</v>
      </c>
      <c r="B585">
        <v>511</v>
      </c>
      <c t="s" r="C585">
        <v>139</v>
      </c>
      <c r="E585">
        <f>0.4*B585</f>
        <v>204.4</v>
      </c>
      <c s="26" r="F585">
        <f>G585-E585</f>
        <v>0</v>
      </c>
      <c s="26" r="G585">
        <f>E585*H585</f>
        <v>204.4</v>
      </c>
      <c s="19" r="H585">
        <v>1</v>
      </c>
    </row>
    <row r="586">
      <c r="A586">
        <v>434</v>
      </c>
      <c r="B586">
        <v>11829</v>
      </c>
      <c t="s" r="C586">
        <v>384</v>
      </c>
      <c r="E586">
        <f>B586*0.01</f>
        <v>118.29</v>
      </c>
      <c s="26" r="F586">
        <f>G586-E586</f>
        <v>9.013698</v>
      </c>
      <c s="26" r="G586">
        <f>E586*H586</f>
        <v>127.303698</v>
      </c>
      <c s="19" r="H586">
        <v>1.0762</v>
      </c>
    </row>
    <row r="587">
      <c r="A587">
        <v>434</v>
      </c>
      <c r="B587">
        <v>295</v>
      </c>
      <c t="s" r="C587">
        <v>325</v>
      </c>
      <c r="E587">
        <f>0.75*B587</f>
        <v>221.25</v>
      </c>
      <c s="26" r="F587">
        <f>G587-E587</f>
        <v>11.0625</v>
      </c>
      <c s="26" r="G587">
        <f>E587*H587</f>
        <v>232.3125</v>
      </c>
      <c s="19" r="H587">
        <v>1.05</v>
      </c>
    </row>
    <row r="588">
      <c r="A588">
        <v>435</v>
      </c>
      <c r="B588">
        <v>1252</v>
      </c>
      <c t="s" r="C588">
        <v>384</v>
      </c>
      <c r="E588">
        <f>B588*0.01</f>
        <v>12.52</v>
      </c>
      <c s="26" r="F588">
        <f>G588-E588</f>
        <v>0.954024</v>
      </c>
      <c s="26" r="G588">
        <f>E588*H588</f>
        <v>13.474024</v>
      </c>
      <c s="19" r="H588">
        <v>1.0762</v>
      </c>
    </row>
    <row r="589">
      <c r="A589">
        <v>436</v>
      </c>
      <c r="B589">
        <v>2512</v>
      </c>
      <c t="s" r="C589">
        <v>384</v>
      </c>
      <c r="E589">
        <f>B589*0.01</f>
        <v>25.12</v>
      </c>
      <c s="26" r="F589">
        <f>G589-E589</f>
        <v>1.914144</v>
      </c>
      <c s="26" r="G589">
        <f>E589*H589</f>
        <v>27.034144</v>
      </c>
      <c s="19" r="H589">
        <v>1.0762</v>
      </c>
    </row>
    <row r="590">
      <c r="A590">
        <v>437</v>
      </c>
      <c r="B590">
        <v>3403</v>
      </c>
      <c t="s" r="C590">
        <v>384</v>
      </c>
      <c r="E590">
        <f>B590*0.01</f>
        <v>34.03</v>
      </c>
      <c s="26" r="F590">
        <f>G590-E590</f>
        <v>2.593086</v>
      </c>
      <c s="26" r="G590">
        <f>E590*H590</f>
        <v>36.623086</v>
      </c>
      <c s="19" r="H590">
        <v>1.0762</v>
      </c>
    </row>
    <row r="591">
      <c r="A591">
        <v>438</v>
      </c>
      <c r="B591">
        <v>424</v>
      </c>
      <c t="s" r="C591">
        <v>384</v>
      </c>
      <c r="E591">
        <f>B591*0.01</f>
        <v>4.24</v>
      </c>
      <c s="26" r="F591">
        <f>G591-E591</f>
        <v>0.323088</v>
      </c>
      <c s="26" r="G591">
        <f>E591*H591</f>
        <v>4.563088</v>
      </c>
      <c s="19" r="H591">
        <v>1.0762</v>
      </c>
    </row>
    <row r="592">
      <c r="A592">
        <v>439</v>
      </c>
      <c r="B592">
        <v>1</v>
      </c>
      <c t="s" r="C592">
        <v>566</v>
      </c>
      <c r="E592">
        <v>10.45</v>
      </c>
      <c s="26" r="F592">
        <f>G592-E592</f>
        <v>10.9725</v>
      </c>
      <c s="26" r="G592">
        <f>E592*H592</f>
        <v>21.4225</v>
      </c>
      <c s="19" r="H592">
        <v>2.05</v>
      </c>
    </row>
    <row r="593">
      <c r="A593">
        <v>439</v>
      </c>
      <c r="B593">
        <v>20</v>
      </c>
      <c t="s" r="C593">
        <v>431</v>
      </c>
      <c r="E593">
        <f>0.2*B593</f>
        <v>4</v>
      </c>
      <c s="26" r="F593">
        <f>G593-E593</f>
        <v>1.12</v>
      </c>
      <c s="26" r="G593">
        <f>E593*H593</f>
        <v>5.12</v>
      </c>
      <c s="19" r="H593">
        <v>1.28</v>
      </c>
    </row>
    <row r="594">
      <c r="A594">
        <v>439</v>
      </c>
      <c r="B594">
        <v>27</v>
      </c>
      <c t="s" r="C594">
        <v>434</v>
      </c>
      <c r="E594">
        <f>0.17*B594</f>
        <v>4.59</v>
      </c>
      <c s="26" r="F594">
        <f>G594-E594</f>
        <v>0.918</v>
      </c>
      <c s="26" r="G594">
        <f>E594*H594</f>
        <v>5.508</v>
      </c>
      <c s="19" r="H594">
        <v>1.2</v>
      </c>
    </row>
    <row r="595">
      <c r="A595">
        <v>439</v>
      </c>
      <c r="B595">
        <v>4</v>
      </c>
      <c t="s" r="C595">
        <v>474</v>
      </c>
      <c r="E595">
        <f>1.2*B595</f>
        <v>4.8</v>
      </c>
      <c s="26" r="F595">
        <f>G595-E595</f>
        <v>0.672</v>
      </c>
      <c s="26" r="G595">
        <f>E595*H595</f>
        <v>5.472</v>
      </c>
      <c s="19" r="H595">
        <v>1.14</v>
      </c>
    </row>
    <row r="596">
      <c r="A596">
        <v>439</v>
      </c>
      <c r="B596">
        <v>14</v>
      </c>
      <c t="s" r="C596">
        <v>432</v>
      </c>
      <c r="E596">
        <f>0.8*B596</f>
        <v>11.2</v>
      </c>
      <c s="26" r="F596">
        <f>G596-E596</f>
        <v>2.24</v>
      </c>
      <c s="26" r="G596">
        <f>E596*H596</f>
        <v>13.44</v>
      </c>
      <c s="19" r="H596">
        <v>1.2</v>
      </c>
    </row>
    <row r="597">
      <c r="A597">
        <v>439</v>
      </c>
      <c r="B597">
        <v>349</v>
      </c>
      <c t="s" r="C597">
        <v>433</v>
      </c>
      <c r="E597">
        <f>B597*0.04</f>
        <v>13.96</v>
      </c>
      <c s="26" r="F597">
        <f>G597-E597</f>
        <v>1.6752</v>
      </c>
      <c s="26" r="G597">
        <f>E597*H597</f>
        <v>15.6352</v>
      </c>
      <c s="19" r="H597">
        <v>1.12</v>
      </c>
    </row>
    <row r="598">
      <c r="A598">
        <v>440</v>
      </c>
      <c r="B598">
        <v>1</v>
      </c>
      <c t="s" r="C598">
        <v>567</v>
      </c>
      <c s="26" r="E598">
        <f>101/3</f>
        <v>33.6666666666667</v>
      </c>
      <c s="26" r="F598">
        <f>G598-E598</f>
        <v>12.4566666666667</v>
      </c>
      <c s="26" r="G598">
        <f>E598*H598</f>
        <v>46.1233333333333</v>
      </c>
      <c s="19" r="H598">
        <v>1.37</v>
      </c>
    </row>
    <row r="599">
      <c r="A599">
        <v>440</v>
      </c>
      <c r="B599">
        <v>68</v>
      </c>
      <c t="s" r="C599">
        <v>524</v>
      </c>
      <c r="E599">
        <f>2*B599</f>
        <v>136</v>
      </c>
      <c s="26" r="F599">
        <f>G599-E599</f>
        <v>14.96</v>
      </c>
      <c s="26" r="G599">
        <f>E599*H599</f>
        <v>150.96</v>
      </c>
      <c s="19" r="H599">
        <v>1.11</v>
      </c>
    </row>
    <row r="600">
      <c r="A600">
        <v>440</v>
      </c>
      <c r="B600">
        <v>12250</v>
      </c>
      <c t="s" r="C600">
        <v>568</v>
      </c>
      <c r="E600">
        <f>B600*0.01</f>
        <v>122.5</v>
      </c>
      <c s="26" r="F600">
        <f>G600-E600</f>
        <v>0</v>
      </c>
      <c s="26" r="G600">
        <f>E600*H600</f>
        <v>122.5</v>
      </c>
      <c s="19" r="H600">
        <v>1</v>
      </c>
    </row>
    <row r="601">
      <c r="A601">
        <v>440</v>
      </c>
      <c r="B601">
        <v>1</v>
      </c>
      <c t="s" r="C601">
        <v>559</v>
      </c>
      <c r="E601">
        <f>4.5*B601</f>
        <v>4.5</v>
      </c>
      <c s="26" r="F601">
        <f>G601-E601</f>
        <v>0.45</v>
      </c>
      <c s="26" r="G601">
        <f>E601*H601</f>
        <v>4.95</v>
      </c>
      <c s="19" r="H601">
        <v>1.1</v>
      </c>
    </row>
    <row r="602">
      <c r="A602">
        <v>440</v>
      </c>
      <c r="B602">
        <v>2</v>
      </c>
      <c t="s" r="C602">
        <v>562</v>
      </c>
      <c r="E602">
        <v>1.7</v>
      </c>
      <c s="26" r="F602">
        <f>G602-E602</f>
        <v>9.52</v>
      </c>
      <c s="26" r="G602">
        <f>E602*H602</f>
        <v>11.22</v>
      </c>
      <c s="19" r="H602">
        <v>6.6</v>
      </c>
    </row>
    <row r="603">
      <c r="A603">
        <v>440</v>
      </c>
      <c r="B603">
        <v>1</v>
      </c>
      <c t="s" r="C603">
        <v>509</v>
      </c>
      <c r="E603">
        <v>0.72</v>
      </c>
      <c s="26" r="F603">
        <f>G603-E603</f>
        <v>0.72</v>
      </c>
      <c s="26" r="G603">
        <f>E603*H603</f>
        <v>1.44</v>
      </c>
      <c s="19" r="H603">
        <v>2</v>
      </c>
    </row>
    <row r="604">
      <c r="A604">
        <v>441</v>
      </c>
      <c r="B604">
        <v>1</v>
      </c>
      <c t="s" r="C604">
        <v>524</v>
      </c>
      <c r="E604">
        <f>2*B604</f>
        <v>2</v>
      </c>
      <c s="26" r="F604">
        <f>G604-E604</f>
        <v>0.22</v>
      </c>
      <c s="26" r="G604">
        <f>E604*H604</f>
        <v>2.22</v>
      </c>
      <c s="19" r="H604">
        <v>1.11</v>
      </c>
    </row>
    <row r="605">
      <c r="A605">
        <v>441</v>
      </c>
      <c r="B605">
        <v>1</v>
      </c>
      <c t="s" r="C605">
        <v>562</v>
      </c>
      <c r="E605">
        <v>1.7</v>
      </c>
      <c s="26" r="F605">
        <f>G605-E605</f>
        <v>9.52</v>
      </c>
      <c s="26" r="G605">
        <f>E605*H605</f>
        <v>11.22</v>
      </c>
      <c s="19" r="H605">
        <v>6.6</v>
      </c>
    </row>
    <row r="606">
      <c r="A606">
        <v>441</v>
      </c>
      <c r="B606">
        <v>1</v>
      </c>
      <c t="s" r="C606">
        <v>564</v>
      </c>
      <c r="E606">
        <f>0.12*B606</f>
        <v>0.12</v>
      </c>
      <c s="26" r="F606">
        <f>G606-E606</f>
        <v>0.27</v>
      </c>
      <c s="26" r="G606">
        <f>E606*H606</f>
        <v>0.39</v>
      </c>
      <c s="19" r="H606">
        <v>3.25</v>
      </c>
    </row>
    <row r="607">
      <c r="A607">
        <v>441</v>
      </c>
      <c r="B607">
        <v>118</v>
      </c>
      <c t="s" r="C607">
        <v>569</v>
      </c>
      <c r="E607">
        <v>0.118</v>
      </c>
      <c s="26" r="F607">
        <f>G607-E607</f>
        <v>0</v>
      </c>
      <c s="26" r="G607">
        <f>E607*H607</f>
        <v>0.118</v>
      </c>
      <c s="19" r="H607">
        <v>1</v>
      </c>
    </row>
    <row r="608">
      <c r="A608">
        <v>442</v>
      </c>
      <c r="B608">
        <v>161</v>
      </c>
      <c t="s" r="C608">
        <v>490</v>
      </c>
      <c r="E608">
        <f>B608*0.13</f>
        <v>20.93</v>
      </c>
      <c s="26" r="F608">
        <f>G608-E608</f>
        <v>1.6744</v>
      </c>
      <c s="26" r="G608">
        <f>E608*H608</f>
        <v>22.6044</v>
      </c>
      <c s="19" r="H608">
        <v>1.08</v>
      </c>
    </row>
    <row r="609">
      <c r="A609">
        <v>442</v>
      </c>
      <c r="B609">
        <v>1</v>
      </c>
      <c t="s" r="C609">
        <v>570</v>
      </c>
      <c r="E609">
        <v>8.88</v>
      </c>
      <c s="26" r="F609">
        <f>G609-E609</f>
        <v>3.108</v>
      </c>
      <c s="26" r="G609">
        <f>E609*H609</f>
        <v>11.988</v>
      </c>
      <c s="19" r="H609">
        <v>1.35</v>
      </c>
    </row>
    <row r="610">
      <c r="A610">
        <v>442</v>
      </c>
      <c r="B610">
        <v>1</v>
      </c>
      <c t="s" r="C610">
        <v>571</v>
      </c>
      <c r="E610">
        <v>42.36</v>
      </c>
      <c s="26" r="F610">
        <f>G610-E610</f>
        <v>2.5416</v>
      </c>
      <c s="26" r="G610">
        <f>E610*H610</f>
        <v>44.9016</v>
      </c>
      <c s="19" r="H610">
        <v>1.06</v>
      </c>
    </row>
    <row r="611">
      <c r="A611">
        <v>443</v>
      </c>
      <c r="B611">
        <v>1</v>
      </c>
      <c t="s" r="C611">
        <v>572</v>
      </c>
      <c r="E611">
        <v>15.23</v>
      </c>
      <c s="26" r="F611">
        <f>G611-E611</f>
        <v>2.1322</v>
      </c>
      <c s="26" r="G611">
        <f>E611*H611</f>
        <v>17.3622</v>
      </c>
      <c s="19" r="H611">
        <v>1.14</v>
      </c>
    </row>
    <row r="612">
      <c r="A612">
        <v>444</v>
      </c>
      <c r="B612">
        <f>227*3</f>
        <v>681</v>
      </c>
      <c t="s" r="C612">
        <v>573</v>
      </c>
      <c r="E612">
        <f>0.02*B612</f>
        <v>13.62</v>
      </c>
      <c s="26" r="F612">
        <f>G612-E612</f>
        <v>1.9068</v>
      </c>
      <c s="26" r="G612">
        <f>E612*H612</f>
        <v>15.5268</v>
      </c>
      <c s="19" r="H612">
        <v>1.14</v>
      </c>
    </row>
    <row r="613">
      <c r="A613">
        <v>444</v>
      </c>
      <c r="B613">
        <v>218</v>
      </c>
      <c t="s" r="C613">
        <v>574</v>
      </c>
      <c r="E613">
        <f>0.16*B613</f>
        <v>34.88</v>
      </c>
      <c s="26" r="F613">
        <f>G613-E613</f>
        <v>4.1856</v>
      </c>
      <c s="26" r="G613">
        <f>E613*H613</f>
        <v>39.0656</v>
      </c>
      <c s="19" r="H613">
        <v>1.12</v>
      </c>
    </row>
    <row r="614">
      <c r="A614">
        <v>444</v>
      </c>
      <c r="B614">
        <v>157</v>
      </c>
      <c t="s" r="C614">
        <v>575</v>
      </c>
      <c r="E614">
        <f>1.25*B614</f>
        <v>196.25</v>
      </c>
      <c s="26" r="F614">
        <f>G614-E614</f>
        <v>31.4</v>
      </c>
      <c s="26" r="G614">
        <f>E614*H614</f>
        <v>227.65</v>
      </c>
      <c s="19" r="H614">
        <v>1.16</v>
      </c>
    </row>
    <row r="615">
      <c r="A615">
        <v>444</v>
      </c>
      <c r="B615">
        <v>359</v>
      </c>
      <c t="s" r="C615">
        <v>576</v>
      </c>
      <c r="E615">
        <f>0.15*B615</f>
        <v>53.85</v>
      </c>
      <c s="26" r="F615">
        <f>G615-E615</f>
        <v>16.155</v>
      </c>
      <c s="26" r="G615">
        <f>E615*H615</f>
        <v>70.005</v>
      </c>
      <c s="19" r="H615">
        <v>1.3</v>
      </c>
    </row>
    <row r="616">
      <c r="A616">
        <v>444</v>
      </c>
      <c r="B616">
        <v>173</v>
      </c>
      <c t="s" r="C616">
        <v>577</v>
      </c>
      <c r="E616">
        <f>0.1*B616</f>
        <v>17.3</v>
      </c>
      <c s="26" r="F616">
        <f>G616-E616</f>
        <v>1.211</v>
      </c>
      <c s="26" r="G616">
        <f>E616*H616</f>
        <v>18.511</v>
      </c>
      <c s="19" r="H616">
        <v>1.07</v>
      </c>
    </row>
    <row r="617">
      <c r="A617">
        <v>444</v>
      </c>
      <c r="B617">
        <v>175</v>
      </c>
      <c t="s" r="C617">
        <v>459</v>
      </c>
      <c r="E617">
        <f>0.47*B617</f>
        <v>82.25</v>
      </c>
      <c s="26" r="F617">
        <f>G617-E617</f>
        <v>1.645</v>
      </c>
      <c s="26" r="G617">
        <f>E617*H617</f>
        <v>83.895</v>
      </c>
      <c s="19" r="H617">
        <v>1.02</v>
      </c>
    </row>
    <row r="618">
      <c r="A618">
        <v>444</v>
      </c>
      <c r="B618">
        <v>110</v>
      </c>
      <c t="s" r="C618">
        <v>578</v>
      </c>
      <c r="E618">
        <f>0.25*B618</f>
        <v>27.5</v>
      </c>
      <c s="26" r="F618">
        <f>G618-E618</f>
        <v>6.6</v>
      </c>
      <c s="26" r="G618">
        <f>E618*H618</f>
        <v>34.1</v>
      </c>
      <c s="19" r="H618">
        <v>1.24</v>
      </c>
    </row>
    <row r="619">
      <c r="A619">
        <v>446</v>
      </c>
      <c r="B619">
        <v>10</v>
      </c>
      <c t="s" r="C619">
        <v>431</v>
      </c>
      <c r="E619">
        <f>0.2*B619</f>
        <v>2</v>
      </c>
      <c s="26" r="F619">
        <f>G619-E619</f>
        <v>0.56</v>
      </c>
      <c s="26" r="G619">
        <f>E619*H619</f>
        <v>2.56</v>
      </c>
      <c s="19" r="H619">
        <v>1.28</v>
      </c>
    </row>
    <row r="620">
      <c r="A620">
        <v>446</v>
      </c>
      <c r="B620">
        <v>19</v>
      </c>
      <c t="s" r="C620">
        <v>434</v>
      </c>
      <c r="E620">
        <f>0.17*B620</f>
        <v>3.23</v>
      </c>
      <c s="26" r="F620">
        <f>G620-E620</f>
        <v>0.646</v>
      </c>
      <c s="26" r="G620">
        <f>E620*H620</f>
        <v>3.876</v>
      </c>
      <c s="19" r="H620">
        <v>1.2</v>
      </c>
    </row>
    <row r="621">
      <c r="A621">
        <v>446</v>
      </c>
      <c r="B621">
        <v>1</v>
      </c>
      <c t="s" r="C621">
        <v>579</v>
      </c>
      <c r="E621">
        <f>0.11*B621</f>
        <v>0.11</v>
      </c>
      <c s="26" r="F621">
        <f>G621-E621</f>
        <v>0.605</v>
      </c>
      <c s="26" r="G621">
        <f>E621*H621</f>
        <v>0.715</v>
      </c>
      <c s="19" r="H621">
        <v>6.5</v>
      </c>
    </row>
    <row r="622">
      <c r="A622">
        <v>446</v>
      </c>
      <c r="B622">
        <v>5</v>
      </c>
      <c t="s" r="C622">
        <v>580</v>
      </c>
      <c r="E622">
        <f>0.18*B622</f>
        <v>0.9</v>
      </c>
      <c s="26" r="F622">
        <f>G622-E622</f>
        <v>0.18</v>
      </c>
      <c s="26" r="G622">
        <f>E622*H622</f>
        <v>1.08</v>
      </c>
      <c s="19" r="H622">
        <v>1.2</v>
      </c>
    </row>
    <row r="623">
      <c r="A623">
        <v>445</v>
      </c>
      <c r="B623">
        <v>310</v>
      </c>
      <c t="s" r="C623">
        <v>577</v>
      </c>
      <c r="E623">
        <f>0.1*B623</f>
        <v>31</v>
      </c>
      <c s="26" r="F623">
        <f>G623-E623</f>
        <v>2.17</v>
      </c>
      <c s="26" r="G623">
        <f>E623*H623</f>
        <v>33.17</v>
      </c>
      <c s="19" r="H623">
        <v>1.07</v>
      </c>
    </row>
    <row r="624">
      <c r="A624">
        <v>445</v>
      </c>
      <c r="B624">
        <v>4</v>
      </c>
      <c t="s" r="C624">
        <v>581</v>
      </c>
      <c r="E624">
        <f>1.10*B624</f>
        <v>4.4</v>
      </c>
      <c s="26" r="F624">
        <f>G624-E624</f>
        <v>2.86</v>
      </c>
      <c s="26" r="G624">
        <f>E624*H624</f>
        <v>7.26</v>
      </c>
      <c s="19" r="H624">
        <v>1.65</v>
      </c>
    </row>
    <row r="625">
      <c r="A625">
        <v>445</v>
      </c>
      <c r="B625">
        <v>17</v>
      </c>
      <c t="s" r="C625">
        <v>582</v>
      </c>
      <c r="E625">
        <f>0.10*B625</f>
        <v>1.7</v>
      </c>
      <c s="26" r="F625">
        <f>G625-E625</f>
        <v>0.153</v>
      </c>
      <c s="26" r="G625">
        <f>E625*H625</f>
        <v>1.853</v>
      </c>
      <c s="19" r="H625">
        <v>1.09</v>
      </c>
    </row>
    <row r="626">
      <c r="A626">
        <v>445</v>
      </c>
      <c r="B626">
        <v>435</v>
      </c>
      <c t="s" r="C626">
        <v>573</v>
      </c>
      <c r="E626">
        <f>0.02*B626</f>
        <v>8.7</v>
      </c>
      <c s="26" r="F626">
        <f>G626-E626</f>
        <v>1.218</v>
      </c>
      <c s="26" r="G626">
        <f>E626*H626</f>
        <v>9.918</v>
      </c>
      <c s="19" r="H626">
        <v>1.14</v>
      </c>
    </row>
    <row r="627">
      <c r="A627">
        <v>445</v>
      </c>
      <c r="B627">
        <v>16</v>
      </c>
      <c t="s" r="C627">
        <v>583</v>
      </c>
      <c r="E627">
        <f>0.2*B627</f>
        <v>3.2</v>
      </c>
      <c s="26" r="F627">
        <f>G627-E627</f>
        <v>0.32</v>
      </c>
      <c s="26" r="G627">
        <f>E627*H627</f>
        <v>3.52</v>
      </c>
      <c s="19" r="H627">
        <v>1.1</v>
      </c>
    </row>
    <row r="628">
      <c r="A628">
        <v>445</v>
      </c>
      <c r="B628">
        <v>89</v>
      </c>
      <c t="s" r="C628">
        <v>459</v>
      </c>
      <c r="E628">
        <f>0.47*B628</f>
        <v>41.83</v>
      </c>
      <c s="26" r="F628">
        <f>G628-E628</f>
        <v>0.836600000000004</v>
      </c>
      <c s="26" r="G628">
        <f>E628*H628</f>
        <v>42.6666</v>
      </c>
      <c s="19" r="H628">
        <v>1.02</v>
      </c>
    </row>
    <row r="629">
      <c r="A629">
        <v>445</v>
      </c>
      <c r="B629">
        <v>61</v>
      </c>
      <c t="s" r="C629">
        <v>432</v>
      </c>
      <c r="E629">
        <f>0.8*B629</f>
        <v>48.8</v>
      </c>
      <c s="26" r="F629">
        <f>G629-E629</f>
        <v>8.784</v>
      </c>
      <c s="26" r="G629">
        <f>E629*H629</f>
        <v>57.584</v>
      </c>
      <c s="19" r="H629">
        <v>1.18</v>
      </c>
    </row>
    <row r="630">
      <c r="A630">
        <v>445</v>
      </c>
      <c r="B630">
        <f>(1150*3)+1</f>
        <v>3451</v>
      </c>
      <c t="s" r="C630">
        <v>584</v>
      </c>
      <c r="E630">
        <f>0.01*B630</f>
        <v>34.51</v>
      </c>
      <c s="26" r="F630">
        <f>G630-E630</f>
        <v>3.451</v>
      </c>
      <c s="26" r="G630">
        <f>E630*H630</f>
        <v>37.961</v>
      </c>
      <c s="19" r="H630">
        <v>1.1</v>
      </c>
    </row>
    <row r="631">
      <c r="A631">
        <v>445</v>
      </c>
      <c r="B631">
        <v>24</v>
      </c>
      <c t="s" r="C631">
        <v>461</v>
      </c>
      <c r="E631">
        <f>0.47*B631</f>
        <v>11.28</v>
      </c>
      <c s="26" r="F631">
        <f>G631-E631</f>
        <v>29.892</v>
      </c>
      <c s="26" r="G631">
        <f>E631*H631</f>
        <v>41.172</v>
      </c>
      <c s="19" r="H631">
        <v>3.65</v>
      </c>
    </row>
    <row r="632">
      <c r="A632">
        <v>445</v>
      </c>
      <c r="B632">
        <v>601</v>
      </c>
      <c t="s" r="C632">
        <v>491</v>
      </c>
      <c r="E632">
        <f>0.04*B632</f>
        <v>24.04</v>
      </c>
      <c s="26" r="F632">
        <f>G632-E632</f>
        <v>4.808</v>
      </c>
      <c s="26" r="G632">
        <f>E632*H632</f>
        <v>28.848</v>
      </c>
      <c s="19" r="H632">
        <v>1.2</v>
      </c>
    </row>
    <row r="633">
      <c r="A633">
        <v>445</v>
      </c>
      <c r="B633">
        <v>2239</v>
      </c>
      <c t="s" r="C633">
        <v>538</v>
      </c>
      <c r="E633">
        <f>0.01*B633</f>
        <v>22.39</v>
      </c>
      <c s="26" r="F633">
        <f>G633-E633</f>
        <v>1.1195</v>
      </c>
      <c s="26" r="G633">
        <f>E633*H633</f>
        <v>23.5095</v>
      </c>
      <c s="19" r="H633">
        <v>1.05</v>
      </c>
    </row>
    <row r="634">
      <c r="A634">
        <v>445</v>
      </c>
      <c r="B634">
        <v>12</v>
      </c>
      <c t="s" r="C634">
        <v>575</v>
      </c>
      <c r="E634">
        <f>1.25*B634</f>
        <v>15</v>
      </c>
      <c s="26" r="F634">
        <f>G634-E634</f>
        <v>2.4</v>
      </c>
      <c s="26" r="G634">
        <f>E634*H634</f>
        <v>17.4</v>
      </c>
      <c s="19" r="H634">
        <v>1.16</v>
      </c>
    </row>
    <row r="635">
      <c r="A635">
        <v>445</v>
      </c>
      <c r="B635">
        <v>20</v>
      </c>
      <c t="s" r="C635">
        <v>490</v>
      </c>
      <c r="E635">
        <f>B635*0.13</f>
        <v>2.6</v>
      </c>
      <c s="26" r="F635">
        <f>G635-E635</f>
        <v>0.208</v>
      </c>
      <c s="26" r="G635">
        <f>E635*H635</f>
        <v>2.808</v>
      </c>
      <c s="19" r="H635">
        <v>1.08</v>
      </c>
    </row>
    <row r="636">
      <c r="A636">
        <v>445</v>
      </c>
      <c r="B636">
        <v>20</v>
      </c>
      <c t="s" r="C636">
        <v>434</v>
      </c>
      <c r="E636">
        <f>0.17*B636</f>
        <v>3.4</v>
      </c>
      <c s="26" r="F636">
        <f>G636-E636</f>
        <v>0.68</v>
      </c>
      <c s="26" r="G636">
        <f>E636*H636</f>
        <v>4.08</v>
      </c>
      <c s="19" r="H636">
        <v>1.2</v>
      </c>
    </row>
    <row r="637">
      <c r="A637">
        <v>445</v>
      </c>
      <c r="B637">
        <f>73*3</f>
        <v>219</v>
      </c>
      <c t="s" r="C637">
        <v>462</v>
      </c>
      <c r="E637">
        <f>0.15*B637</f>
        <v>32.85</v>
      </c>
      <c s="26" r="F637">
        <f>G637-E637</f>
        <v>3.942</v>
      </c>
      <c s="26" r="G637">
        <f>E637*H637</f>
        <v>36.792</v>
      </c>
      <c s="19" r="H637">
        <v>1.12</v>
      </c>
    </row>
    <row r="638">
      <c r="A638">
        <v>445</v>
      </c>
      <c r="B638">
        <v>29</v>
      </c>
      <c t="s" r="C638">
        <v>585</v>
      </c>
      <c r="E638">
        <f>0.4*B638</f>
        <v>11.6</v>
      </c>
      <c s="26" r="F638">
        <f>G638-E638</f>
        <v>1.972</v>
      </c>
      <c s="26" r="G638">
        <f>E638*H638</f>
        <v>13.572</v>
      </c>
      <c s="19" r="H638">
        <v>1.17</v>
      </c>
    </row>
    <row r="639">
      <c r="A639">
        <v>447</v>
      </c>
      <c r="B639">
        <v>563</v>
      </c>
      <c t="s" r="C639">
        <v>384</v>
      </c>
      <c r="E639">
        <f>B639*0.01</f>
        <v>5.63</v>
      </c>
      <c s="26" r="F639">
        <f>G639-E639</f>
        <v>0.429006</v>
      </c>
      <c s="26" r="G639">
        <f>E639*H639</f>
        <v>6.059006</v>
      </c>
      <c s="19" r="H639">
        <v>1.0762</v>
      </c>
    </row>
    <row r="640">
      <c r="A640">
        <v>447</v>
      </c>
      <c r="B640">
        <v>301</v>
      </c>
      <c t="s" r="C640">
        <v>327</v>
      </c>
      <c r="E640">
        <f>0.04*B640</f>
        <v>12.04</v>
      </c>
      <c s="26" r="F640">
        <f>G640-E640</f>
        <v>4.214</v>
      </c>
      <c s="26" r="G640">
        <f>E640*H640</f>
        <v>16.254</v>
      </c>
      <c s="19" r="H640">
        <v>1.35</v>
      </c>
    </row>
    <row r="641">
      <c r="A641">
        <v>448</v>
      </c>
      <c r="B641">
        <v>703</v>
      </c>
      <c t="s" r="C641">
        <v>384</v>
      </c>
      <c r="E641">
        <f>B641*0.01</f>
        <v>7.03</v>
      </c>
      <c s="26" r="F641">
        <f>G641-E641</f>
        <v>0.535686</v>
      </c>
      <c s="26" r="G641">
        <f>E641*H641</f>
        <v>7.565686</v>
      </c>
      <c s="19" r="H641">
        <v>1.0762</v>
      </c>
    </row>
    <row r="642">
      <c r="A642">
        <v>448</v>
      </c>
      <c r="B642">
        <v>190</v>
      </c>
      <c t="s" r="C642">
        <v>328</v>
      </c>
      <c r="E642">
        <f>0.04*B642</f>
        <v>7.6</v>
      </c>
      <c s="26" r="F642">
        <f>G642-E642</f>
        <v>1.292</v>
      </c>
      <c s="26" r="G642">
        <f>E642*H642</f>
        <v>8.892</v>
      </c>
      <c s="19" r="H642">
        <v>1.17</v>
      </c>
    </row>
    <row r="643">
      <c r="A643">
        <v>449</v>
      </c>
      <c r="B643">
        <v>113</v>
      </c>
      <c t="s" r="C643">
        <v>490</v>
      </c>
      <c r="E643">
        <f>B643*0.13</f>
        <v>14.69</v>
      </c>
      <c s="26" r="F643">
        <f>G643-E643</f>
        <v>1.1752</v>
      </c>
      <c s="26" r="G643">
        <f>E643*H643</f>
        <v>15.8652</v>
      </c>
      <c s="19" r="H643">
        <v>1.08</v>
      </c>
    </row>
    <row r="644">
      <c r="A644">
        <v>450</v>
      </c>
      <c r="B644">
        <v>876</v>
      </c>
      <c t="s" r="C644">
        <v>384</v>
      </c>
      <c r="E644">
        <f>B644*0.01</f>
        <v>8.76</v>
      </c>
      <c s="26" r="F644">
        <f>G644-E644</f>
        <v>0.667512</v>
      </c>
      <c s="26" r="G644">
        <f>E644*H644</f>
        <v>9.427512</v>
      </c>
      <c s="19" r="H644">
        <v>1.0762</v>
      </c>
    </row>
    <row r="645">
      <c r="A645">
        <v>451</v>
      </c>
      <c r="B645">
        <v>3060</v>
      </c>
      <c t="s" r="C645">
        <v>384</v>
      </c>
      <c r="E645">
        <f>B645*0.01</f>
        <v>30.6</v>
      </c>
      <c s="26" r="F645">
        <f>G645-E645</f>
        <v>2.33172</v>
      </c>
      <c s="26" r="G645">
        <f>E645*H645</f>
        <v>32.93172</v>
      </c>
      <c s="19" r="H645">
        <v>1.0762</v>
      </c>
    </row>
    <row r="646">
      <c r="A646">
        <v>452</v>
      </c>
      <c r="B646">
        <v>435</v>
      </c>
      <c t="s" r="C646">
        <v>384</v>
      </c>
      <c r="E646">
        <f>B646*0.01</f>
        <v>4.35</v>
      </c>
      <c s="26" r="F646">
        <f>G646-E646</f>
        <v>0.33147</v>
      </c>
      <c s="26" r="G646">
        <f>E646*H646</f>
        <v>4.68147</v>
      </c>
      <c s="19" r="H646">
        <v>1.0762</v>
      </c>
    </row>
    <row r="647">
      <c r="A647">
        <v>453</v>
      </c>
      <c r="B647">
        <v>422</v>
      </c>
      <c t="s" r="C647">
        <v>56</v>
      </c>
      <c r="E647">
        <f>0.3*B647</f>
        <v>126.6</v>
      </c>
      <c s="26" r="F647">
        <f>G647-E647</f>
        <v>6.33000000000001</v>
      </c>
      <c s="26" r="G647">
        <f>E647*H647</f>
        <v>132.93</v>
      </c>
      <c s="19" r="H647">
        <v>1.05</v>
      </c>
    </row>
    <row r="648">
      <c r="A648">
        <v>454</v>
      </c>
      <c r="B648">
        <v>72</v>
      </c>
      <c t="s" r="C648">
        <v>384</v>
      </c>
      <c r="E648">
        <f>B648*0.01</f>
        <v>0.72</v>
      </c>
      <c s="26" r="F648">
        <f>G648-E648</f>
        <v>0.054864</v>
      </c>
      <c s="26" r="G648">
        <f>E648*H648</f>
        <v>0.774864</v>
      </c>
      <c s="19" r="H648">
        <v>1.0762</v>
      </c>
    </row>
    <row r="649">
      <c r="A649">
        <v>454</v>
      </c>
      <c r="B649">
        <v>336</v>
      </c>
      <c t="s" r="C649">
        <v>447</v>
      </c>
      <c r="E649">
        <f>B649*0.01</f>
        <v>3.36</v>
      </c>
      <c s="26" r="F649">
        <f>G649-E649</f>
        <v>0.256032</v>
      </c>
      <c s="26" r="G649">
        <f>E649*H649</f>
        <v>3.616032</v>
      </c>
      <c s="19" r="H649">
        <v>1.0762</v>
      </c>
    </row>
    <row r="650">
      <c r="A650">
        <v>454</v>
      </c>
      <c r="B650">
        <v>559</v>
      </c>
      <c t="s" r="C650">
        <v>331</v>
      </c>
      <c r="E650">
        <f>0.01*B650</f>
        <v>5.59</v>
      </c>
      <c s="26" r="F650">
        <f>G650-E650</f>
        <v>1.5652</v>
      </c>
      <c s="26" r="G650">
        <f>E650*H650</f>
        <v>7.1552</v>
      </c>
      <c s="19" r="H650">
        <v>1.28</v>
      </c>
    </row>
    <row r="651">
      <c r="A651">
        <v>455</v>
      </c>
      <c r="B651">
        <v>217</v>
      </c>
      <c t="s" r="C651">
        <v>384</v>
      </c>
      <c r="E651">
        <f>B651*0.01</f>
        <v>2.17</v>
      </c>
      <c s="26" r="F651">
        <f>G651-E651</f>
        <v>0.165354</v>
      </c>
      <c s="26" r="G651">
        <f>E651*H651</f>
        <v>2.335354</v>
      </c>
      <c s="19" r="H651">
        <v>1.0762</v>
      </c>
    </row>
    <row r="652">
      <c r="A652">
        <v>455</v>
      </c>
      <c r="B652">
        <v>220</v>
      </c>
      <c t="s" r="C652">
        <v>447</v>
      </c>
      <c r="E652">
        <f>B652*0.01</f>
        <v>2.2</v>
      </c>
      <c s="26" r="F652">
        <f>G652-E652</f>
        <v>0.16764</v>
      </c>
      <c s="26" r="G652">
        <f>E652*H652</f>
        <v>2.36764</v>
      </c>
      <c s="19" r="H652">
        <v>1.0762</v>
      </c>
    </row>
    <row r="653">
      <c r="A653">
        <v>455</v>
      </c>
      <c r="B653">
        <v>428</v>
      </c>
      <c t="s" r="C653">
        <v>332</v>
      </c>
      <c r="E653">
        <f>0.02*B653</f>
        <v>8.56</v>
      </c>
      <c s="26" r="F653">
        <f>G653-E653</f>
        <v>2.14</v>
      </c>
      <c s="26" r="G653">
        <f>E653*H653</f>
        <v>10.7</v>
      </c>
      <c s="19" r="H653">
        <v>1.25</v>
      </c>
    </row>
    <row r="654">
      <c r="A654">
        <v>456</v>
      </c>
      <c r="B654">
        <v>10</v>
      </c>
      <c t="s" r="C654">
        <v>586</v>
      </c>
      <c r="E654">
        <f>0.65*B654</f>
        <v>6.5</v>
      </c>
      <c s="26" r="F654">
        <f>G654-E654</f>
        <v>1.3</v>
      </c>
      <c s="26" r="G654">
        <f>E654*H654</f>
        <v>7.8</v>
      </c>
      <c s="19" r="H654">
        <v>1.2</v>
      </c>
    </row>
    <row r="655">
      <c r="A655">
        <v>456</v>
      </c>
      <c r="B655">
        <v>20</v>
      </c>
      <c t="s" r="C655">
        <v>587</v>
      </c>
      <c r="E655">
        <f>0.19*B655</f>
        <v>3.8</v>
      </c>
      <c s="26" r="F655">
        <f>G655-E655</f>
        <v>0.076</v>
      </c>
      <c s="26" r="G655">
        <f>E655*H655</f>
        <v>3.876</v>
      </c>
      <c s="19" r="H655">
        <v>1.02</v>
      </c>
    </row>
    <row r="656">
      <c r="A656">
        <v>456</v>
      </c>
      <c r="B656">
        <v>2</v>
      </c>
      <c t="s" r="C656">
        <v>474</v>
      </c>
      <c r="E656">
        <f>1.2*B656</f>
        <v>2.4</v>
      </c>
      <c s="26" r="F656">
        <f>G656-E656</f>
        <v>0.336</v>
      </c>
      <c s="26" r="G656">
        <f>E656*H656</f>
        <v>2.736</v>
      </c>
      <c s="19" r="H656">
        <v>1.14</v>
      </c>
    </row>
    <row r="657">
      <c r="A657">
        <v>456</v>
      </c>
      <c r="B657">
        <v>16</v>
      </c>
      <c t="s" r="C657">
        <v>576</v>
      </c>
      <c r="E657">
        <f>0.15*B657</f>
        <v>2.4</v>
      </c>
      <c s="26" r="F657">
        <f>G657-E657</f>
        <v>0.72</v>
      </c>
      <c s="26" r="G657">
        <f>E657*H657</f>
        <v>3.12</v>
      </c>
      <c s="19" r="H657">
        <v>1.3</v>
      </c>
    </row>
    <row r="658">
      <c r="A658">
        <v>457</v>
      </c>
      <c r="B658">
        <v>146</v>
      </c>
      <c t="s" r="C658">
        <v>490</v>
      </c>
      <c r="E658">
        <f>B658*0.13</f>
        <v>18.98</v>
      </c>
      <c s="26" r="F658">
        <f>G658-E658</f>
        <v>1.5184</v>
      </c>
      <c s="26" r="G658">
        <f>E658*H658</f>
        <v>20.4984</v>
      </c>
      <c s="19" r="H658">
        <v>1.08</v>
      </c>
    </row>
    <row r="659">
      <c r="A659">
        <v>458</v>
      </c>
      <c r="B659">
        <v>1</v>
      </c>
      <c t="s" r="C659">
        <v>588</v>
      </c>
      <c r="E659">
        <v>12.89</v>
      </c>
      <c s="26" r="F659">
        <f>G659-E659</f>
        <v>88.070925</v>
      </c>
      <c s="26" r="G659">
        <f>E659*H659</f>
        <v>100.960925</v>
      </c>
      <c s="19" r="H659">
        <v>7.8325</v>
      </c>
    </row>
    <row r="660">
      <c r="A660">
        <v>458</v>
      </c>
      <c r="B660">
        <v>1</v>
      </c>
      <c t="s" r="C660">
        <v>562</v>
      </c>
      <c r="E660">
        <v>1.7</v>
      </c>
      <c s="26" r="F660">
        <f>G660-E660</f>
        <v>9.52</v>
      </c>
      <c s="26" r="G660">
        <f>E660*H660</f>
        <v>11.22</v>
      </c>
      <c s="19" r="H660">
        <v>6.6</v>
      </c>
    </row>
    <row r="661">
      <c r="A661">
        <v>458</v>
      </c>
      <c r="B661">
        <v>1</v>
      </c>
      <c t="s" r="C661">
        <v>564</v>
      </c>
      <c r="E661">
        <f>0.12*B661</f>
        <v>0.12</v>
      </c>
      <c s="26" r="F661">
        <f>G661-E661</f>
        <v>0.27</v>
      </c>
      <c s="26" r="G661">
        <f>E661*H661</f>
        <v>0.39</v>
      </c>
      <c s="19" r="H661">
        <v>3.25</v>
      </c>
    </row>
    <row r="662">
      <c r="A662">
        <v>458</v>
      </c>
      <c r="B662">
        <v>1</v>
      </c>
      <c t="s" r="C662">
        <v>560</v>
      </c>
      <c r="E662">
        <f>4.5*B662</f>
        <v>4.5</v>
      </c>
      <c s="26" r="F662">
        <f>G662-E662</f>
        <v>0.45</v>
      </c>
      <c s="26" r="G662">
        <f>E662*H662</f>
        <v>4.95</v>
      </c>
      <c s="19" r="H662">
        <v>1.1</v>
      </c>
    </row>
    <row r="663">
      <c r="A663">
        <v>459</v>
      </c>
      <c r="B663">
        <v>1</v>
      </c>
      <c t="s" r="C663">
        <v>589</v>
      </c>
      <c r="E663">
        <v>129</v>
      </c>
      <c s="26" r="F663">
        <f>G663-E663</f>
        <v>11.61</v>
      </c>
      <c s="26" r="G663">
        <f>E663*H663</f>
        <v>140.61</v>
      </c>
      <c s="19" r="H663">
        <v>1.09</v>
      </c>
    </row>
    <row r="664">
      <c r="A664">
        <v>459</v>
      </c>
      <c r="B664">
        <v>4</v>
      </c>
      <c t="s" r="C664">
        <v>559</v>
      </c>
      <c r="E664">
        <f>4.5*B664</f>
        <v>18</v>
      </c>
      <c s="26" r="F664">
        <f>G664-E664</f>
        <v>1.8</v>
      </c>
      <c s="26" r="G664">
        <f>E664*H664</f>
        <v>19.8</v>
      </c>
      <c s="19" r="H664">
        <v>1.1</v>
      </c>
    </row>
    <row r="665">
      <c r="A665">
        <v>459</v>
      </c>
      <c r="B665">
        <v>6</v>
      </c>
      <c t="s" r="C665">
        <v>562</v>
      </c>
      <c r="E665">
        <v>1.7</v>
      </c>
      <c s="26" r="F665">
        <f>G665-E665</f>
        <v>9.52</v>
      </c>
      <c s="26" r="G665">
        <f>E665*H665</f>
        <v>11.22</v>
      </c>
      <c s="19" r="H665">
        <v>6.6</v>
      </c>
    </row>
    <row r="666">
      <c r="A666">
        <v>459</v>
      </c>
      <c r="B666">
        <v>4</v>
      </c>
      <c t="s" r="C666">
        <v>509</v>
      </c>
      <c r="E666">
        <v>0.72</v>
      </c>
      <c s="26" r="F666">
        <f>G666-E666</f>
        <v>0.72</v>
      </c>
      <c s="26" r="G666">
        <f>E666*H666</f>
        <v>1.44</v>
      </c>
      <c s="19" r="H666">
        <v>2</v>
      </c>
    </row>
    <row r="667">
      <c r="A667">
        <v>461</v>
      </c>
      <c r="B667">
        <v>1</v>
      </c>
      <c t="s" r="C667">
        <v>560</v>
      </c>
      <c r="E667">
        <f>4.5*B667</f>
        <v>4.5</v>
      </c>
      <c s="26" r="F667">
        <f>G667-E667</f>
        <v>0.45</v>
      </c>
      <c s="26" r="G667">
        <f>E667*H667</f>
        <v>4.95</v>
      </c>
      <c s="19" r="H667">
        <v>1.1</v>
      </c>
    </row>
    <row r="668">
      <c r="A668">
        <v>461</v>
      </c>
      <c r="B668">
        <v>1</v>
      </c>
      <c t="s" r="C668">
        <v>559</v>
      </c>
      <c r="E668">
        <f>4.5*B668</f>
        <v>4.5</v>
      </c>
      <c s="26" r="F668">
        <f>G668-E668</f>
        <v>0.45</v>
      </c>
      <c s="26" r="G668">
        <f>E668*H668</f>
        <v>4.95</v>
      </c>
      <c s="19" r="H668">
        <v>1.1</v>
      </c>
    </row>
    <row r="669">
      <c r="A669">
        <v>462</v>
      </c>
      <c r="B669">
        <v>1006</v>
      </c>
      <c t="s" r="C669">
        <v>56</v>
      </c>
      <c r="E669">
        <f>0.3*B669</f>
        <v>301.8</v>
      </c>
      <c s="26" r="F669">
        <f>G669-E669</f>
        <v>15.09</v>
      </c>
      <c s="26" r="G669">
        <f>E669*H669</f>
        <v>316.89</v>
      </c>
      <c s="19" r="H669">
        <v>1.05</v>
      </c>
    </row>
    <row r="670">
      <c r="A670">
        <v>462</v>
      </c>
      <c r="B670">
        <v>1</v>
      </c>
      <c t="s" r="C670">
        <v>590</v>
      </c>
      <c r="E670">
        <v>0.01</v>
      </c>
      <c s="26" r="F670">
        <f>G670-E670</f>
        <v>14.99</v>
      </c>
      <c s="26" r="G670">
        <f>E670*H670</f>
        <v>15</v>
      </c>
      <c s="19" r="H670">
        <v>1500</v>
      </c>
    </row>
    <row r="671">
      <c r="A671">
        <v>463</v>
      </c>
      <c r="B671">
        <v>1</v>
      </c>
      <c t="s" r="C671">
        <v>558</v>
      </c>
      <c r="E671">
        <v>7</v>
      </c>
      <c s="26" r="F671">
        <f>G671-E671</f>
        <v>1.4</v>
      </c>
      <c s="26" r="G671">
        <f>E671*H671</f>
        <v>8.4</v>
      </c>
      <c s="19" r="H671">
        <v>1.2</v>
      </c>
    </row>
    <row r="672">
      <c r="A672">
        <v>463</v>
      </c>
      <c r="B672">
        <v>84</v>
      </c>
      <c t="s" r="C672">
        <v>490</v>
      </c>
      <c r="E672">
        <f>B672*0.13</f>
        <v>10.92</v>
      </c>
      <c s="26" r="F672">
        <f>G672-E672</f>
        <v>0.873600000000002</v>
      </c>
      <c s="26" r="G672">
        <f>E672*H672</f>
        <v>11.7936</v>
      </c>
      <c s="19" r="H672">
        <v>1.08</v>
      </c>
    </row>
    <row r="673">
      <c r="A673">
        <v>464</v>
      </c>
      <c r="B673">
        <v>2482</v>
      </c>
      <c t="s" r="C673">
        <v>384</v>
      </c>
      <c r="E673">
        <f>B673*0.01</f>
        <v>24.82</v>
      </c>
      <c s="26" r="F673">
        <f>G673-E673</f>
        <v>1.891284</v>
      </c>
      <c s="26" r="G673">
        <f>E673*H673</f>
        <v>26.711284</v>
      </c>
      <c s="19" r="H673">
        <v>1.0762</v>
      </c>
    </row>
    <row r="674">
      <c r="A674">
        <v>465</v>
      </c>
      <c r="B674">
        <f>178+412</f>
        <v>590</v>
      </c>
      <c t="s" r="C674">
        <v>139</v>
      </c>
      <c r="E674">
        <f>0.4*B674</f>
        <v>236</v>
      </c>
      <c s="26" r="F674">
        <f>G674-E674</f>
        <v>0</v>
      </c>
      <c s="26" r="G674">
        <f>E674*H674</f>
        <v>236</v>
      </c>
      <c s="19" r="H674">
        <v>1</v>
      </c>
    </row>
    <row r="675">
      <c r="A675">
        <v>466</v>
      </c>
      <c r="B675">
        <f>454+269</f>
        <v>723</v>
      </c>
      <c t="s" r="C675">
        <v>325</v>
      </c>
      <c r="E675">
        <f>0.75*B675</f>
        <v>542.25</v>
      </c>
      <c s="26" r="F675">
        <f>G675-E675</f>
        <v>21.6900000000001</v>
      </c>
      <c s="26" r="G675">
        <f>E675*H675</f>
        <v>563.94</v>
      </c>
      <c s="19" r="H675">
        <v>1.04</v>
      </c>
    </row>
    <row r="676">
      <c r="A676">
        <v>466</v>
      </c>
      <c r="B676">
        <f>42333+6406</f>
        <v>48739</v>
      </c>
      <c t="s" r="C676">
        <v>384</v>
      </c>
      <c r="E676">
        <f>B676*0.01</f>
        <v>487.39</v>
      </c>
      <c s="26" r="F676">
        <f>G676-E676</f>
        <v>37.1391180000001</v>
      </c>
      <c s="26" r="G676">
        <f>E676*H676</f>
        <v>524.529118</v>
      </c>
      <c s="19" r="H676">
        <v>1.0762</v>
      </c>
    </row>
    <row r="677">
      <c r="A677">
        <v>467</v>
      </c>
      <c r="B677">
        <v>2451</v>
      </c>
      <c t="s" r="C677">
        <v>384</v>
      </c>
      <c r="E677">
        <f>B677*0.01</f>
        <v>24.51</v>
      </c>
      <c s="26" r="F677">
        <f>G677-E677</f>
        <v>1.867662</v>
      </c>
      <c s="26" r="G677">
        <f>E677*H677</f>
        <v>26.377662</v>
      </c>
      <c s="19" r="H677">
        <v>1.0762</v>
      </c>
    </row>
    <row r="678">
      <c r="A678">
        <v>468</v>
      </c>
      <c r="B678">
        <v>1405</v>
      </c>
      <c t="s" r="C678">
        <v>384</v>
      </c>
      <c r="E678">
        <f>B678*0.01</f>
        <v>14.05</v>
      </c>
      <c s="26" r="F678">
        <f>G678-E678</f>
        <v>1.07061</v>
      </c>
      <c s="26" r="G678">
        <f>E678*H678</f>
        <v>15.12061</v>
      </c>
      <c s="19" r="H678">
        <v>1.0762</v>
      </c>
    </row>
    <row r="679">
      <c r="A679">
        <v>469</v>
      </c>
      <c r="B679">
        <v>1633</v>
      </c>
      <c t="s" r="C679">
        <v>384</v>
      </c>
      <c r="E679">
        <f>B679*0.01</f>
        <v>16.33</v>
      </c>
      <c s="26" r="F679">
        <f>G679-E679</f>
        <v>1.244346</v>
      </c>
      <c s="26" r="G679">
        <f>E679*H679</f>
        <v>17.574346</v>
      </c>
      <c s="19" r="H679">
        <v>1.0762</v>
      </c>
    </row>
    <row r="680">
      <c r="A680">
        <v>469</v>
      </c>
      <c r="B680">
        <v>2166</v>
      </c>
      <c t="s" r="C680">
        <v>447</v>
      </c>
      <c r="E680">
        <f>B680*0.01</f>
        <v>21.66</v>
      </c>
      <c s="26" r="F680">
        <f>G680-E680</f>
        <v>1.650492</v>
      </c>
      <c s="26" r="G680">
        <f>E680*H680</f>
        <v>23.310492</v>
      </c>
      <c s="19" r="H680">
        <v>1.0762</v>
      </c>
    </row>
    <row r="681">
      <c r="A681">
        <v>470</v>
      </c>
      <c r="B681">
        <v>538</v>
      </c>
      <c t="s" r="C681">
        <v>384</v>
      </c>
      <c r="E681">
        <f>B681*0.01</f>
        <v>5.38</v>
      </c>
      <c s="26" r="F681">
        <f>G681-E681</f>
        <v>0.409956</v>
      </c>
      <c s="26" r="G681">
        <f>E681*H681</f>
        <v>5.789956</v>
      </c>
      <c s="19" r="H681">
        <v>1.0762</v>
      </c>
    </row>
    <row r="682">
      <c r="A682">
        <v>471</v>
      </c>
      <c r="B682">
        <v>706</v>
      </c>
      <c t="s" r="C682">
        <v>384</v>
      </c>
      <c r="E682">
        <f>B682*0.01</f>
        <v>7.06</v>
      </c>
      <c s="26" r="F682">
        <f>G682-E682</f>
        <v>0.537972000000001</v>
      </c>
      <c s="26" r="G682">
        <f>E682*H682</f>
        <v>7.597972</v>
      </c>
      <c s="19" r="H682">
        <v>1.0762</v>
      </c>
    </row>
    <row r="683">
      <c r="A683">
        <v>472</v>
      </c>
      <c r="B683">
        <v>8294</v>
      </c>
      <c t="s" r="C683">
        <v>384</v>
      </c>
      <c r="E683">
        <f>B683*0.01</f>
        <v>82.94</v>
      </c>
      <c s="26" r="F683">
        <f>G683-E683</f>
        <v>6.32002800000001</v>
      </c>
      <c s="26" r="G683">
        <f>E683*H683</f>
        <v>89.260028</v>
      </c>
      <c s="19" r="H683">
        <v>1.0762</v>
      </c>
    </row>
    <row r="684">
      <c r="A684">
        <v>472</v>
      </c>
      <c r="B684">
        <v>1093</v>
      </c>
      <c t="s" r="C684">
        <v>328</v>
      </c>
      <c r="E684">
        <f>0.04*B684</f>
        <v>43.72</v>
      </c>
      <c s="26" r="F684">
        <f>G684-E684</f>
        <v>5.6836</v>
      </c>
      <c s="26" r="G684">
        <f>E684*H684</f>
        <v>49.4036</v>
      </c>
      <c s="19" r="H684">
        <v>1.13</v>
      </c>
    </row>
    <row r="685">
      <c r="A685">
        <v>473</v>
      </c>
      <c r="B685">
        <v>53</v>
      </c>
      <c t="s" r="C685">
        <v>447</v>
      </c>
      <c r="E685">
        <f>B685*0.01</f>
        <v>0.53</v>
      </c>
      <c s="26" r="F685">
        <f>G685-E685</f>
        <v>0.040386</v>
      </c>
      <c s="26" r="G685">
        <f>E685*H685</f>
        <v>0.570386</v>
      </c>
      <c s="19" r="H685">
        <v>1.0762</v>
      </c>
    </row>
    <row r="686">
      <c r="A686">
        <v>473</v>
      </c>
      <c r="B686">
        <v>61</v>
      </c>
      <c t="s" r="C686">
        <v>384</v>
      </c>
      <c r="E686">
        <f>B686*0.01</f>
        <v>0.61</v>
      </c>
      <c s="26" r="F686">
        <f>G686-E686</f>
        <v>0.046482</v>
      </c>
      <c s="26" r="G686">
        <f>E686*H686</f>
        <v>0.656482</v>
      </c>
      <c s="19" r="H686">
        <v>1.0762</v>
      </c>
    </row>
    <row r="687">
      <c r="A687">
        <v>473</v>
      </c>
      <c r="B687">
        <v>145</v>
      </c>
      <c t="s" r="C687">
        <v>332</v>
      </c>
      <c r="E687">
        <f>0.02*B687</f>
        <v>2.9</v>
      </c>
      <c s="26" r="F687">
        <f>G687-E687</f>
        <v>0.551</v>
      </c>
      <c s="26" r="G687">
        <f>E687*H687</f>
        <v>3.451</v>
      </c>
      <c s="19" r="H687">
        <v>1.19</v>
      </c>
    </row>
    <row r="688">
      <c r="A688">
        <v>474</v>
      </c>
      <c r="B688">
        <v>2403</v>
      </c>
      <c t="s" r="C688">
        <v>447</v>
      </c>
      <c r="E688">
        <f>B688*0.01</f>
        <v>24.03</v>
      </c>
      <c s="26" r="F688">
        <f>G688-E688</f>
        <v>1.831086</v>
      </c>
      <c s="26" r="G688">
        <f>E688*H688</f>
        <v>25.861086</v>
      </c>
      <c s="19" r="H688">
        <v>1.0762</v>
      </c>
    </row>
    <row r="689">
      <c r="A689">
        <v>474</v>
      </c>
      <c r="B689">
        <v>7731</v>
      </c>
      <c t="s" r="C689">
        <v>384</v>
      </c>
      <c r="E689">
        <f>B689*0.01</f>
        <v>77.31</v>
      </c>
      <c s="26" r="F689">
        <f>G689-E689</f>
        <v>5.89102200000001</v>
      </c>
      <c s="26" r="G689">
        <f>E689*H689</f>
        <v>83.201022</v>
      </c>
      <c s="19" r="H689">
        <v>1.0762</v>
      </c>
    </row>
    <row r="690">
      <c r="A690">
        <v>474</v>
      </c>
      <c r="B690">
        <v>43</v>
      </c>
      <c t="s" r="C690">
        <v>92</v>
      </c>
      <c r="E690">
        <f>0.40*B690</f>
        <v>17.2</v>
      </c>
      <c s="26" r="F690">
        <f>G690-E690</f>
        <v>18.92</v>
      </c>
      <c s="26" r="G690">
        <f>E690*H690</f>
        <v>36.12</v>
      </c>
      <c s="19" r="H690">
        <v>2.1</v>
      </c>
    </row>
    <row r="691">
      <c r="A691">
        <v>475</v>
      </c>
      <c r="B691">
        <v>115</v>
      </c>
      <c t="s" r="C691">
        <v>431</v>
      </c>
      <c r="E691">
        <f>0.2*B691</f>
        <v>23</v>
      </c>
      <c s="26" r="F691">
        <f>G691-E691</f>
        <v>6.44</v>
      </c>
      <c s="26" r="G691">
        <f>E691*H691</f>
        <v>29.44</v>
      </c>
      <c s="19" r="H691">
        <v>1.28</v>
      </c>
    </row>
    <row r="692">
      <c r="A692">
        <v>475</v>
      </c>
      <c r="B692">
        <v>145</v>
      </c>
      <c t="s" r="C692">
        <v>434</v>
      </c>
      <c r="E692">
        <f>0.17*B692</f>
        <v>24.65</v>
      </c>
      <c s="26" r="F692">
        <f>G692-E692</f>
        <v>4.93</v>
      </c>
      <c s="26" r="G692">
        <f>E692*H692</f>
        <v>29.58</v>
      </c>
      <c s="19" r="H692">
        <v>1.2</v>
      </c>
    </row>
    <row r="693">
      <c r="A693">
        <v>475</v>
      </c>
      <c r="B693">
        <v>4</v>
      </c>
      <c t="s" r="C693">
        <v>474</v>
      </c>
      <c r="E693">
        <f>1.2*B693</f>
        <v>4.8</v>
      </c>
      <c s="26" r="F693">
        <f>G693-E693</f>
        <v>0.672</v>
      </c>
      <c s="26" r="G693">
        <f>E693*H693</f>
        <v>5.472</v>
      </c>
      <c s="19" r="H693">
        <v>1.14</v>
      </c>
    </row>
    <row r="694">
      <c r="A694">
        <v>475</v>
      </c>
      <c r="B694">
        <v>28</v>
      </c>
      <c t="s" r="C694">
        <v>432</v>
      </c>
      <c r="E694">
        <f>0.8*B694</f>
        <v>22.4</v>
      </c>
      <c s="26" r="F694">
        <f>G694-E694</f>
        <v>4.48</v>
      </c>
      <c s="26" r="G694">
        <f>E694*H694</f>
        <v>26.88</v>
      </c>
      <c s="19" r="H694">
        <v>1.2</v>
      </c>
    </row>
    <row r="695">
      <c r="A695">
        <v>475</v>
      </c>
      <c r="B695">
        <v>926</v>
      </c>
      <c t="s" r="C695">
        <v>433</v>
      </c>
      <c r="E695">
        <f>B695*0.04</f>
        <v>37.04</v>
      </c>
      <c s="26" r="F695">
        <f>G695-E695</f>
        <v>4.4448</v>
      </c>
      <c s="26" r="G695">
        <f>E695*H695</f>
        <v>41.4848</v>
      </c>
      <c s="19" r="H695">
        <v>1.12</v>
      </c>
    </row>
    <row r="696">
      <c r="A696">
        <v>476</v>
      </c>
      <c r="B696">
        <v>1536</v>
      </c>
      <c t="s" r="C696">
        <v>384</v>
      </c>
      <c r="E696">
        <f>B696*0.01</f>
        <v>15.36</v>
      </c>
      <c s="26" r="F696">
        <f>G696-E696</f>
        <v>1.170432</v>
      </c>
      <c s="26" r="G696">
        <f>E696*H696</f>
        <v>16.530432</v>
      </c>
      <c s="19" r="H696">
        <v>1.0762</v>
      </c>
    </row>
    <row r="697">
      <c r="A697">
        <v>476</v>
      </c>
      <c r="B697">
        <v>151</v>
      </c>
      <c t="s" r="C697">
        <v>103</v>
      </c>
      <c r="E697">
        <f>0.2*B697</f>
        <v>30.2</v>
      </c>
      <c s="26" r="F697">
        <f>G697-E697</f>
        <v>4.22799999999999</v>
      </c>
      <c s="26" r="G697">
        <f>E697*H697</f>
        <v>34.428</v>
      </c>
      <c s="19" r="H697">
        <v>1.14</v>
      </c>
    </row>
    <row r="698">
      <c r="A698">
        <v>477</v>
      </c>
      <c r="B698">
        <v>237</v>
      </c>
      <c t="s" r="C698">
        <v>490</v>
      </c>
      <c r="E698">
        <f>B698*0.13</f>
        <v>30.81</v>
      </c>
      <c s="26" r="F698">
        <f>G698-E698</f>
        <v>2.7729</v>
      </c>
      <c s="26" r="G698">
        <f>E698*H698</f>
        <v>33.5829</v>
      </c>
      <c s="19" r="H698">
        <v>1.09</v>
      </c>
    </row>
    <row r="699">
      <c r="A699">
        <v>477</v>
      </c>
      <c r="B699">
        <v>1</v>
      </c>
      <c t="s" r="C699">
        <v>591</v>
      </c>
      <c r="E699">
        <v>7</v>
      </c>
      <c s="26" r="F699">
        <f>G699-E699</f>
        <v>7</v>
      </c>
      <c s="26" r="G699">
        <f>E699*H699</f>
        <v>14</v>
      </c>
      <c s="19" r="H699">
        <v>2</v>
      </c>
    </row>
    <row r="700">
      <c r="A700">
        <v>478</v>
      </c>
      <c r="B700">
        <v>544</v>
      </c>
      <c t="s" r="C700">
        <v>384</v>
      </c>
      <c r="E700">
        <f>B700*0.01</f>
        <v>5.44</v>
      </c>
      <c s="26" r="F700">
        <f>G700-E700</f>
        <v>0.414528000000001</v>
      </c>
      <c s="26" r="G700">
        <f>E700*H700</f>
        <v>5.854528</v>
      </c>
      <c s="19" r="H700">
        <v>1.0762</v>
      </c>
    </row>
    <row r="701">
      <c r="A701">
        <v>479</v>
      </c>
      <c r="B701">
        <v>1115</v>
      </c>
      <c t="s" r="C701">
        <v>139</v>
      </c>
      <c r="E701">
        <f>0.4*B701</f>
        <v>446</v>
      </c>
      <c s="26" r="F701">
        <f>G701-E701</f>
        <v>22.3</v>
      </c>
      <c s="26" r="G701">
        <f>E701*H701</f>
        <v>468.3</v>
      </c>
      <c s="19" r="H701">
        <v>1.05</v>
      </c>
    </row>
    <row r="702">
      <c r="A702">
        <v>479</v>
      </c>
      <c r="B702">
        <v>36906</v>
      </c>
      <c t="s" r="C702">
        <v>513</v>
      </c>
      <c r="E702">
        <f>B702*0.01</f>
        <v>369.06</v>
      </c>
      <c s="26" r="F702">
        <f>G702-E702</f>
        <v>1.10717999999997</v>
      </c>
      <c s="26" r="G702">
        <f>E702*H702</f>
        <v>370.16718</v>
      </c>
      <c s="19" r="H702">
        <v>1.003</v>
      </c>
    </row>
    <row r="703">
      <c r="A703">
        <v>480</v>
      </c>
      <c r="B703">
        <f>24332+10196</f>
        <v>34528</v>
      </c>
      <c t="s" r="C703">
        <v>384</v>
      </c>
      <c r="E703">
        <f>B703*0.01</f>
        <v>345.28</v>
      </c>
      <c s="26" r="F703">
        <f>G703-E703</f>
        <v>26.310336</v>
      </c>
      <c s="26" r="G703">
        <f>E703*H703</f>
        <v>371.590336</v>
      </c>
      <c s="19" r="H703">
        <v>1.0762</v>
      </c>
    </row>
    <row r="704">
      <c r="A704">
        <v>480</v>
      </c>
      <c r="B704">
        <f>652+138</f>
        <v>790</v>
      </c>
      <c t="s" r="C704">
        <v>325</v>
      </c>
      <c r="E704">
        <f>0.75*B704</f>
        <v>592.5</v>
      </c>
      <c s="26" r="F704">
        <f>G704-E704</f>
        <v>29.625</v>
      </c>
      <c s="26" r="G704">
        <f>E704*H704</f>
        <v>622.125</v>
      </c>
      <c s="19" r="H704">
        <v>1.05</v>
      </c>
    </row>
    <row r="705">
      <c r="A705">
        <v>481</v>
      </c>
      <c r="B705">
        <v>126</v>
      </c>
      <c t="s" r="C705">
        <v>431</v>
      </c>
      <c r="E705">
        <f>0.2*B705</f>
        <v>25.2</v>
      </c>
      <c s="26" r="F705">
        <f>G705-E705</f>
        <v>6.3</v>
      </c>
      <c s="26" r="G705">
        <f>E705*H705</f>
        <v>31.5</v>
      </c>
      <c s="19" r="H705">
        <v>1.25</v>
      </c>
    </row>
    <row r="706">
      <c r="A706">
        <v>481</v>
      </c>
      <c r="B706">
        <v>78</v>
      </c>
      <c t="s" r="C706">
        <v>434</v>
      </c>
      <c r="E706">
        <f>0.17*B706</f>
        <v>13.26</v>
      </c>
      <c s="26" r="F706">
        <f>G706-E706</f>
        <v>2.652</v>
      </c>
      <c s="26" r="G706">
        <f>E706*H706</f>
        <v>15.912</v>
      </c>
      <c s="19" r="H706">
        <v>1.2</v>
      </c>
    </row>
    <row r="707">
      <c r="A707">
        <v>481</v>
      </c>
      <c r="B707">
        <v>9</v>
      </c>
      <c t="s" r="C707">
        <v>474</v>
      </c>
      <c r="E707">
        <f>1.2*B707</f>
        <v>10.8</v>
      </c>
      <c s="26" r="F707">
        <f>G707-E707</f>
        <v>1.512</v>
      </c>
      <c s="26" r="G707">
        <f>E707*H707</f>
        <v>12.312</v>
      </c>
      <c s="19" r="H707">
        <v>1.14</v>
      </c>
    </row>
    <row r="708">
      <c r="A708">
        <v>481</v>
      </c>
      <c r="B708">
        <v>31</v>
      </c>
      <c t="s" r="C708">
        <v>432</v>
      </c>
      <c r="E708">
        <f>0.8*B708</f>
        <v>24.8</v>
      </c>
      <c s="26" r="F708">
        <f>G708-E708</f>
        <v>4.96</v>
      </c>
      <c s="26" r="G708">
        <f>E708*H708</f>
        <v>29.76</v>
      </c>
      <c s="19" r="H708">
        <v>1.2</v>
      </c>
    </row>
    <row r="709">
      <c r="A709">
        <v>481</v>
      </c>
      <c r="B709">
        <f>(306*3) + 64</f>
        <v>982</v>
      </c>
      <c t="s" r="C709">
        <v>433</v>
      </c>
      <c r="E709">
        <f>B709*0.04</f>
        <v>39.28</v>
      </c>
      <c s="26" r="F709">
        <f>G709-E709</f>
        <v>4.71360000000001</v>
      </c>
      <c s="26" r="G709">
        <f>E709*H709</f>
        <v>43.9936</v>
      </c>
      <c s="19" r="H709">
        <v>1.12</v>
      </c>
    </row>
    <row r="710">
      <c r="A710">
        <v>481</v>
      </c>
      <c r="B710">
        <v>1</v>
      </c>
      <c t="s" r="C710">
        <v>497</v>
      </c>
      <c r="E710">
        <f>3*B710</f>
        <v>3</v>
      </c>
      <c s="26" r="F710">
        <f>G710-E710</f>
        <v>0.66</v>
      </c>
      <c s="26" r="G710">
        <f>E710*H710</f>
        <v>3.66</v>
      </c>
      <c s="19" r="H710">
        <v>1.22</v>
      </c>
    </row>
    <row r="711">
      <c r="A711">
        <v>481</v>
      </c>
      <c r="B711">
        <v>1</v>
      </c>
      <c t="s" r="C711">
        <v>496</v>
      </c>
      <c r="E711">
        <f>B711*6</f>
        <v>6</v>
      </c>
      <c s="26" r="F711">
        <f>G711-E711</f>
        <v>0.779999999999999</v>
      </c>
      <c s="26" r="G711">
        <f>E711*H711</f>
        <v>6.78</v>
      </c>
      <c s="19" r="H711">
        <v>1.13</v>
      </c>
    </row>
    <row r="712">
      <c r="A712">
        <v>481</v>
      </c>
      <c r="B712">
        <v>1943</v>
      </c>
      <c t="s" r="C712">
        <v>458</v>
      </c>
      <c r="E712">
        <f>B712*0.01</f>
        <v>19.43</v>
      </c>
      <c s="26" r="F712">
        <f>G712-E712</f>
        <v>0.582900000000002</v>
      </c>
      <c s="26" r="G712">
        <f>E712*H712</f>
        <v>20.0129</v>
      </c>
      <c s="19" r="H712">
        <v>1.03</v>
      </c>
    </row>
    <row r="713">
      <c r="A713">
        <v>481</v>
      </c>
      <c r="B713">
        <v>135</v>
      </c>
      <c t="s" r="C713">
        <v>459</v>
      </c>
      <c r="E713">
        <f>0.47*B713</f>
        <v>63.45</v>
      </c>
      <c s="26" r="F713">
        <f>G713-E713</f>
        <v>1.58625</v>
      </c>
      <c s="26" r="G713">
        <f>E713*H713</f>
        <v>65.03625</v>
      </c>
      <c s="19" r="H713">
        <v>1.025</v>
      </c>
    </row>
    <row r="714">
      <c r="A714">
        <v>481</v>
      </c>
      <c r="B714">
        <v>5</v>
      </c>
      <c t="s" r="C714">
        <v>592</v>
      </c>
      <c r="E714">
        <f>B714*0.75</f>
        <v>3.75</v>
      </c>
      <c s="26" r="F714">
        <f>G714-E714</f>
        <v>0.4875</v>
      </c>
      <c s="26" r="G714">
        <f>E714*H714</f>
        <v>4.2375</v>
      </c>
      <c s="19" r="H714">
        <v>1.13</v>
      </c>
    </row>
    <row r="715">
      <c r="A715">
        <v>481</v>
      </c>
      <c r="B715">
        <v>288</v>
      </c>
      <c t="s" r="C715">
        <v>577</v>
      </c>
      <c r="E715">
        <f>B715*0.05</f>
        <v>14.4</v>
      </c>
      <c s="26" r="F715">
        <f>G715-E715</f>
        <v>0.720000000000001</v>
      </c>
      <c s="26" r="G715">
        <f>E715*H715</f>
        <v>15.12</v>
      </c>
      <c s="19" r="H715">
        <v>1.05</v>
      </c>
    </row>
    <row r="716">
      <c r="A716">
        <v>481</v>
      </c>
      <c r="B716">
        <v>135</v>
      </c>
      <c t="s" r="C716">
        <v>576</v>
      </c>
      <c r="E716">
        <f>0.15*B716</f>
        <v>20.25</v>
      </c>
      <c s="26" r="F716">
        <f>G716-E716</f>
        <v>7.0875</v>
      </c>
      <c s="26" r="G716">
        <f>E716*H716</f>
        <v>27.3375</v>
      </c>
      <c s="19" r="H716">
        <v>1.35</v>
      </c>
    </row>
    <row r="717">
      <c r="A717">
        <v>481</v>
      </c>
      <c r="B717">
        <v>128</v>
      </c>
      <c t="s" r="C717">
        <v>593</v>
      </c>
      <c r="E717">
        <f>B717*0.25</f>
        <v>32</v>
      </c>
      <c s="26" r="F717">
        <f>G717-E717</f>
        <v>8</v>
      </c>
      <c s="26" r="G717">
        <f>E717*H717</f>
        <v>40</v>
      </c>
      <c s="19" r="H717">
        <v>1.25</v>
      </c>
    </row>
    <row r="718">
      <c r="A718">
        <v>481</v>
      </c>
      <c r="B718">
        <v>49</v>
      </c>
      <c t="s" r="C718">
        <v>587</v>
      </c>
      <c r="E718">
        <f>0.19*B718</f>
        <v>9.31</v>
      </c>
      <c s="26" r="F718">
        <f>G718-E718</f>
        <v>0.186199999999999</v>
      </c>
      <c s="26" r="G718">
        <f>E718*H718</f>
        <v>9.4962</v>
      </c>
      <c s="19" r="H718">
        <v>1.02</v>
      </c>
    </row>
    <row r="719">
      <c r="A719">
        <v>482</v>
      </c>
      <c r="B719">
        <f>22811+1860</f>
        <v>24671</v>
      </c>
      <c t="s" r="C719">
        <v>513</v>
      </c>
      <c r="E719">
        <f>B719*0.01</f>
        <v>246.71</v>
      </c>
      <c s="26" r="F719">
        <f>G719-E719</f>
        <v>0</v>
      </c>
      <c s="26" r="G719">
        <f>E719*H719</f>
        <v>246.71</v>
      </c>
      <c s="19" r="H719">
        <v>1</v>
      </c>
    </row>
    <row r="720">
      <c r="A720">
        <v>482</v>
      </c>
      <c r="B720">
        <f>(2253+328)+1020</f>
        <v>3601</v>
      </c>
      <c t="s" r="C720">
        <v>384</v>
      </c>
      <c r="E720">
        <f>B720*0.01</f>
        <v>36.01</v>
      </c>
      <c s="26" r="F720">
        <f>G720-E720</f>
        <v>2.743962</v>
      </c>
      <c s="26" r="G720">
        <f>E720*H720</f>
        <v>38.753962</v>
      </c>
      <c s="19" r="H720">
        <v>1.0762</v>
      </c>
    </row>
    <row r="721">
      <c r="A721">
        <v>482</v>
      </c>
      <c r="B721">
        <f>(379+1739)+1895</f>
        <v>4013</v>
      </c>
      <c t="s" r="C721">
        <v>447</v>
      </c>
      <c r="E721">
        <f>B721*0.01</f>
        <v>40.13</v>
      </c>
      <c s="26" r="F721">
        <f>G721-E721</f>
        <v>3.057906</v>
      </c>
      <c s="26" r="G721">
        <f>E721*H721</f>
        <v>43.187906</v>
      </c>
      <c s="19" r="H721">
        <v>1.0762</v>
      </c>
    </row>
    <row r="722">
      <c r="A722">
        <v>482</v>
      </c>
      <c r="B722">
        <v>1</v>
      </c>
      <c t="s" r="C722">
        <v>594</v>
      </c>
      <c r="E722">
        <v>0.05</v>
      </c>
      <c s="26" r="F722">
        <f>G722-E722</f>
        <v>290.575</v>
      </c>
      <c s="26" r="G722">
        <f>E722*H722</f>
        <v>290.625</v>
      </c>
      <c s="19" r="H722">
        <v>5812.5</v>
      </c>
    </row>
    <row r="723">
      <c r="A723">
        <v>482</v>
      </c>
      <c r="B723">
        <v>1</v>
      </c>
      <c t="s" r="C723">
        <v>370</v>
      </c>
      <c r="E723">
        <v>0.01</v>
      </c>
      <c s="26" r="F723">
        <f>G723-E723</f>
        <v>15.77</v>
      </c>
      <c s="26" r="G723">
        <f>E723*H723</f>
        <v>15.78</v>
      </c>
      <c s="19" r="H723">
        <v>1578</v>
      </c>
    </row>
    <row r="724">
      <c r="A724">
        <v>482</v>
      </c>
      <c r="B724">
        <v>1</v>
      </c>
      <c t="s" r="C724">
        <v>595</v>
      </c>
      <c r="E724">
        <v>0.02</v>
      </c>
      <c s="26" r="F724">
        <f>G724-E724</f>
        <v>25.98</v>
      </c>
      <c s="26" r="G724">
        <f>E724*H724</f>
        <v>26</v>
      </c>
      <c s="19" r="H724">
        <v>1300</v>
      </c>
    </row>
    <row r="725">
      <c r="A725">
        <v>482</v>
      </c>
      <c r="B725">
        <v>1</v>
      </c>
      <c t="s" r="C725">
        <v>596</v>
      </c>
      <c r="E725">
        <v>0.13</v>
      </c>
      <c s="26" r="F725">
        <f>G725-E725</f>
        <v>3.4424</v>
      </c>
      <c s="26" r="G725">
        <f>E725*H725</f>
        <v>3.5724</v>
      </c>
      <c s="19" r="H725">
        <v>27.48</v>
      </c>
    </row>
    <row r="726">
      <c r="A726">
        <v>482</v>
      </c>
      <c r="B726">
        <v>2</v>
      </c>
      <c t="s" r="C726">
        <v>349</v>
      </c>
      <c r="E726">
        <v>0.04</v>
      </c>
      <c s="26" r="F726">
        <f>G726-E726</f>
        <v>9.96</v>
      </c>
      <c s="26" r="G726">
        <f>E726*H726</f>
        <v>10</v>
      </c>
      <c s="19" r="H726">
        <v>250</v>
      </c>
    </row>
    <row r="727">
      <c r="A727">
        <v>483</v>
      </c>
      <c r="B727">
        <v>3863</v>
      </c>
      <c t="s" r="C727">
        <v>384</v>
      </c>
      <c r="E727">
        <f>B727*0.01</f>
        <v>38.63</v>
      </c>
      <c s="26" r="F727">
        <f>G727-E727</f>
        <v>2.943606</v>
      </c>
      <c s="26" r="G727">
        <f>E727*H727</f>
        <v>41.573606</v>
      </c>
      <c s="19" r="H727">
        <v>1.0762</v>
      </c>
    </row>
    <row r="728">
      <c r="A728">
        <v>483</v>
      </c>
      <c r="B728">
        <v>208</v>
      </c>
      <c t="s" r="C728">
        <v>103</v>
      </c>
      <c r="E728">
        <f>0.2*B728</f>
        <v>41.6</v>
      </c>
      <c s="26" r="F728">
        <f>G728-E728</f>
        <v>5.824</v>
      </c>
      <c s="26" r="G728">
        <f>E728*H728</f>
        <v>47.424</v>
      </c>
      <c s="19" r="H728">
        <v>1.14</v>
      </c>
    </row>
    <row r="729">
      <c r="A729">
        <v>484</v>
      </c>
      <c r="B729">
        <v>2242</v>
      </c>
      <c t="s" r="C729">
        <v>447</v>
      </c>
      <c r="E729">
        <f>B729*0.01</f>
        <v>22.42</v>
      </c>
      <c s="26" r="F729">
        <f>G729-E729</f>
        <v>1.708404</v>
      </c>
      <c s="26" r="G729">
        <f>E729*H729</f>
        <v>24.128404</v>
      </c>
      <c s="19" r="H729">
        <v>1.0762</v>
      </c>
    </row>
    <row r="730">
      <c r="A730">
        <v>484</v>
      </c>
      <c r="B730">
        <v>1078</v>
      </c>
      <c t="s" r="C730">
        <v>384</v>
      </c>
      <c r="E730">
        <f>B730*0.01</f>
        <v>10.78</v>
      </c>
      <c s="26" r="F730">
        <f>G730-E730</f>
        <v>0.821436</v>
      </c>
      <c s="26" r="G730">
        <f>E730*H730</f>
        <v>11.601436</v>
      </c>
      <c s="19" r="H730">
        <v>1.0762</v>
      </c>
    </row>
    <row r="731">
      <c r="A731">
        <v>485</v>
      </c>
      <c r="B731">
        <v>1</v>
      </c>
      <c t="s" r="C731">
        <v>522</v>
      </c>
      <c r="E731">
        <v>160</v>
      </c>
      <c s="26" r="F731">
        <f>G731-E731</f>
        <v>16</v>
      </c>
      <c s="26" r="G731">
        <f>E731*H731</f>
        <v>176</v>
      </c>
      <c s="19" r="H731">
        <v>1.1</v>
      </c>
    </row>
    <row r="732">
      <c r="A732">
        <v>486</v>
      </c>
      <c r="B732">
        <v>7</v>
      </c>
      <c t="s" r="C732">
        <v>431</v>
      </c>
      <c r="E732">
        <f>0.2*B732</f>
        <v>1.4</v>
      </c>
      <c s="26" r="F732">
        <f>G732-E732</f>
        <v>0.35</v>
      </c>
      <c s="26" r="G732">
        <f>E732*H732</f>
        <v>1.75</v>
      </c>
      <c s="19" r="H732">
        <v>1.25</v>
      </c>
    </row>
    <row r="733">
      <c r="A733">
        <v>486</v>
      </c>
      <c r="B733">
        <v>1</v>
      </c>
      <c t="s" r="C733">
        <v>597</v>
      </c>
      <c r="E733">
        <v>122</v>
      </c>
      <c s="26" r="F733">
        <f>G733-E733</f>
        <v>12.2</v>
      </c>
      <c s="26" r="G733">
        <f>E733*H733</f>
        <v>134.2</v>
      </c>
      <c s="19" r="H733">
        <v>1.1</v>
      </c>
    </row>
    <row r="734">
      <c r="A734">
        <v>488</v>
      </c>
      <c r="B734">
        <v>3536</v>
      </c>
      <c t="s" r="C734">
        <v>573</v>
      </c>
      <c r="E734">
        <f>0.02*B734</f>
        <v>70.72</v>
      </c>
      <c s="26" r="F734">
        <f>G734-E734</f>
        <v>9.90079999999999</v>
      </c>
      <c s="26" r="G734">
        <f>E734*H734</f>
        <v>80.6208</v>
      </c>
      <c s="19" r="H734">
        <v>1.14</v>
      </c>
    </row>
    <row r="735">
      <c r="A735">
        <v>488</v>
      </c>
      <c r="B735">
        <v>493</v>
      </c>
      <c t="s" r="C735">
        <v>574</v>
      </c>
      <c r="E735">
        <f>0.16*B735</f>
        <v>78.88</v>
      </c>
      <c s="26" r="F735">
        <f>G735-E735</f>
        <v>9.46560000000001</v>
      </c>
      <c s="26" r="G735">
        <f>E735*H735</f>
        <v>88.3456</v>
      </c>
      <c s="19" r="H735">
        <v>1.12</v>
      </c>
    </row>
    <row r="736">
      <c r="A736">
        <v>488</v>
      </c>
      <c r="B736">
        <v>137</v>
      </c>
      <c t="s" r="C736">
        <v>575</v>
      </c>
      <c r="E736">
        <f>1.25*B736</f>
        <v>171.25</v>
      </c>
      <c s="26" r="F736">
        <f>G736-E736</f>
        <v>27.4</v>
      </c>
      <c s="26" r="G736">
        <f>E736*H736</f>
        <v>198.65</v>
      </c>
      <c s="19" r="H736">
        <v>1.16</v>
      </c>
    </row>
    <row r="737">
      <c r="A737">
        <v>488</v>
      </c>
      <c r="B737">
        <v>49</v>
      </c>
      <c t="s" r="C737">
        <v>576</v>
      </c>
      <c r="E737">
        <f>0.15*B737</f>
        <v>7.35</v>
      </c>
      <c s="26" r="F737">
        <f>G737-E737</f>
        <v>2.4255</v>
      </c>
      <c s="26" r="G737">
        <f>E737*H737</f>
        <v>9.7755</v>
      </c>
      <c s="19" r="H737">
        <v>1.33</v>
      </c>
    </row>
    <row r="738">
      <c r="A738">
        <v>488</v>
      </c>
      <c r="B738">
        <v>526</v>
      </c>
      <c t="s" r="C738">
        <v>577</v>
      </c>
      <c r="E738">
        <f>0.1*B738</f>
        <v>52.6</v>
      </c>
      <c s="26" r="F738">
        <f>G738-E738</f>
        <v>3.15600000000001</v>
      </c>
      <c s="26" r="G738">
        <f>E738*H738</f>
        <v>55.756</v>
      </c>
      <c s="19" r="H738">
        <v>1.06</v>
      </c>
    </row>
    <row r="739">
      <c r="A739">
        <v>488</v>
      </c>
      <c r="B739">
        <v>19</v>
      </c>
      <c t="s" r="C739">
        <v>459</v>
      </c>
      <c r="E739">
        <f>0.47*B739</f>
        <v>8.93</v>
      </c>
      <c s="26" r="F739">
        <f>G739-E739</f>
        <v>0.178599999999999</v>
      </c>
      <c s="26" r="G739">
        <f>E739*H739</f>
        <v>9.1086</v>
      </c>
      <c s="19" r="H739">
        <v>1.02</v>
      </c>
    </row>
    <row r="740">
      <c r="A740">
        <v>488</v>
      </c>
      <c r="B740">
        <v>108</v>
      </c>
      <c t="s" r="C740">
        <v>578</v>
      </c>
      <c r="E740">
        <f>0.25*B740</f>
        <v>27</v>
      </c>
      <c s="26" r="F740">
        <f>G740-E740</f>
        <v>7.29</v>
      </c>
      <c s="26" r="G740">
        <f>E740*H740</f>
        <v>34.29</v>
      </c>
      <c s="19" r="H740">
        <v>1.27</v>
      </c>
    </row>
    <row r="741">
      <c r="A741">
        <v>488</v>
      </c>
      <c r="B741">
        <v>5</v>
      </c>
      <c t="s" r="C741">
        <v>581</v>
      </c>
      <c r="E741">
        <f>1.10*B741</f>
        <v>5.5</v>
      </c>
      <c s="26" r="F741">
        <f>G741-E741</f>
        <v>4.51</v>
      </c>
      <c s="26" r="G741">
        <f>E741*H741</f>
        <v>10.01</v>
      </c>
      <c s="19" r="H741">
        <v>1.82</v>
      </c>
    </row>
    <row r="742">
      <c r="A742">
        <v>488</v>
      </c>
      <c r="B742">
        <v>371</v>
      </c>
      <c t="s" r="C742">
        <v>538</v>
      </c>
      <c r="E742">
        <f>0.01*B742</f>
        <v>3.71</v>
      </c>
      <c s="26" r="F742">
        <f>G742-E742</f>
        <v>0.1855</v>
      </c>
      <c s="26" r="G742">
        <f>E742*H742</f>
        <v>3.8955</v>
      </c>
      <c s="19" r="H742">
        <v>1.05</v>
      </c>
    </row>
    <row r="743">
      <c r="A743">
        <v>489</v>
      </c>
      <c r="B743">
        <v>58</v>
      </c>
      <c t="s" r="C743">
        <v>490</v>
      </c>
      <c r="E743">
        <f>B743*0.13</f>
        <v>7.54</v>
      </c>
      <c s="26" r="F743">
        <f>G743-E743</f>
        <v>0.6032</v>
      </c>
      <c s="26" r="G743">
        <f>E743*H743</f>
        <v>8.1432</v>
      </c>
      <c s="19" r="H743">
        <v>1.08</v>
      </c>
    </row>
    <row r="744">
      <c r="A744">
        <v>489</v>
      </c>
      <c r="B744">
        <v>1</v>
      </c>
      <c t="s" r="C744">
        <v>598</v>
      </c>
      <c r="E744">
        <v>37</v>
      </c>
      <c s="26" r="F744">
        <f>G744-E744</f>
        <v>4.07</v>
      </c>
      <c s="26" r="G744">
        <f>E744*H744</f>
        <v>41.07</v>
      </c>
      <c s="19" r="H744">
        <v>1.11</v>
      </c>
    </row>
    <row r="745">
      <c r="A745">
        <v>490</v>
      </c>
      <c r="B745">
        <v>6191</v>
      </c>
      <c t="s" r="C745">
        <v>384</v>
      </c>
      <c r="E745">
        <f>B745*0.01</f>
        <v>61.91</v>
      </c>
      <c s="26" r="F745">
        <f>G745-E745</f>
        <v>4.717542</v>
      </c>
      <c s="26" r="G745">
        <f>E745*H745</f>
        <v>66.627542</v>
      </c>
      <c s="19" r="H745">
        <v>1.0762</v>
      </c>
    </row>
    <row r="746">
      <c r="A746">
        <v>491</v>
      </c>
      <c r="B746">
        <v>695</v>
      </c>
      <c t="s" r="C746">
        <v>384</v>
      </c>
      <c r="E746">
        <f>B746*0.01</f>
        <v>6.95</v>
      </c>
      <c s="26" r="F746">
        <f>G746-E746</f>
        <v>0.529590000000001</v>
      </c>
      <c s="26" r="G746">
        <f>E746*H746</f>
        <v>7.47959</v>
      </c>
      <c s="19" r="H746">
        <v>1.0762</v>
      </c>
    </row>
    <row r="747">
      <c r="A747">
        <v>492</v>
      </c>
      <c r="B747">
        <v>1</v>
      </c>
      <c t="s" r="C747">
        <v>522</v>
      </c>
      <c r="E747">
        <v>160</v>
      </c>
      <c s="26" r="F747">
        <f>G747-E747</f>
        <v>16</v>
      </c>
      <c s="26" r="G747">
        <f>E747*H747</f>
        <v>176</v>
      </c>
      <c s="19" r="H747">
        <v>1.1</v>
      </c>
    </row>
    <row r="748">
      <c r="A748">
        <v>492</v>
      </c>
      <c r="B748">
        <v>438</v>
      </c>
      <c t="s" r="C748">
        <v>524</v>
      </c>
      <c r="E748">
        <f>B748*2</f>
        <v>876</v>
      </c>
      <c s="26" r="F748">
        <f>G748-E748</f>
        <v>127.02</v>
      </c>
      <c s="26" r="G748">
        <f>E748*H748</f>
        <v>1003.02</v>
      </c>
      <c s="19" r="H748">
        <v>1.145</v>
      </c>
    </row>
    <row r="749">
      <c r="A749">
        <v>493</v>
      </c>
      <c r="B749">
        <v>14</v>
      </c>
      <c t="s" r="C749">
        <v>490</v>
      </c>
      <c r="E749">
        <f>B749*0.13</f>
        <v>1.82</v>
      </c>
      <c s="26" r="F749">
        <f>G749-E749</f>
        <v>0.1456</v>
      </c>
      <c s="26" r="G749">
        <f>E749*H749</f>
        <v>1.9656</v>
      </c>
      <c s="19" r="H749">
        <v>1.08</v>
      </c>
    </row>
    <row r="750">
      <c r="A750">
        <v>494</v>
      </c>
      <c r="B750">
        <v>165</v>
      </c>
      <c t="s" r="C750">
        <v>490</v>
      </c>
      <c r="E750">
        <f>B750*0.13</f>
        <v>21.45</v>
      </c>
      <c s="26" r="F750">
        <f>G750-E750</f>
        <v>1.716</v>
      </c>
      <c s="26" r="G750">
        <f>E750*H750</f>
        <v>23.166</v>
      </c>
      <c s="19" r="H750">
        <v>1.08</v>
      </c>
    </row>
    <row r="751">
      <c r="A751">
        <v>495</v>
      </c>
      <c r="B751">
        <v>15</v>
      </c>
      <c t="s" r="C751">
        <v>524</v>
      </c>
      <c r="E751">
        <f>B751*2</f>
        <v>30</v>
      </c>
      <c s="26" r="F751">
        <f>G751-E751</f>
        <v>4.35</v>
      </c>
      <c s="26" r="G751">
        <f>E751*H751</f>
        <v>34.35</v>
      </c>
      <c s="19" r="H751">
        <v>1.145</v>
      </c>
    </row>
    <row r="752">
      <c r="A752">
        <v>495</v>
      </c>
      <c r="B752">
        <v>1</v>
      </c>
      <c t="s" r="C752">
        <v>599</v>
      </c>
      <c r="E752">
        <v>21.9</v>
      </c>
      <c s="26" r="F752">
        <f>G752-E752</f>
        <v>9.198</v>
      </c>
      <c s="26" r="G752">
        <f>E752*H752</f>
        <v>31.098</v>
      </c>
      <c s="19" r="H752">
        <v>1.42</v>
      </c>
    </row>
    <row r="753">
      <c r="A753">
        <v>499</v>
      </c>
      <c r="B753">
        <v>4202</v>
      </c>
      <c t="s" r="C753">
        <v>384</v>
      </c>
      <c r="E753">
        <f>B753*0.01</f>
        <v>42.02</v>
      </c>
      <c s="26" r="F753">
        <f>G753-E753</f>
        <v>3.20192400000001</v>
      </c>
      <c s="26" r="G753">
        <f>E753*H753</f>
        <v>45.221924</v>
      </c>
      <c s="19" r="H753">
        <v>1.0762</v>
      </c>
    </row>
    <row r="754">
      <c r="A754">
        <v>500</v>
      </c>
      <c r="B754">
        <v>10</v>
      </c>
      <c t="s" r="C754">
        <v>338</v>
      </c>
      <c r="E754">
        <v>162.58</v>
      </c>
      <c s="26" r="F754">
        <f>G754-E754</f>
        <v>21.1354</v>
      </c>
      <c s="26" r="G754">
        <f>E754*H754</f>
        <v>183.7154</v>
      </c>
      <c s="19" r="H754">
        <v>1.13</v>
      </c>
    </row>
    <row r="755">
      <c r="A755">
        <v>500</v>
      </c>
      <c r="B755">
        <v>1367</v>
      </c>
      <c t="s" r="C755">
        <v>447</v>
      </c>
      <c r="E755">
        <f>B755*0.01</f>
        <v>13.67</v>
      </c>
      <c s="26" r="F755">
        <f>G755-E755</f>
        <v>1.041654</v>
      </c>
      <c s="26" r="G755">
        <f>E755*H755</f>
        <v>14.711654</v>
      </c>
      <c s="19" r="H755">
        <v>1.0762</v>
      </c>
    </row>
    <row r="756">
      <c r="A756">
        <v>498</v>
      </c>
      <c r="B756">
        <v>11</v>
      </c>
      <c t="s" r="C756">
        <v>474</v>
      </c>
      <c r="E756">
        <f>1.2*B756</f>
        <v>13.2</v>
      </c>
      <c s="26" r="F756">
        <f>G756-E756</f>
        <v>1.848</v>
      </c>
      <c s="26" r="G756">
        <f>E756*H756</f>
        <v>15.048</v>
      </c>
      <c s="19" r="H756">
        <v>1.14</v>
      </c>
    </row>
    <row r="757">
      <c r="A757">
        <v>498</v>
      </c>
      <c r="B757">
        <v>5839</v>
      </c>
      <c t="s" r="C757">
        <v>538</v>
      </c>
      <c r="E757">
        <f>0.01*B757</f>
        <v>58.39</v>
      </c>
      <c s="26" r="F757">
        <f>G757-E757</f>
        <v>2.9195</v>
      </c>
      <c s="26" r="G757">
        <f>E757*H757</f>
        <v>61.3095</v>
      </c>
      <c s="19" r="H757">
        <v>1.05</v>
      </c>
    </row>
    <row r="758">
      <c r="A758">
        <v>498</v>
      </c>
      <c r="B758">
        <v>170</v>
      </c>
      <c t="s" r="C758">
        <v>490</v>
      </c>
      <c r="E758">
        <f>B758*0.13</f>
        <v>22.1</v>
      </c>
      <c s="26" r="F758">
        <f>G758-E758</f>
        <v>1.768</v>
      </c>
      <c s="26" r="G758">
        <f>E758*H758</f>
        <v>23.868</v>
      </c>
      <c s="19" r="H758">
        <v>1.08</v>
      </c>
    </row>
    <row r="759">
      <c r="A759">
        <v>498</v>
      </c>
      <c r="B759">
        <v>5</v>
      </c>
      <c t="s" r="C759">
        <v>600</v>
      </c>
      <c r="E759">
        <f>B759*1</f>
        <v>5</v>
      </c>
      <c s="26" r="F759">
        <f>G759-E759</f>
        <v>1.25</v>
      </c>
      <c s="26" r="G759">
        <f>E759*H759</f>
        <v>6.25</v>
      </c>
      <c s="19" r="H759">
        <v>1.25</v>
      </c>
    </row>
    <row r="760">
      <c r="A760">
        <v>498</v>
      </c>
      <c r="B760">
        <v>798</v>
      </c>
      <c t="s" r="C760">
        <v>577</v>
      </c>
      <c r="E760">
        <f>0.1*B760</f>
        <v>79.8</v>
      </c>
      <c s="26" r="F760">
        <f>G760-E760</f>
        <v>6.384</v>
      </c>
      <c s="26" r="G760">
        <f>E760*H760</f>
        <v>86.184</v>
      </c>
      <c s="19" r="H760">
        <v>1.08</v>
      </c>
    </row>
    <row r="761">
      <c r="A761">
        <v>498</v>
      </c>
      <c r="B761">
        <v>39</v>
      </c>
      <c t="s" r="C761">
        <v>432</v>
      </c>
      <c r="E761">
        <f>0.8*B761</f>
        <v>31.2</v>
      </c>
      <c s="26" r="F761">
        <f>G761-E761</f>
        <v>6.24</v>
      </c>
      <c s="26" r="G761">
        <f>E761*H761</f>
        <v>37.44</v>
      </c>
      <c s="19" r="H761">
        <v>1.2</v>
      </c>
    </row>
    <row r="762">
      <c r="A762">
        <v>498</v>
      </c>
      <c r="B762">
        <v>1123</v>
      </c>
      <c t="s" r="C762">
        <v>584</v>
      </c>
      <c r="E762">
        <f>0.01*B762</f>
        <v>11.23</v>
      </c>
      <c s="26" r="F762">
        <f>G762-E762</f>
        <v>1.123</v>
      </c>
      <c s="26" r="G762">
        <f>E762*H762</f>
        <v>12.353</v>
      </c>
      <c s="19" r="H762">
        <v>1.1</v>
      </c>
    </row>
    <row r="763">
      <c r="A763">
        <v>498</v>
      </c>
      <c r="B763">
        <v>18</v>
      </c>
      <c t="s" r="C763">
        <v>601</v>
      </c>
      <c r="E763">
        <f>0.63*B763</f>
        <v>11.34</v>
      </c>
      <c s="26" r="F763">
        <f>G763-E763</f>
        <v>3.969</v>
      </c>
      <c s="26" r="G763">
        <f>E763*H763</f>
        <v>15.309</v>
      </c>
      <c s="19" r="H763">
        <v>1.35</v>
      </c>
    </row>
    <row r="764">
      <c r="A764">
        <v>498</v>
      </c>
      <c r="B764">
        <v>3703</v>
      </c>
      <c t="s" r="C764">
        <v>491</v>
      </c>
      <c r="E764">
        <f>0.04*B764</f>
        <v>148.12</v>
      </c>
      <c s="26" r="F764">
        <f>G764-E764</f>
        <v>5.9248</v>
      </c>
      <c s="26" r="G764">
        <f>E764*H764</f>
        <v>154.0448</v>
      </c>
      <c s="19" r="H764">
        <v>1.04</v>
      </c>
    </row>
    <row r="765">
      <c r="A765">
        <v>498</v>
      </c>
      <c r="B765">
        <v>174</v>
      </c>
      <c t="s" r="C765">
        <v>462</v>
      </c>
      <c r="E765">
        <f>0.15*B765</f>
        <v>26.1</v>
      </c>
      <c s="26" r="F765">
        <f>G765-E765</f>
        <v>1.827</v>
      </c>
      <c s="26" r="G765">
        <f>E765*H765</f>
        <v>27.927</v>
      </c>
      <c s="19" r="H765">
        <v>1.07</v>
      </c>
    </row>
    <row r="766">
      <c r="A766">
        <v>498</v>
      </c>
      <c r="B766">
        <v>50</v>
      </c>
      <c t="s" r="C766">
        <v>465</v>
      </c>
      <c r="E766">
        <f>0.3*B766</f>
        <v>15</v>
      </c>
      <c s="26" r="F766">
        <f>G766-E766</f>
        <v>6.3</v>
      </c>
      <c s="26" r="G766">
        <f>E766*H766</f>
        <v>21.3</v>
      </c>
      <c s="19" r="H766">
        <v>1.42</v>
      </c>
    </row>
    <row r="767">
      <c r="A767">
        <v>498</v>
      </c>
      <c r="B767">
        <v>252</v>
      </c>
      <c t="s" r="C767">
        <v>602</v>
      </c>
      <c r="E767">
        <f>0.08*B767</f>
        <v>20.16</v>
      </c>
      <c s="26" r="F767">
        <f>G767-E767</f>
        <v>4.032</v>
      </c>
      <c s="26" r="G767">
        <f>E767*H767</f>
        <v>24.192</v>
      </c>
      <c s="19" r="H767">
        <v>1.2</v>
      </c>
    </row>
    <row r="768">
      <c r="A768">
        <v>498</v>
      </c>
      <c r="B768">
        <v>31</v>
      </c>
      <c t="s" r="C768">
        <v>585</v>
      </c>
      <c r="E768">
        <f>0.4*B768</f>
        <v>12.4</v>
      </c>
      <c s="26" r="F768">
        <f>G768-E768</f>
        <v>4.96</v>
      </c>
      <c s="26" r="G768">
        <f>E768*H768</f>
        <v>17.36</v>
      </c>
      <c s="19" r="H768">
        <v>1.4</v>
      </c>
    </row>
    <row r="769">
      <c r="A769">
        <v>498</v>
      </c>
      <c r="B769">
        <v>6</v>
      </c>
      <c t="s" r="C769">
        <v>583</v>
      </c>
      <c r="E769">
        <f>0.2*B769</f>
        <v>1.2</v>
      </c>
      <c s="26" r="F769">
        <f>G769-E769</f>
        <v>0.24</v>
      </c>
      <c s="26" r="G769">
        <f>E769*H769</f>
        <v>1.44</v>
      </c>
      <c s="19" r="H769">
        <v>1.2</v>
      </c>
    </row>
    <row r="770">
      <c r="A770">
        <v>498</v>
      </c>
      <c r="B770">
        <v>145</v>
      </c>
      <c t="s" r="C770">
        <v>603</v>
      </c>
      <c r="E770">
        <f>0.2*B770</f>
        <v>29</v>
      </c>
      <c s="26" r="F770">
        <f>G770-E770</f>
        <v>3.48</v>
      </c>
      <c s="26" r="G770">
        <f>E770*H770</f>
        <v>32.48</v>
      </c>
      <c s="19" r="H770">
        <v>1.12</v>
      </c>
    </row>
    <row r="771">
      <c r="A771">
        <v>498</v>
      </c>
      <c r="B771">
        <v>52</v>
      </c>
      <c t="s" r="C771">
        <v>582</v>
      </c>
      <c r="E771">
        <f>0.1*B771</f>
        <v>5.2</v>
      </c>
      <c s="26" r="F771">
        <f>G771-E771</f>
        <v>0.779999999999999</v>
      </c>
      <c s="26" r="G771">
        <f>E771*H771</f>
        <v>5.98</v>
      </c>
      <c s="19" r="H771">
        <v>1.15</v>
      </c>
    </row>
    <row r="772">
      <c r="A772">
        <v>498</v>
      </c>
      <c r="B772">
        <v>16</v>
      </c>
      <c t="s" r="C772">
        <v>604</v>
      </c>
      <c r="E772">
        <f>0.18*B772</f>
        <v>2.88</v>
      </c>
      <c s="26" r="F772">
        <f>G772-E772</f>
        <v>1.2384</v>
      </c>
      <c s="26" r="G772">
        <f>E772*H772</f>
        <v>4.1184</v>
      </c>
      <c s="19" r="H772">
        <v>1.43</v>
      </c>
    </row>
    <row r="773">
      <c r="A773">
        <v>501</v>
      </c>
      <c r="B773">
        <v>4</v>
      </c>
      <c t="s" r="C773">
        <v>559</v>
      </c>
      <c r="E773">
        <f>4.5*B773</f>
        <v>18</v>
      </c>
      <c s="26" r="F773">
        <f>G773-E773</f>
        <v>1.8</v>
      </c>
      <c s="26" r="G773">
        <f>E773*H773</f>
        <v>19.8</v>
      </c>
      <c s="19" r="H773">
        <v>1.1</v>
      </c>
    </row>
    <row r="774">
      <c r="A774">
        <v>501</v>
      </c>
      <c r="B774">
        <v>1</v>
      </c>
      <c t="s" r="C774">
        <v>605</v>
      </c>
      <c r="E774">
        <v>74.5</v>
      </c>
      <c s="26" r="F774">
        <f>G774-E774</f>
        <v>3.72500000000001</v>
      </c>
      <c s="26" r="G774">
        <f>E774*H774</f>
        <v>78.225</v>
      </c>
      <c s="19" r="H774">
        <v>1.05</v>
      </c>
    </row>
    <row r="775">
      <c r="A775">
        <v>502</v>
      </c>
      <c r="B775">
        <v>1</v>
      </c>
      <c t="s" r="C775">
        <v>606</v>
      </c>
      <c r="E775">
        <f>22.5/2</f>
        <v>11.25</v>
      </c>
      <c s="26" r="F775">
        <f>G775-E775</f>
        <v>0</v>
      </c>
      <c s="26" r="G775">
        <f>E775*H775</f>
        <v>11.25</v>
      </c>
      <c s="19" r="H775">
        <v>1</v>
      </c>
    </row>
    <row r="776">
      <c r="A776">
        <v>502</v>
      </c>
      <c r="B776">
        <v>2</v>
      </c>
      <c t="s" r="C776">
        <v>509</v>
      </c>
      <c r="E776">
        <v>0.72</v>
      </c>
      <c s="26" r="F776">
        <f>G776-E776</f>
        <v>0.72</v>
      </c>
      <c s="26" r="G776">
        <f>E776*H776</f>
        <v>1.44</v>
      </c>
      <c s="19" r="H776">
        <v>2</v>
      </c>
    </row>
    <row r="777">
      <c r="A777">
        <v>502</v>
      </c>
      <c r="B777">
        <v>1</v>
      </c>
      <c t="s" r="C777">
        <v>560</v>
      </c>
      <c r="E777">
        <f>4.5*B777</f>
        <v>4.5</v>
      </c>
      <c s="26" r="F777">
        <f>G777-E777</f>
        <v>0.45</v>
      </c>
      <c s="26" r="G777">
        <f>E777*H777</f>
        <v>4.95</v>
      </c>
      <c s="19" r="H777">
        <v>1.1</v>
      </c>
    </row>
    <row r="778">
      <c r="A778">
        <v>502</v>
      </c>
      <c r="B778">
        <v>2</v>
      </c>
      <c t="s" r="C778">
        <v>504</v>
      </c>
      <c r="E778">
        <f>7.40*B778</f>
        <v>14.8</v>
      </c>
      <c s="26" r="F778">
        <f>G778-E778</f>
        <v>10.36</v>
      </c>
      <c s="26" r="G778">
        <f>E778*H778</f>
        <v>25.16</v>
      </c>
      <c s="19" r="H778">
        <v>1.7</v>
      </c>
    </row>
    <row r="779">
      <c r="A779">
        <v>502</v>
      </c>
      <c r="B779">
        <v>3</v>
      </c>
      <c t="s" r="C779">
        <v>559</v>
      </c>
      <c r="E779">
        <f>4.5*B779</f>
        <v>13.5</v>
      </c>
      <c s="26" r="F779">
        <f>G779-E779</f>
        <v>1.35</v>
      </c>
      <c s="26" r="G779">
        <f>E779*H779</f>
        <v>14.85</v>
      </c>
      <c s="19" r="H779">
        <v>1.1</v>
      </c>
    </row>
    <row r="780">
      <c r="A780">
        <v>502</v>
      </c>
      <c r="B780">
        <v>1</v>
      </c>
      <c t="s" r="C780">
        <v>607</v>
      </c>
      <c r="E780">
        <f>452/2</f>
        <v>226</v>
      </c>
      <c s="26" r="F780">
        <f>G780-E780</f>
        <v>0</v>
      </c>
      <c s="26" r="G780">
        <f>E780*H780</f>
        <v>226</v>
      </c>
      <c s="19" r="H780">
        <v>1</v>
      </c>
    </row>
    <row r="781">
      <c r="A781">
        <v>502</v>
      </c>
      <c r="B781">
        <v>1</v>
      </c>
      <c t="s" r="C781">
        <v>608</v>
      </c>
      <c r="E781">
        <f>151/2</f>
        <v>75.5</v>
      </c>
      <c s="26" r="F781">
        <f>G781-E781</f>
        <v>70.97</v>
      </c>
      <c s="26" r="G781">
        <f>E781*H781</f>
        <v>146.47</v>
      </c>
      <c s="19" r="H781">
        <v>1.94</v>
      </c>
    </row>
    <row r="782">
      <c r="A782">
        <v>503</v>
      </c>
      <c r="B782">
        <v>4754</v>
      </c>
      <c t="s" r="C782">
        <v>384</v>
      </c>
      <c r="E782">
        <f>B782*0.01</f>
        <v>47.54</v>
      </c>
      <c s="26" r="F782">
        <f>G782-E782</f>
        <v>3.5655</v>
      </c>
      <c s="26" r="G782">
        <f>E782*H782</f>
        <v>51.1055</v>
      </c>
      <c s="19" r="H782">
        <v>1.075</v>
      </c>
    </row>
    <row r="783">
      <c r="A783">
        <v>504</v>
      </c>
      <c r="B783">
        <v>196</v>
      </c>
      <c t="s" r="C783">
        <v>384</v>
      </c>
      <c r="E783">
        <f>B783*0.01</f>
        <v>1.96</v>
      </c>
      <c s="26" r="F783">
        <f>G783-E783</f>
        <v>0.147</v>
      </c>
      <c s="26" r="G783">
        <f>E783*H783</f>
        <v>2.107</v>
      </c>
      <c s="19" r="H783">
        <v>1.075</v>
      </c>
    </row>
    <row r="784">
      <c r="A784">
        <v>504</v>
      </c>
      <c r="B784">
        <v>914</v>
      </c>
      <c t="s" r="C784">
        <v>447</v>
      </c>
      <c r="E784">
        <f>B784*0.01</f>
        <v>9.14</v>
      </c>
      <c s="26" r="F784">
        <f>G784-E784</f>
        <v>0.685499999999999</v>
      </c>
      <c s="26" r="G784">
        <f>E784*H784</f>
        <v>9.8255</v>
      </c>
      <c s="19" r="H784">
        <v>1.075</v>
      </c>
    </row>
    <row r="785">
      <c r="A785">
        <v>504</v>
      </c>
      <c r="B785">
        <v>404</v>
      </c>
      <c t="s" r="C785">
        <v>127</v>
      </c>
      <c r="E785">
        <f>0.04*B785</f>
        <v>16.16</v>
      </c>
      <c s="26" r="F785">
        <f>G785-E785</f>
        <v>9.3728</v>
      </c>
      <c s="26" r="G785">
        <f>E785*H785</f>
        <v>25.5328</v>
      </c>
      <c s="19" r="H785">
        <v>1.58</v>
      </c>
    </row>
    <row r="786">
      <c r="A786">
        <v>505</v>
      </c>
      <c r="B786">
        <v>280</v>
      </c>
      <c t="s" r="C786">
        <v>384</v>
      </c>
      <c r="E786">
        <f>B786*0.01</f>
        <v>2.8</v>
      </c>
      <c s="26" r="F786">
        <f>G786-E786</f>
        <v>0.21</v>
      </c>
      <c s="26" r="G786">
        <f>E786*H786</f>
        <v>3.01</v>
      </c>
      <c s="19" r="H786">
        <v>1.075</v>
      </c>
    </row>
    <row r="787">
      <c r="A787">
        <v>505</v>
      </c>
      <c r="B787">
        <v>648</v>
      </c>
      <c t="s" r="C787">
        <v>447</v>
      </c>
      <c r="E787">
        <f>B787*0.01</f>
        <v>6.48</v>
      </c>
      <c s="26" r="F787">
        <f>G787-E787</f>
        <v>0.486</v>
      </c>
      <c s="26" r="G787">
        <f>E787*H787</f>
        <v>6.966</v>
      </c>
      <c s="19" r="H787">
        <v>1.075</v>
      </c>
    </row>
    <row r="788">
      <c r="A788">
        <v>505</v>
      </c>
      <c r="B788">
        <v>1571</v>
      </c>
      <c t="s" r="C788">
        <v>331</v>
      </c>
      <c r="E788">
        <f>0.01*B788</f>
        <v>15.71</v>
      </c>
      <c s="26" r="F788">
        <f>G788-E788</f>
        <v>3.289674</v>
      </c>
      <c s="26" r="G788">
        <f>E788*H788</f>
        <v>18.999674</v>
      </c>
      <c s="19" r="H788">
        <v>1.2094</v>
      </c>
    </row>
    <row r="789">
      <c r="A789">
        <v>506</v>
      </c>
      <c r="B789">
        <f>(2362+576)+1245</f>
        <v>4183</v>
      </c>
      <c t="s" r="C789">
        <v>384</v>
      </c>
      <c r="E789">
        <f>B789*0.01</f>
        <v>41.83</v>
      </c>
      <c s="26" r="F789">
        <f>G789-E789</f>
        <v>3.13724999999999</v>
      </c>
      <c s="26" r="G789">
        <f>E789*H789</f>
        <v>44.96725</v>
      </c>
      <c s="19" r="H789">
        <v>1.075</v>
      </c>
    </row>
    <row r="790">
      <c r="A790">
        <v>506</v>
      </c>
      <c r="B790">
        <f>(6927+1426)+2031</f>
        <v>10384</v>
      </c>
      <c t="s" r="C790">
        <v>447</v>
      </c>
      <c r="E790">
        <f>B790*0.01</f>
        <v>103.84</v>
      </c>
      <c s="26" r="F790">
        <f>G790-E790</f>
        <v>7.788</v>
      </c>
      <c s="26" r="G790">
        <f>E790*H790</f>
        <v>111.628</v>
      </c>
      <c s="19" r="H790">
        <v>1.075</v>
      </c>
    </row>
    <row r="791">
      <c r="A791">
        <v>506</v>
      </c>
      <c r="B791">
        <v>1</v>
      </c>
      <c t="s" r="C791">
        <v>609</v>
      </c>
      <c r="E791">
        <v>11.5</v>
      </c>
      <c s="26" r="F791">
        <f>G791-E791</f>
        <v>0</v>
      </c>
      <c s="26" r="G791">
        <f>E791*H791</f>
        <v>11.5</v>
      </c>
      <c s="19" r="H791">
        <v>1</v>
      </c>
    </row>
    <row r="792">
      <c r="A792">
        <v>506</v>
      </c>
      <c r="B792">
        <v>1</v>
      </c>
      <c t="s" r="C792">
        <v>610</v>
      </c>
      <c r="E792">
        <v>0.63</v>
      </c>
      <c s="26" r="F792">
        <f>G792-E792</f>
        <v>57.33</v>
      </c>
      <c s="26" r="G792">
        <f>E792*H792</f>
        <v>57.96</v>
      </c>
      <c s="19" r="H792">
        <v>92</v>
      </c>
    </row>
    <row r="793">
      <c r="A793">
        <v>506</v>
      </c>
      <c r="B793">
        <v>1</v>
      </c>
      <c t="s" r="C793">
        <v>611</v>
      </c>
      <c r="E793">
        <v>0.02</v>
      </c>
      <c s="26" r="F793">
        <f>G793-E793</f>
        <v>16.98</v>
      </c>
      <c s="26" r="G793">
        <f>E793*H793</f>
        <v>17</v>
      </c>
      <c s="19" r="H793">
        <v>850</v>
      </c>
    </row>
    <row r="794">
      <c r="A794">
        <v>506</v>
      </c>
      <c r="B794">
        <v>1</v>
      </c>
      <c t="s" r="C794">
        <v>612</v>
      </c>
      <c r="E794">
        <v>0.02</v>
      </c>
      <c s="26" r="F794">
        <f>G794-E794</f>
        <v>7.98</v>
      </c>
      <c s="26" r="G794">
        <f>E794*H794</f>
        <v>8</v>
      </c>
      <c s="19" r="H794">
        <v>400</v>
      </c>
    </row>
    <row r="795">
      <c r="A795">
        <v>506</v>
      </c>
      <c r="B795">
        <v>1</v>
      </c>
      <c t="s" r="C795">
        <v>613</v>
      </c>
      <c r="E795">
        <v>3</v>
      </c>
      <c s="26" r="F795">
        <f>G795-E795</f>
        <v>0</v>
      </c>
      <c s="26" r="G795">
        <f>E795*H795</f>
        <v>3</v>
      </c>
      <c s="19" r="H795">
        <v>1</v>
      </c>
    </row>
    <row r="796">
      <c r="A796">
        <v>506</v>
      </c>
      <c r="B796">
        <v>1</v>
      </c>
      <c t="s" r="C796">
        <v>614</v>
      </c>
      <c r="E796">
        <v>1.5</v>
      </c>
      <c s="26" r="F796">
        <f>G796-E796</f>
        <v>0</v>
      </c>
      <c s="26" r="G796">
        <f>E796*H796</f>
        <v>1.5</v>
      </c>
      <c s="19" r="H796">
        <v>1</v>
      </c>
    </row>
    <row r="797">
      <c r="A797">
        <v>507</v>
      </c>
      <c r="B797">
        <f>3161+1456</f>
        <v>4617</v>
      </c>
      <c t="s" r="C797">
        <v>384</v>
      </c>
      <c r="E797">
        <f>B797*0.01</f>
        <v>46.17</v>
      </c>
      <c s="26" r="F797">
        <f>G797-E797</f>
        <v>3.46275</v>
      </c>
      <c s="26" r="G797">
        <f>E797*H797</f>
        <v>49.63275</v>
      </c>
      <c s="19" r="H797">
        <v>1.075</v>
      </c>
    </row>
    <row r="798">
      <c r="A798">
        <v>507</v>
      </c>
      <c r="B798">
        <v>1</v>
      </c>
      <c t="s" r="C798">
        <v>615</v>
      </c>
      <c r="E798">
        <v>0.25</v>
      </c>
      <c s="26" r="F798">
        <f>G798-E798</f>
        <v>1.125</v>
      </c>
      <c s="26" r="G798">
        <f>E798*H798</f>
        <v>1.375</v>
      </c>
      <c s="19" r="H798">
        <v>5.5</v>
      </c>
    </row>
    <row r="799">
      <c r="A799">
        <v>508</v>
      </c>
      <c r="B799">
        <v>73</v>
      </c>
      <c t="s" r="C799">
        <v>384</v>
      </c>
      <c r="E799">
        <f>B799*0.01</f>
        <v>0.73</v>
      </c>
      <c s="26" r="F799">
        <f>G799-E799</f>
        <v>0.05475</v>
      </c>
      <c s="26" r="G799">
        <f>E799*H799</f>
        <v>0.78475</v>
      </c>
      <c s="19" r="H799">
        <v>1.075</v>
      </c>
    </row>
    <row r="800">
      <c r="A800">
        <v>508</v>
      </c>
      <c r="B800">
        <v>107</v>
      </c>
      <c t="s" r="C800">
        <v>447</v>
      </c>
      <c r="E800">
        <f>B800*0.01</f>
        <v>1.07</v>
      </c>
      <c s="26" r="F800">
        <f>G800-E800</f>
        <v>0.08025</v>
      </c>
      <c s="26" r="G800">
        <f>E800*H800</f>
        <v>1.15025</v>
      </c>
      <c s="19" r="H800">
        <v>1.075</v>
      </c>
    </row>
    <row r="801">
      <c r="A801">
        <v>509</v>
      </c>
      <c r="B801">
        <v>2340</v>
      </c>
      <c t="s" r="C801">
        <v>384</v>
      </c>
      <c r="E801">
        <f>B801*0.01</f>
        <v>23.4</v>
      </c>
      <c s="26" r="F801">
        <f>G801-E801</f>
        <v>1.755</v>
      </c>
      <c s="26" r="G801">
        <f>E801*H801</f>
        <v>25.155</v>
      </c>
      <c s="19" r="H801">
        <v>1.075</v>
      </c>
    </row>
    <row r="802">
      <c r="A802">
        <v>509</v>
      </c>
      <c r="B802">
        <v>671</v>
      </c>
      <c t="s" r="C802">
        <v>447</v>
      </c>
      <c r="E802">
        <f>B802*0.01</f>
        <v>6.71</v>
      </c>
      <c s="26" r="F802">
        <f>G802-E802</f>
        <v>0.50325</v>
      </c>
      <c s="26" r="G802">
        <f>E802*H802</f>
        <v>7.21325</v>
      </c>
      <c s="19" r="H802">
        <v>1.075</v>
      </c>
    </row>
    <row r="803">
      <c r="A803">
        <v>509</v>
      </c>
      <c r="B803">
        <v>15</v>
      </c>
      <c t="s" r="C803">
        <v>92</v>
      </c>
      <c r="E803">
        <f>0.4*B803</f>
        <v>6</v>
      </c>
      <c s="26" r="F803">
        <f>G803-E803</f>
        <v>7.5</v>
      </c>
      <c s="26" r="G803">
        <f>E803*H803</f>
        <v>13.5</v>
      </c>
      <c s="19" r="H803">
        <v>2.25</v>
      </c>
    </row>
    <row r="804">
      <c r="A804">
        <v>511</v>
      </c>
      <c r="B804">
        <v>117</v>
      </c>
      <c t="s" r="C804">
        <v>431</v>
      </c>
      <c r="E804">
        <f>0.2*B804</f>
        <v>23.4</v>
      </c>
      <c s="26" r="F804">
        <f>G804-E804</f>
        <v>6.552</v>
      </c>
      <c s="26" r="G804">
        <f>E804*H804</f>
        <v>29.952</v>
      </c>
      <c s="19" r="H804">
        <v>1.28</v>
      </c>
    </row>
    <row r="805">
      <c r="A805">
        <v>511</v>
      </c>
      <c r="B805">
        <v>74</v>
      </c>
      <c t="s" r="C805">
        <v>434</v>
      </c>
      <c r="E805">
        <f>0.17*B805</f>
        <v>12.58</v>
      </c>
      <c s="26" r="F805">
        <f>G805-E805</f>
        <v>2.516</v>
      </c>
      <c s="26" r="G805">
        <f>E805*H805</f>
        <v>15.096</v>
      </c>
      <c s="19" r="H805">
        <v>1.2</v>
      </c>
    </row>
    <row r="806">
      <c r="A806">
        <v>511</v>
      </c>
      <c r="B806">
        <v>1</v>
      </c>
      <c t="s" r="C806">
        <v>474</v>
      </c>
      <c r="E806">
        <f>1.2*B806</f>
        <v>1.2</v>
      </c>
      <c s="26" r="F806">
        <f>G806-E806</f>
        <v>0.168</v>
      </c>
      <c s="26" r="G806">
        <f>E806*H806</f>
        <v>1.368</v>
      </c>
      <c s="19" r="H806">
        <v>1.14</v>
      </c>
    </row>
    <row r="807">
      <c r="A807">
        <v>511</v>
      </c>
      <c r="B807">
        <v>12</v>
      </c>
      <c t="s" r="C807">
        <v>432</v>
      </c>
      <c r="E807">
        <f>0.8*B807</f>
        <v>9.6</v>
      </c>
      <c s="26" r="F807">
        <f>G807-E807</f>
        <v>1.92</v>
      </c>
      <c s="26" r="G807">
        <f>E807*H807</f>
        <v>11.52</v>
      </c>
      <c s="19" r="H807">
        <v>1.2</v>
      </c>
    </row>
    <row r="808">
      <c r="A808">
        <v>511</v>
      </c>
      <c r="B808">
        <v>673</v>
      </c>
      <c t="s" r="C808">
        <v>433</v>
      </c>
      <c r="E808">
        <f>B808*0.04</f>
        <v>26.92</v>
      </c>
      <c s="26" r="F808">
        <f>G808-E808</f>
        <v>3.2304</v>
      </c>
      <c s="26" r="G808">
        <f>E808*H808</f>
        <v>30.1504</v>
      </c>
      <c s="19" r="H808">
        <v>1.12</v>
      </c>
    </row>
    <row r="809">
      <c r="A809">
        <v>512</v>
      </c>
      <c r="B809">
        <f>715+259</f>
        <v>974</v>
      </c>
      <c t="s" r="C809">
        <v>384</v>
      </c>
      <c r="E809">
        <f>B809*0.01</f>
        <v>9.74</v>
      </c>
      <c s="26" r="F809">
        <f>G809-E809</f>
        <v>0.730499999999999</v>
      </c>
      <c s="26" r="G809">
        <f>E809*H809</f>
        <v>10.4705</v>
      </c>
      <c s="19" r="H809">
        <v>1.075</v>
      </c>
    </row>
    <row r="810">
      <c r="A810">
        <v>512</v>
      </c>
      <c r="B810">
        <v>4869</v>
      </c>
      <c t="s" r="C810">
        <v>447</v>
      </c>
      <c r="E810">
        <f>B810*0.01</f>
        <v>48.69</v>
      </c>
      <c s="26" r="F810">
        <f>G810-E810</f>
        <v>3.65175</v>
      </c>
      <c s="26" r="G810">
        <f>E810*H810</f>
        <v>52.34175</v>
      </c>
      <c s="19" r="H810">
        <v>1.075</v>
      </c>
    </row>
    <row r="811">
      <c r="A811">
        <v>514</v>
      </c>
      <c r="B811">
        <v>1</v>
      </c>
      <c t="s" r="C811">
        <v>616</v>
      </c>
      <c r="E811">
        <v>135</v>
      </c>
      <c s="26" r="F811">
        <f>G811-E811</f>
        <v>44.55</v>
      </c>
      <c s="26" r="G811">
        <f>E811*H811</f>
        <v>179.55</v>
      </c>
      <c s="19" r="H811">
        <v>1.33</v>
      </c>
    </row>
    <row r="812">
      <c r="A812">
        <v>513</v>
      </c>
      <c r="B812">
        <v>7</v>
      </c>
      <c t="s" r="C812">
        <v>562</v>
      </c>
      <c r="E812">
        <v>1.7</v>
      </c>
      <c s="26" r="F812">
        <f>G812-E812</f>
        <v>8.5</v>
      </c>
      <c s="26" r="G812">
        <f>E812*H812</f>
        <v>10.2</v>
      </c>
      <c s="19" r="H812">
        <v>6</v>
      </c>
    </row>
    <row r="813">
      <c r="A813">
        <v>513</v>
      </c>
      <c r="B813">
        <v>1</v>
      </c>
      <c t="s" r="C813">
        <v>617</v>
      </c>
      <c r="E813">
        <v>105</v>
      </c>
      <c s="26" r="F813">
        <f>G813-E813</f>
        <v>10.5</v>
      </c>
      <c s="26" r="G813">
        <f>E813*H813</f>
        <v>115.5</v>
      </c>
      <c s="19" r="H813">
        <v>1.1</v>
      </c>
    </row>
    <row r="814">
      <c r="A814">
        <v>513</v>
      </c>
      <c r="B814">
        <v>1</v>
      </c>
      <c t="s" r="C814">
        <v>618</v>
      </c>
      <c r="E814">
        <v>180.83</v>
      </c>
      <c s="26" r="F814">
        <f>G814-E814</f>
        <v>16.2747</v>
      </c>
      <c s="26" r="G814">
        <f>E814*H814</f>
        <v>197.1047</v>
      </c>
      <c s="19" r="H814">
        <v>1.09</v>
      </c>
    </row>
    <row r="815">
      <c r="A815">
        <v>515</v>
      </c>
      <c r="B815">
        <v>1</v>
      </c>
      <c t="s" r="C815">
        <v>605</v>
      </c>
      <c r="E815">
        <v>60.83</v>
      </c>
      <c s="26" r="F815">
        <f>G815-E815</f>
        <v>4.2581</v>
      </c>
      <c s="26" r="G815">
        <f>E815*H815</f>
        <v>65.0881</v>
      </c>
      <c s="19" r="H815">
        <v>1.07</v>
      </c>
    </row>
    <row r="816">
      <c r="A816">
        <v>515</v>
      </c>
      <c r="B816">
        <v>16</v>
      </c>
      <c t="s" r="C816">
        <v>562</v>
      </c>
      <c r="E816">
        <v>1.7</v>
      </c>
      <c s="26" r="F816">
        <f>G816-E816</f>
        <v>8.73477</v>
      </c>
      <c s="26" r="G816">
        <f>E816*H816</f>
        <v>10.43477</v>
      </c>
      <c s="19" r="H816">
        <v>6.1381</v>
      </c>
    </row>
    <row r="817">
      <c r="A817">
        <v>515</v>
      </c>
      <c r="B817">
        <v>6</v>
      </c>
      <c t="s" r="C817">
        <v>560</v>
      </c>
      <c r="E817">
        <f>4.5*B817</f>
        <v>27</v>
      </c>
      <c s="26" r="F817">
        <f>G817-E817</f>
        <v>2.7</v>
      </c>
      <c s="26" r="G817">
        <f>E817*H817</f>
        <v>29.7</v>
      </c>
      <c s="19" r="H817">
        <v>1.1</v>
      </c>
    </row>
    <row r="818">
      <c r="A818">
        <v>515</v>
      </c>
      <c r="B818">
        <v>7</v>
      </c>
      <c t="s" r="C818">
        <v>509</v>
      </c>
      <c r="E818">
        <v>0.72</v>
      </c>
      <c s="26" r="F818">
        <f>G818-E818</f>
        <v>0.72</v>
      </c>
      <c s="26" r="G818">
        <f>E818*H818</f>
        <v>1.44</v>
      </c>
      <c s="19" r="H818">
        <v>2</v>
      </c>
    </row>
    <row r="819">
      <c r="A819">
        <v>515</v>
      </c>
      <c r="B819">
        <v>4</v>
      </c>
      <c t="s" r="C819">
        <v>559</v>
      </c>
      <c r="E819">
        <f>4.5*B819</f>
        <v>18</v>
      </c>
      <c s="26" r="F819">
        <f>G819-E819</f>
        <v>1.8</v>
      </c>
      <c s="26" r="G819">
        <f>E819*H819</f>
        <v>19.8</v>
      </c>
      <c s="19" r="H819">
        <v>1.1</v>
      </c>
    </row>
    <row r="820">
      <c r="A820">
        <v>515</v>
      </c>
      <c r="B820">
        <v>3</v>
      </c>
      <c t="s" r="C820">
        <v>504</v>
      </c>
      <c r="E820">
        <f>7.40*B820</f>
        <v>22.2</v>
      </c>
      <c s="26" r="F820">
        <f>G820-E820</f>
        <v>10.8003</v>
      </c>
      <c s="26" r="G820">
        <f>E820*H820</f>
        <v>33.0003</v>
      </c>
      <c s="19" r="H820">
        <v>1.4865</v>
      </c>
    </row>
    <row r="821">
      <c r="A821">
        <v>515</v>
      </c>
      <c r="B821">
        <v>1</v>
      </c>
      <c t="s" r="C821">
        <v>619</v>
      </c>
      <c r="E821">
        <v>3.5</v>
      </c>
      <c s="26" r="F821">
        <f>G821-E821</f>
        <v>0.524999999999999</v>
      </c>
      <c s="26" r="G821">
        <f>E821*H821</f>
        <v>4.025</v>
      </c>
      <c s="19" r="H821">
        <v>1.15</v>
      </c>
    </row>
    <row r="822">
      <c r="A822">
        <v>515</v>
      </c>
      <c r="B822">
        <v>2</v>
      </c>
      <c t="s" r="C822">
        <v>564</v>
      </c>
      <c r="E822">
        <f>0.12*B822</f>
        <v>0.24</v>
      </c>
      <c s="26" r="F822">
        <f>G822-E822</f>
        <v>0.54</v>
      </c>
      <c s="26" r="G822">
        <f>E822*H822</f>
        <v>0.78</v>
      </c>
      <c s="19" r="H822">
        <v>3.25</v>
      </c>
    </row>
    <row r="823">
      <c r="A823">
        <v>516</v>
      </c>
      <c r="B823">
        <f>76+1137</f>
        <v>1213</v>
      </c>
      <c t="s" r="C823">
        <v>56</v>
      </c>
      <c r="E823">
        <f>0.3*B823</f>
        <v>363.9</v>
      </c>
      <c s="26" r="F823">
        <f>G823-E823</f>
        <v>24.09018</v>
      </c>
      <c s="26" r="G823">
        <f>E823*H823</f>
        <v>387.99018</v>
      </c>
      <c s="19" r="H823">
        <v>1.0662</v>
      </c>
    </row>
    <row r="824">
      <c r="A824">
        <v>516</v>
      </c>
      <c r="B824">
        <v>1</v>
      </c>
      <c t="s" r="C824">
        <v>620</v>
      </c>
      <c r="E824">
        <v>150</v>
      </c>
      <c s="26" r="F824">
        <f>G824-E824</f>
        <v>0</v>
      </c>
      <c s="26" r="G824">
        <f>E824*H824</f>
        <v>150</v>
      </c>
      <c s="19" r="H824">
        <v>1</v>
      </c>
    </row>
    <row r="825">
      <c r="A825">
        <v>517</v>
      </c>
      <c r="B825">
        <v>5369</v>
      </c>
      <c t="s" r="C825">
        <v>384</v>
      </c>
      <c r="E825">
        <f>B825*0.01</f>
        <v>53.69</v>
      </c>
      <c s="26" r="F825">
        <f>G825-E825</f>
        <v>4.02675</v>
      </c>
      <c s="26" r="G825">
        <f>E825*H825</f>
        <v>57.71675</v>
      </c>
      <c s="19" r="H825">
        <v>1.075</v>
      </c>
    </row>
    <row r="826">
      <c r="A826">
        <v>518</v>
      </c>
      <c r="B826">
        <v>1093</v>
      </c>
      <c t="s" r="C826">
        <v>384</v>
      </c>
      <c r="E826">
        <f>B826*0.01</f>
        <v>10.93</v>
      </c>
      <c s="26" r="F826">
        <f>G826-E826</f>
        <v>0.819749999999999</v>
      </c>
      <c s="26" r="G826">
        <f>E826*H826</f>
        <v>11.74975</v>
      </c>
      <c s="19" r="H826">
        <v>1.075</v>
      </c>
    </row>
    <row r="827">
      <c r="A827">
        <v>519</v>
      </c>
      <c r="B827">
        <v>739</v>
      </c>
      <c t="s" r="C827">
        <v>384</v>
      </c>
      <c r="E827">
        <f>B827*0.01</f>
        <v>7.39</v>
      </c>
      <c s="26" r="F827">
        <f>G827-E827</f>
        <v>0.55425</v>
      </c>
      <c s="26" r="G827">
        <f>E827*H827</f>
        <v>7.94425</v>
      </c>
      <c s="19" r="H827">
        <v>1.075</v>
      </c>
    </row>
    <row r="828">
      <c r="A828">
        <v>519</v>
      </c>
      <c r="B828">
        <v>1052</v>
      </c>
      <c t="s" r="C828">
        <v>447</v>
      </c>
      <c r="E828">
        <f>B828*0.01</f>
        <v>10.52</v>
      </c>
      <c s="26" r="F828">
        <f>G828-E828</f>
        <v>0.789</v>
      </c>
      <c s="26" r="G828">
        <f>E828*H828</f>
        <v>11.309</v>
      </c>
      <c s="19" r="H828">
        <v>1.075</v>
      </c>
    </row>
    <row r="829">
      <c r="A829">
        <v>520</v>
      </c>
      <c r="B829">
        <v>56</v>
      </c>
      <c t="s" r="C829">
        <v>227</v>
      </c>
      <c r="E829">
        <f>0.4*B629</f>
        <v>24.4</v>
      </c>
      <c s="26" r="F829">
        <f>G829-E829</f>
        <v>51.85</v>
      </c>
      <c s="26" r="G829">
        <f>E829*H829</f>
        <v>76.25</v>
      </c>
      <c s="19" r="H829">
        <v>3.125</v>
      </c>
    </row>
    <row r="830">
      <c r="A830">
        <v>520</v>
      </c>
      <c r="B830">
        <v>13918</v>
      </c>
      <c t="s" r="C830">
        <v>384</v>
      </c>
      <c r="E830">
        <f>B830*0.01</f>
        <v>139.18</v>
      </c>
      <c s="26" r="F830">
        <f>G830-E830</f>
        <v>10.4385</v>
      </c>
      <c s="26" r="G830">
        <f>E830*H830</f>
        <v>149.6185</v>
      </c>
      <c s="19" r="H830">
        <v>1.075</v>
      </c>
    </row>
    <row r="831">
      <c r="A831">
        <v>521</v>
      </c>
      <c r="B831">
        <v>3</v>
      </c>
      <c t="s" r="C831">
        <v>562</v>
      </c>
      <c r="E831">
        <v>1.7</v>
      </c>
      <c s="26" r="F831">
        <f>G831-E831</f>
        <v>8.73477</v>
      </c>
      <c s="26" r="G831">
        <f>E831*H831</f>
        <v>10.43477</v>
      </c>
      <c s="19" r="H831">
        <v>6.1381</v>
      </c>
    </row>
    <row r="832">
      <c r="A832">
        <v>521</v>
      </c>
      <c r="B832">
        <v>3</v>
      </c>
      <c t="s" r="C832">
        <v>560</v>
      </c>
      <c r="E832">
        <f>4.5*B832</f>
        <v>13.5</v>
      </c>
      <c s="26" r="F832">
        <f>G832-E832</f>
        <v>1.35</v>
      </c>
      <c s="26" r="G832">
        <f>E832*H832</f>
        <v>14.85</v>
      </c>
      <c s="19" r="H832">
        <v>1.1</v>
      </c>
    </row>
    <row r="833">
      <c r="A833">
        <v>521</v>
      </c>
      <c r="B833">
        <v>3</v>
      </c>
      <c t="s" r="C833">
        <v>509</v>
      </c>
      <c r="E833">
        <v>0.72</v>
      </c>
      <c s="26" r="F833">
        <f>G833-E833</f>
        <v>0.72</v>
      </c>
      <c s="26" r="G833">
        <f>E833*H833</f>
        <v>1.44</v>
      </c>
      <c s="19" r="H833">
        <v>2</v>
      </c>
    </row>
    <row r="834">
      <c r="A834">
        <v>521</v>
      </c>
      <c r="B834">
        <v>8</v>
      </c>
      <c t="s" r="C834">
        <v>559</v>
      </c>
      <c r="E834">
        <f>4.5*B834</f>
        <v>36</v>
      </c>
      <c s="26" r="F834">
        <f>G834-E834</f>
        <v>3.6</v>
      </c>
      <c s="26" r="G834">
        <f>E834*H834</f>
        <v>39.6</v>
      </c>
      <c s="19" r="H834">
        <v>1.1</v>
      </c>
    </row>
    <row r="835">
      <c r="A835">
        <v>521</v>
      </c>
      <c r="B835">
        <v>2</v>
      </c>
      <c t="s" r="C835">
        <v>504</v>
      </c>
      <c r="E835">
        <f>7.40*B835</f>
        <v>14.8</v>
      </c>
      <c s="26" r="F835">
        <f>G835-E835</f>
        <v>7.2002</v>
      </c>
      <c s="26" r="G835">
        <f>E835*H835</f>
        <v>22.0002</v>
      </c>
      <c s="19" r="H835">
        <v>1.4865</v>
      </c>
    </row>
    <row r="836">
      <c r="A836">
        <v>521</v>
      </c>
      <c r="B836">
        <v>3</v>
      </c>
      <c t="s" r="C836">
        <v>524</v>
      </c>
      <c r="E836">
        <f>B836*2</f>
        <v>6</v>
      </c>
      <c s="26" r="F836">
        <f>G836-E836</f>
        <v>0.87</v>
      </c>
      <c s="26" r="G836">
        <f>E836*H836</f>
        <v>6.87</v>
      </c>
      <c s="19" r="H836">
        <v>1.145</v>
      </c>
    </row>
    <row r="837">
      <c r="A837">
        <v>522</v>
      </c>
      <c r="B837">
        <v>5086</v>
      </c>
      <c t="s" r="C837">
        <v>384</v>
      </c>
      <c r="E837">
        <f>B837*0.01</f>
        <v>50.86</v>
      </c>
      <c s="26" r="F837">
        <f>G837-E837</f>
        <v>3.8145</v>
      </c>
      <c s="26" r="G837">
        <f>E837*H837</f>
        <v>54.6745</v>
      </c>
      <c s="19" r="H837">
        <v>1.075</v>
      </c>
    </row>
    <row r="838">
      <c r="A838">
        <v>523</v>
      </c>
      <c r="B838">
        <v>4</v>
      </c>
      <c t="s" r="C838">
        <v>562</v>
      </c>
      <c r="E838">
        <v>1.7</v>
      </c>
      <c s="26" r="F838">
        <f>G838-E838</f>
        <v>8.73477</v>
      </c>
      <c s="26" r="G838">
        <f>E838*H838</f>
        <v>10.43477</v>
      </c>
      <c s="19" r="H838">
        <v>6.1381</v>
      </c>
    </row>
    <row r="839">
      <c r="A839">
        <v>523</v>
      </c>
      <c r="B839">
        <v>2</v>
      </c>
      <c t="s" r="C839">
        <v>559</v>
      </c>
      <c r="E839">
        <f>4.5*B839</f>
        <v>9</v>
      </c>
      <c s="26" r="F839">
        <f>G839-E839</f>
        <v>0.9</v>
      </c>
      <c s="26" r="G839">
        <f>E839*H839</f>
        <v>9.9</v>
      </c>
      <c s="19" r="H839">
        <v>1.1</v>
      </c>
    </row>
    <row r="840">
      <c r="A840">
        <v>523</v>
      </c>
      <c r="B840">
        <v>2</v>
      </c>
      <c t="s" r="C840">
        <v>504</v>
      </c>
      <c r="E840">
        <f>7.40*B840</f>
        <v>14.8</v>
      </c>
      <c s="26" r="F840">
        <f>G840-E840</f>
        <v>7.696</v>
      </c>
      <c s="26" r="G840">
        <f>E840*H840</f>
        <v>22.496</v>
      </c>
      <c s="19" r="H840">
        <v>1.52</v>
      </c>
    </row>
    <row r="841">
      <c r="A841">
        <v>526</v>
      </c>
      <c r="B841">
        <f>1931+227</f>
        <v>2158</v>
      </c>
      <c t="s" r="C841">
        <v>384</v>
      </c>
      <c r="E841">
        <f>B841*0.01</f>
        <v>21.58</v>
      </c>
      <c s="26" r="F841">
        <f>G841-E841</f>
        <v>1.6185</v>
      </c>
      <c s="26" r="G841">
        <f>E841*H841</f>
        <v>23.1985</v>
      </c>
      <c s="19" r="H841">
        <v>1.075</v>
      </c>
    </row>
    <row r="842">
      <c r="A842">
        <v>527</v>
      </c>
      <c r="B842">
        <v>3882</v>
      </c>
      <c t="s" r="C842">
        <v>384</v>
      </c>
      <c r="E842">
        <f>B842*0.01</f>
        <v>38.82</v>
      </c>
      <c s="26" r="F842">
        <f>G842-E842</f>
        <v>2.9115</v>
      </c>
      <c s="26" r="G842">
        <f>E842*H842</f>
        <v>41.7315</v>
      </c>
      <c s="19" r="H842">
        <v>1.075</v>
      </c>
    </row>
    <row r="843">
      <c r="A843">
        <v>528</v>
      </c>
      <c r="B843">
        <v>44</v>
      </c>
      <c t="s" r="C843">
        <v>346</v>
      </c>
      <c r="E843">
        <v>924</v>
      </c>
      <c s="26" r="F843">
        <f>G843-E843</f>
        <v>83.1600000000001</v>
      </c>
      <c s="26" r="G843">
        <f>E843*H843</f>
        <v>1007.16</v>
      </c>
      <c s="19" r="H843">
        <v>1.09</v>
      </c>
    </row>
    <row r="844">
      <c r="A844">
        <v>528</v>
      </c>
      <c r="B844">
        <v>1</v>
      </c>
      <c t="s" r="C844">
        <v>621</v>
      </c>
      <c r="E844">
        <v>0.45</v>
      </c>
      <c s="26" r="F844">
        <f>G844-E844</f>
        <v>369.3015</v>
      </c>
      <c s="26" r="G844">
        <f>E844*H844</f>
        <v>369.7515</v>
      </c>
      <c s="19" r="H844">
        <v>821.67</v>
      </c>
    </row>
    <row r="845">
      <c r="A845">
        <v>528</v>
      </c>
      <c r="B845">
        <v>1</v>
      </c>
      <c t="s" r="C845">
        <v>347</v>
      </c>
      <c r="E845">
        <v>0.37</v>
      </c>
      <c s="26" r="F845">
        <f>G845-E845</f>
        <v>1.295</v>
      </c>
      <c s="26" r="G845">
        <f>E845*H845</f>
        <v>1.665</v>
      </c>
      <c s="19" r="H845">
        <v>4.5</v>
      </c>
    </row>
    <row r="846">
      <c r="A846">
        <v>529</v>
      </c>
      <c r="B846">
        <v>2041</v>
      </c>
      <c t="s" r="C846">
        <v>384</v>
      </c>
      <c r="E846">
        <f>B846*0.01</f>
        <v>20.41</v>
      </c>
      <c s="26" r="F846">
        <f>G846-E846</f>
        <v>1.53075</v>
      </c>
      <c s="26" r="G846">
        <f>E846*H846</f>
        <v>21.94075</v>
      </c>
      <c s="19" r="H846">
        <v>1.075</v>
      </c>
    </row>
    <row r="847">
      <c r="A847">
        <v>530</v>
      </c>
      <c r="B847">
        <v>1</v>
      </c>
      <c t="s" r="C847">
        <v>622</v>
      </c>
      <c r="E847">
        <v>0.65</v>
      </c>
      <c s="26" r="F847">
        <f>G847-E847</f>
        <v>6.2855</v>
      </c>
      <c s="26" r="G847">
        <f>E847*H847</f>
        <v>6.9355</v>
      </c>
      <c s="19" r="H847">
        <v>10.67</v>
      </c>
    </row>
    <row r="848">
      <c r="A848">
        <v>532</v>
      </c>
      <c r="B848">
        <f>(120+516)+968</f>
        <v>1604</v>
      </c>
      <c t="s" r="C848">
        <v>139</v>
      </c>
      <c r="E848">
        <f>0.4*B848</f>
        <v>641.6</v>
      </c>
      <c s="26" r="F848">
        <f>G848-E848</f>
        <v>0</v>
      </c>
      <c s="26" r="G848">
        <f>E848*H848</f>
        <v>641.6</v>
      </c>
      <c s="19" r="H848">
        <v>1</v>
      </c>
    </row>
    <row r="849">
      <c r="A849">
        <v>533</v>
      </c>
      <c r="B849">
        <v>18803</v>
      </c>
      <c t="s" r="C849">
        <v>384</v>
      </c>
      <c r="E849">
        <f>B849*0.01</f>
        <v>188.03</v>
      </c>
      <c s="26" r="F849">
        <f>G849-E849</f>
        <v>14.10225</v>
      </c>
      <c s="26" r="G849">
        <f>E849*H849</f>
        <v>202.13225</v>
      </c>
      <c s="19" r="H849">
        <v>1.075</v>
      </c>
    </row>
    <row r="850">
      <c r="A850">
        <v>533</v>
      </c>
      <c r="B850">
        <v>827</v>
      </c>
      <c t="s" r="C850">
        <v>325</v>
      </c>
      <c r="E850">
        <f>0.75*B850</f>
        <v>620.25</v>
      </c>
      <c s="26" r="F850">
        <f>G850-E850</f>
        <v>31.0125</v>
      </c>
      <c s="26" r="G850">
        <f>E850*H850</f>
        <v>651.2625</v>
      </c>
      <c s="19" r="H850">
        <v>1.05</v>
      </c>
    </row>
    <row r="851">
      <c r="A851">
        <v>534</v>
      </c>
      <c r="B851">
        <v>1</v>
      </c>
      <c t="s" r="C851">
        <v>563</v>
      </c>
      <c r="E851">
        <v>100.69</v>
      </c>
      <c s="26" r="F851">
        <f>G851-E851</f>
        <v>26.1794</v>
      </c>
      <c s="26" r="G851">
        <f>E851*H851</f>
        <v>126.8694</v>
      </c>
      <c s="19" r="H851">
        <v>1.26</v>
      </c>
    </row>
    <row r="852">
      <c r="A852">
        <v>534</v>
      </c>
      <c r="B852">
        <v>11</v>
      </c>
      <c t="s" r="C852">
        <v>562</v>
      </c>
      <c r="E852">
        <v>1.7</v>
      </c>
      <c s="26" r="F852">
        <f>G852-E852</f>
        <v>8.73477</v>
      </c>
      <c s="26" r="G852">
        <f>E852*H852</f>
        <v>10.43477</v>
      </c>
      <c s="19" r="H852">
        <v>6.1381</v>
      </c>
    </row>
    <row r="853">
      <c r="A853">
        <v>534</v>
      </c>
      <c r="B853">
        <v>4</v>
      </c>
      <c t="s" r="C853">
        <v>560</v>
      </c>
      <c r="E853">
        <f>4.5*B853</f>
        <v>18</v>
      </c>
      <c s="26" r="F853">
        <f>G853-E853</f>
        <v>1.8</v>
      </c>
      <c s="26" r="G853">
        <f>E853*H853</f>
        <v>19.8</v>
      </c>
      <c s="19" r="H853">
        <v>1.1</v>
      </c>
    </row>
    <row r="854">
      <c r="A854">
        <v>534</v>
      </c>
      <c r="B854">
        <v>10</v>
      </c>
      <c t="s" r="C854">
        <v>509</v>
      </c>
      <c r="E854">
        <v>0.72</v>
      </c>
      <c s="26" r="F854">
        <f>G854-E854</f>
        <v>0.72</v>
      </c>
      <c s="26" r="G854">
        <f>E854*H854</f>
        <v>1.44</v>
      </c>
      <c s="19" r="H854">
        <v>2</v>
      </c>
    </row>
    <row r="855">
      <c r="A855">
        <v>534</v>
      </c>
      <c r="B855">
        <v>7</v>
      </c>
      <c t="s" r="C855">
        <v>559</v>
      </c>
      <c r="E855">
        <f>4.5*B855</f>
        <v>31.5</v>
      </c>
      <c s="26" r="F855">
        <f>G855-E855</f>
        <v>3.15000000000001</v>
      </c>
      <c s="26" r="G855">
        <f>E855*H855</f>
        <v>34.65</v>
      </c>
      <c s="19" r="H855">
        <v>1.1</v>
      </c>
    </row>
    <row r="856">
      <c r="A856">
        <v>534</v>
      </c>
      <c r="B856">
        <v>2</v>
      </c>
      <c t="s" r="C856">
        <v>504</v>
      </c>
      <c r="E856">
        <f>7.40*B856</f>
        <v>14.8</v>
      </c>
      <c s="26" r="F856">
        <f>G856-E856</f>
        <v>9.916</v>
      </c>
      <c s="26" r="G856">
        <f>E856*H856</f>
        <v>24.716</v>
      </c>
      <c s="19" r="H856">
        <v>1.67</v>
      </c>
    </row>
    <row r="857">
      <c r="A857">
        <v>534</v>
      </c>
      <c r="B857">
        <v>6</v>
      </c>
      <c t="s" r="C857">
        <v>623</v>
      </c>
      <c r="E857">
        <v>4</v>
      </c>
      <c s="26" r="F857">
        <f>G857-E857</f>
        <v>0</v>
      </c>
      <c s="26" r="G857">
        <f>E857*H857</f>
        <v>4</v>
      </c>
      <c s="19" r="H857">
        <v>1</v>
      </c>
    </row>
    <row r="858">
      <c r="A858">
        <v>534</v>
      </c>
      <c r="B858">
        <v>4</v>
      </c>
      <c t="s" r="C858">
        <v>624</v>
      </c>
      <c r="E858">
        <f>1.8*B858</f>
        <v>7.2</v>
      </c>
      <c s="26" r="F858">
        <f>G858-E858</f>
        <v>0</v>
      </c>
      <c s="26" r="G858">
        <f>E858*H858</f>
        <v>7.2</v>
      </c>
      <c s="19" r="H858">
        <v>1</v>
      </c>
    </row>
    <row r="859">
      <c r="A859">
        <v>534</v>
      </c>
      <c r="B859">
        <v>1</v>
      </c>
      <c t="s" r="C859">
        <v>588</v>
      </c>
      <c r="E859">
        <v>16.38</v>
      </c>
      <c s="26" r="F859">
        <f>G859-E859</f>
        <v>119.9016</v>
      </c>
      <c s="26" r="G859">
        <f>E859*H859</f>
        <v>136.2816</v>
      </c>
      <c s="19" r="H859">
        <v>8.32</v>
      </c>
    </row>
    <row r="860">
      <c r="A860">
        <v>534</v>
      </c>
      <c r="B860">
        <v>1</v>
      </c>
      <c t="s" r="C860">
        <v>564</v>
      </c>
      <c r="E860">
        <f>0.12*B860</f>
        <v>0.12</v>
      </c>
      <c s="26" r="F860">
        <f>G860-E860</f>
        <v>0.27</v>
      </c>
      <c s="26" r="G860">
        <f>E860*H860</f>
        <v>0.39</v>
      </c>
      <c s="19" r="H860">
        <v>3.25</v>
      </c>
    </row>
    <row r="861">
      <c r="A861">
        <v>535</v>
      </c>
      <c r="B861">
        <v>2</v>
      </c>
      <c t="s" r="C861">
        <v>559</v>
      </c>
      <c r="E861">
        <f>4.5*B861</f>
        <v>9</v>
      </c>
      <c s="26" r="F861">
        <f>G861-E861</f>
        <v>0.9</v>
      </c>
      <c s="26" r="G861">
        <f>E861*H861</f>
        <v>9.9</v>
      </c>
      <c s="19" r="H861">
        <v>1.1</v>
      </c>
    </row>
    <row r="862">
      <c r="A862">
        <v>535</v>
      </c>
      <c r="B862">
        <v>1</v>
      </c>
      <c t="s" r="C862">
        <v>623</v>
      </c>
      <c r="E862">
        <v>4</v>
      </c>
      <c s="26" r="F862">
        <f>G862-E862</f>
        <v>0</v>
      </c>
      <c s="26" r="G862">
        <f>E862*H862</f>
        <v>4</v>
      </c>
      <c s="19" r="H862">
        <v>1</v>
      </c>
    </row>
    <row r="863">
      <c r="A863">
        <v>535</v>
      </c>
      <c r="B863">
        <v>2</v>
      </c>
      <c t="s" r="C863">
        <v>624</v>
      </c>
      <c r="E863">
        <f>1.8*B863</f>
        <v>3.6</v>
      </c>
      <c s="26" r="F863">
        <f>G863-E863</f>
        <v>0</v>
      </c>
      <c s="26" r="G863">
        <f>E863*H863</f>
        <v>3.6</v>
      </c>
      <c s="19" r="H863">
        <v>1</v>
      </c>
    </row>
    <row r="864">
      <c r="A864">
        <v>536</v>
      </c>
      <c r="B864">
        <v>6</v>
      </c>
      <c t="s" r="C864">
        <v>562</v>
      </c>
      <c r="E864">
        <v>1.7</v>
      </c>
      <c s="26" r="F864">
        <f>G864-E864</f>
        <v>8.73477</v>
      </c>
      <c s="26" r="G864">
        <f>E864*H864</f>
        <v>10.43477</v>
      </c>
      <c s="19" r="H864">
        <v>6.1381</v>
      </c>
    </row>
    <row r="865">
      <c r="A865">
        <v>536</v>
      </c>
      <c r="B865">
        <v>6</v>
      </c>
      <c t="s" r="C865">
        <v>560</v>
      </c>
      <c r="E865">
        <f>4.5*B865</f>
        <v>27</v>
      </c>
      <c s="26" r="F865">
        <f>G865-E865</f>
        <v>2.7</v>
      </c>
      <c s="26" r="G865">
        <f>E865*H865</f>
        <v>29.7</v>
      </c>
      <c s="19" r="H865">
        <v>1.1</v>
      </c>
    </row>
    <row r="866">
      <c r="A866">
        <v>536</v>
      </c>
      <c r="B866">
        <v>2</v>
      </c>
      <c t="s" r="C866">
        <v>559</v>
      </c>
      <c r="E866">
        <f>4.5*B866</f>
        <v>9</v>
      </c>
      <c s="26" r="F866">
        <f>G866-E866</f>
        <v>0.9</v>
      </c>
      <c s="26" r="G866">
        <f>E866*H866</f>
        <v>9.9</v>
      </c>
      <c s="19" r="H866">
        <v>1.1</v>
      </c>
    </row>
    <row r="867">
      <c r="A867">
        <v>536</v>
      </c>
      <c r="B867">
        <v>2</v>
      </c>
      <c t="s" r="C867">
        <v>504</v>
      </c>
      <c r="E867">
        <f>7.40*B867</f>
        <v>14.8</v>
      </c>
      <c s="26" r="F867">
        <f>G867-E867</f>
        <v>9.916</v>
      </c>
      <c s="26" r="G867">
        <f>E867*H867</f>
        <v>24.716</v>
      </c>
      <c s="19" r="H867">
        <v>1.67</v>
      </c>
    </row>
    <row r="868">
      <c r="A868">
        <v>536</v>
      </c>
      <c r="B868">
        <v>1</v>
      </c>
      <c t="s" r="C868">
        <v>623</v>
      </c>
      <c r="E868">
        <v>4</v>
      </c>
      <c s="26" r="F868">
        <f>G868-E868</f>
        <v>0</v>
      </c>
      <c s="26" r="G868">
        <f>E868*H868</f>
        <v>4</v>
      </c>
      <c s="19" r="H868">
        <v>1</v>
      </c>
    </row>
    <row r="869">
      <c r="A869">
        <v>536</v>
      </c>
      <c r="B869">
        <v>1</v>
      </c>
      <c t="s" r="C869">
        <v>524</v>
      </c>
      <c r="E869">
        <f>B869*2</f>
        <v>2</v>
      </c>
      <c s="26" r="F869">
        <f>G869-E869</f>
        <v>0.29</v>
      </c>
      <c s="26" r="G869">
        <f>E869*H869</f>
        <v>2.29</v>
      </c>
      <c s="19" r="H869">
        <v>1.145</v>
      </c>
    </row>
    <row r="870">
      <c r="A870">
        <v>536</v>
      </c>
      <c r="B870">
        <v>1</v>
      </c>
      <c t="s" r="C870">
        <v>625</v>
      </c>
      <c r="E870">
        <v>129</v>
      </c>
      <c s="26" r="F870">
        <f>G870-E870</f>
        <v>10.32</v>
      </c>
      <c s="26" r="G870">
        <f>E870*H870</f>
        <v>139.32</v>
      </c>
      <c s="19" r="H870">
        <v>1.08</v>
      </c>
    </row>
    <row r="871">
      <c r="A871">
        <v>537</v>
      </c>
      <c r="B871">
        <v>3</v>
      </c>
      <c t="s" r="C871">
        <v>560</v>
      </c>
      <c r="E871">
        <f>4.5*B871</f>
        <v>13.5</v>
      </c>
      <c s="26" r="F871">
        <f>G871-E871</f>
        <v>1.35</v>
      </c>
      <c s="26" r="G871">
        <f>E871*H871</f>
        <v>14.85</v>
      </c>
      <c s="19" r="H871">
        <v>1.1</v>
      </c>
    </row>
    <row r="872">
      <c r="A872">
        <v>537</v>
      </c>
      <c r="B872">
        <v>1</v>
      </c>
      <c t="s" r="C872">
        <v>624</v>
      </c>
      <c r="E872">
        <f>1.8*B872</f>
        <v>1.8</v>
      </c>
      <c s="26" r="F872">
        <f>G872-E872</f>
        <v>0</v>
      </c>
      <c s="26" r="G872">
        <f>E872*H872</f>
        <v>1.8</v>
      </c>
      <c s="19" r="H872">
        <v>1</v>
      </c>
    </row>
    <row r="873">
      <c r="A873">
        <v>538</v>
      </c>
      <c r="B873">
        <v>1</v>
      </c>
      <c t="s" r="C873">
        <v>562</v>
      </c>
      <c r="E873">
        <v>1.7</v>
      </c>
      <c s="26" r="F873">
        <f>G873-E873</f>
        <v>8.73477</v>
      </c>
      <c s="26" r="G873">
        <f>E873*H873</f>
        <v>10.43477</v>
      </c>
      <c s="19" r="H873">
        <v>6.1381</v>
      </c>
    </row>
    <row r="874">
      <c r="A874">
        <v>538</v>
      </c>
      <c r="B874">
        <v>2</v>
      </c>
      <c t="s" r="C874">
        <v>560</v>
      </c>
      <c r="E874">
        <f>4.5*B874</f>
        <v>9</v>
      </c>
      <c s="26" r="F874">
        <f>G874-E874</f>
        <v>0.9</v>
      </c>
      <c s="26" r="G874">
        <f>E874*H874</f>
        <v>9.9</v>
      </c>
      <c s="19" r="H874">
        <v>1.1</v>
      </c>
    </row>
    <row r="875">
      <c r="A875">
        <v>538</v>
      </c>
      <c r="B875">
        <v>1</v>
      </c>
      <c t="s" r="C875">
        <v>623</v>
      </c>
      <c r="E875">
        <v>4</v>
      </c>
      <c s="26" r="F875">
        <f>G875-E875</f>
        <v>0</v>
      </c>
      <c s="26" r="G875">
        <f>E875*H875</f>
        <v>4</v>
      </c>
      <c s="19" r="H875">
        <v>1</v>
      </c>
    </row>
    <row r="876">
      <c r="A876">
        <v>539</v>
      </c>
      <c r="B876">
        <v>2</v>
      </c>
      <c t="s" r="C876">
        <v>509</v>
      </c>
      <c r="E876">
        <v>0.72</v>
      </c>
      <c s="26" r="F876">
        <f>G876-E876</f>
        <v>0.72</v>
      </c>
      <c s="26" r="G876">
        <f>E876*H876</f>
        <v>1.44</v>
      </c>
      <c s="19" r="H876">
        <v>2</v>
      </c>
    </row>
    <row r="877">
      <c r="A877">
        <v>539</v>
      </c>
      <c r="B877">
        <v>1</v>
      </c>
      <c t="s" r="C877">
        <v>624</v>
      </c>
      <c r="E877">
        <f>1.8*B877</f>
        <v>1.8</v>
      </c>
      <c s="26" r="F877">
        <f>G877-E877</f>
        <v>0</v>
      </c>
      <c s="26" r="G877">
        <f>E877*H877</f>
        <v>1.8</v>
      </c>
      <c s="19" r="H877">
        <v>1</v>
      </c>
    </row>
    <row r="878">
      <c r="A878">
        <v>540</v>
      </c>
      <c r="B878">
        <v>1</v>
      </c>
      <c t="s" r="C878">
        <v>588</v>
      </c>
      <c r="E878">
        <v>15.35</v>
      </c>
      <c s="26" r="F878">
        <f>G878-E878</f>
        <v>112.362</v>
      </c>
      <c s="26" r="G878">
        <f>E878*H878</f>
        <v>127.712</v>
      </c>
      <c s="19" r="H878">
        <v>8.32</v>
      </c>
    </row>
    <row r="879">
      <c r="A879">
        <v>540</v>
      </c>
      <c r="B879">
        <v>3</v>
      </c>
      <c t="s" r="C879">
        <v>560</v>
      </c>
      <c r="E879">
        <f>4.5*B879</f>
        <v>13.5</v>
      </c>
      <c s="26" r="F879">
        <f>G879-E879</f>
        <v>1.35</v>
      </c>
      <c s="26" r="G879">
        <f>E879*H879</f>
        <v>14.85</v>
      </c>
      <c s="19" r="H879">
        <v>1.1</v>
      </c>
    </row>
    <row r="880">
      <c r="A880">
        <v>540</v>
      </c>
      <c r="B880">
        <v>1</v>
      </c>
      <c t="s" r="C880">
        <v>624</v>
      </c>
      <c r="E880">
        <f>1.8*B880</f>
        <v>1.8</v>
      </c>
      <c s="26" r="F880">
        <f>G880-E880</f>
        <v>0</v>
      </c>
      <c s="26" r="G880">
        <f>E880*H880</f>
        <v>1.8</v>
      </c>
      <c s="19" r="H880">
        <v>1</v>
      </c>
    </row>
    <row r="881">
      <c r="A881">
        <v>540</v>
      </c>
      <c r="B881">
        <v>3</v>
      </c>
      <c t="s" r="C881">
        <v>562</v>
      </c>
      <c r="E881">
        <v>1.7</v>
      </c>
      <c s="26" r="F881">
        <f>G881-E881</f>
        <v>8.73477</v>
      </c>
      <c s="26" r="G881">
        <f>E881*H881</f>
        <v>10.43477</v>
      </c>
      <c s="19" r="H881">
        <v>6.1381</v>
      </c>
    </row>
    <row r="882">
      <c r="A882">
        <v>540</v>
      </c>
      <c r="B882">
        <v>1</v>
      </c>
      <c t="s" r="C882">
        <v>623</v>
      </c>
      <c r="E882">
        <v>4</v>
      </c>
      <c s="26" r="F882">
        <f>G882-E882</f>
        <v>0</v>
      </c>
      <c s="26" r="G882">
        <f>E882*H882</f>
        <v>4</v>
      </c>
      <c s="19" r="H882">
        <v>1</v>
      </c>
    </row>
    <row r="883">
      <c r="A883">
        <v>540</v>
      </c>
      <c r="B883">
        <v>1</v>
      </c>
      <c t="s" r="C883">
        <v>559</v>
      </c>
      <c r="E883">
        <f>4.5*B883</f>
        <v>4.5</v>
      </c>
      <c s="26" r="F883">
        <f>G883-E883</f>
        <v>0.45</v>
      </c>
      <c s="26" r="G883">
        <f>E883*H883</f>
        <v>4.95</v>
      </c>
      <c s="19" r="H883">
        <v>1.1</v>
      </c>
    </row>
    <row r="884">
      <c r="A884">
        <v>540</v>
      </c>
      <c r="B884">
        <v>8</v>
      </c>
      <c t="s" r="C884">
        <v>504</v>
      </c>
      <c r="E884">
        <f>7.40*B884</f>
        <v>59.2</v>
      </c>
      <c s="26" r="F884">
        <f>G884-E884</f>
        <v>39.664</v>
      </c>
      <c s="26" r="G884">
        <f>E884*H884</f>
        <v>98.864</v>
      </c>
      <c s="19" r="H884">
        <v>1.67</v>
      </c>
    </row>
    <row r="885">
      <c r="A885">
        <v>540</v>
      </c>
      <c r="B885">
        <v>1</v>
      </c>
      <c t="s" r="C885">
        <v>564</v>
      </c>
      <c r="E885">
        <f>0.12*B885</f>
        <v>0.12</v>
      </c>
      <c s="26" r="F885">
        <f>G885-E885</f>
        <v>0.27</v>
      </c>
      <c s="26" r="G885">
        <f>E885*H885</f>
        <v>0.39</v>
      </c>
      <c s="19" r="H885">
        <v>3.25</v>
      </c>
    </row>
    <row r="886">
      <c r="A886">
        <v>541</v>
      </c>
      <c r="B886">
        <v>1</v>
      </c>
      <c t="s" r="C886">
        <v>625</v>
      </c>
      <c r="E886">
        <v>129</v>
      </c>
      <c s="26" r="F886">
        <f>G886-E886</f>
        <v>10.32</v>
      </c>
      <c s="26" r="G886">
        <f>E886*H886</f>
        <v>139.32</v>
      </c>
      <c s="19" r="H886">
        <v>1.08</v>
      </c>
    </row>
    <row r="887">
      <c r="A887">
        <v>541</v>
      </c>
      <c r="B887">
        <v>2</v>
      </c>
      <c t="s" r="C887">
        <v>623</v>
      </c>
      <c r="E887">
        <v>4</v>
      </c>
      <c s="26" r="F887">
        <f>G887-E887</f>
        <v>0</v>
      </c>
      <c s="26" r="G887">
        <f>E887*H887</f>
        <v>4</v>
      </c>
      <c s="19" r="H887">
        <v>1</v>
      </c>
    </row>
    <row r="888">
      <c r="A888">
        <v>541</v>
      </c>
      <c r="B888">
        <v>3</v>
      </c>
      <c t="s" r="C888">
        <v>562</v>
      </c>
      <c r="E888">
        <v>1.7</v>
      </c>
      <c s="26" r="F888">
        <f>G888-E888</f>
        <v>8.73477</v>
      </c>
      <c s="26" r="G888">
        <f>E888*H888</f>
        <v>10.43477</v>
      </c>
      <c s="19" r="H888">
        <v>6.1381</v>
      </c>
    </row>
    <row r="889">
      <c r="A889">
        <v>541</v>
      </c>
      <c r="B889">
        <v>1</v>
      </c>
      <c t="s" r="C889">
        <v>560</v>
      </c>
      <c r="E889">
        <f>4.5*B889</f>
        <v>4.5</v>
      </c>
      <c s="26" r="F889">
        <f>G889-E889</f>
        <v>0.45</v>
      </c>
      <c s="26" r="G889">
        <f>E889*H889</f>
        <v>4.95</v>
      </c>
      <c s="19" r="H889">
        <v>1.1</v>
      </c>
    </row>
    <row r="890">
      <c r="A890">
        <v>541</v>
      </c>
      <c r="B890">
        <v>2</v>
      </c>
      <c t="s" r="C890">
        <v>624</v>
      </c>
      <c r="E890">
        <f>1.8*B890</f>
        <v>3.6</v>
      </c>
      <c s="26" r="F890">
        <f>G890-E890</f>
        <v>0</v>
      </c>
      <c s="26" r="G890">
        <f>E890*H890</f>
        <v>3.6</v>
      </c>
      <c s="19" r="H890">
        <v>1</v>
      </c>
    </row>
    <row r="891">
      <c r="A891">
        <v>541</v>
      </c>
      <c r="B891">
        <v>1</v>
      </c>
      <c t="s" r="C891">
        <v>626</v>
      </c>
      <c r="E891">
        <v>25</v>
      </c>
      <c s="26" r="F891">
        <f>G891-E891</f>
        <v>2.5</v>
      </c>
      <c s="26" r="G891">
        <f>E891*H891</f>
        <v>27.5</v>
      </c>
      <c s="19" r="H891">
        <v>1.1</v>
      </c>
    </row>
    <row r="892">
      <c r="A892">
        <v>541</v>
      </c>
      <c r="B892">
        <v>1</v>
      </c>
      <c t="s" r="C892">
        <v>627</v>
      </c>
      <c r="E892">
        <v>105</v>
      </c>
      <c s="26" r="F892">
        <f>G892-E892</f>
        <v>29.4</v>
      </c>
      <c s="26" r="G892">
        <f>E892*H892</f>
        <v>134.4</v>
      </c>
      <c s="19" r="H892">
        <v>1.28</v>
      </c>
    </row>
    <row r="893">
      <c r="A893">
        <v>542</v>
      </c>
      <c r="B893">
        <v>1</v>
      </c>
      <c t="s" r="C893">
        <v>565</v>
      </c>
      <c r="E893">
        <v>22.5</v>
      </c>
      <c s="26" r="F893">
        <f>G893-E893</f>
        <v>2.25</v>
      </c>
      <c s="26" r="G893">
        <f>E893*H893</f>
        <v>24.75</v>
      </c>
      <c s="19" r="H893">
        <v>1.1</v>
      </c>
    </row>
    <row r="894">
      <c r="A894">
        <v>542</v>
      </c>
      <c r="B894">
        <v>8</v>
      </c>
      <c t="s" r="C894">
        <v>562</v>
      </c>
      <c r="E894">
        <v>1.7</v>
      </c>
      <c s="26" r="F894">
        <f>G894-E894</f>
        <v>8.73477</v>
      </c>
      <c s="26" r="G894">
        <f>E894*H894</f>
        <v>10.43477</v>
      </c>
      <c s="19" r="H894">
        <v>6.1381</v>
      </c>
    </row>
    <row r="895">
      <c r="A895">
        <v>542</v>
      </c>
      <c r="B895">
        <v>1</v>
      </c>
      <c t="s" r="C895">
        <v>623</v>
      </c>
      <c r="E895">
        <v>4</v>
      </c>
      <c s="26" r="F895">
        <f>G895-E895</f>
        <v>0</v>
      </c>
      <c s="26" r="G895">
        <f>E895*H895</f>
        <v>4</v>
      </c>
      <c s="19" r="H895">
        <v>1</v>
      </c>
    </row>
    <row r="896">
      <c r="A896">
        <v>542</v>
      </c>
      <c r="B896">
        <v>1</v>
      </c>
      <c t="s" r="C896">
        <v>624</v>
      </c>
      <c r="E896">
        <f>1.8*B896</f>
        <v>1.8</v>
      </c>
      <c s="26" r="F896">
        <f>G896-E896</f>
        <v>0</v>
      </c>
      <c s="26" r="G896">
        <f>E896*H896</f>
        <v>1.8</v>
      </c>
      <c s="19" r="H896">
        <v>1</v>
      </c>
    </row>
    <row r="897">
      <c r="A897">
        <v>542</v>
      </c>
      <c r="B897">
        <v>2</v>
      </c>
      <c t="s" r="C897">
        <v>524</v>
      </c>
      <c r="E897">
        <f>B897*2</f>
        <v>4</v>
      </c>
      <c s="26" r="F897">
        <f>G897-E897</f>
        <v>0.58</v>
      </c>
      <c s="26" r="G897">
        <f>E897*H897</f>
        <v>4.58</v>
      </c>
      <c s="19" r="H897">
        <v>1.145</v>
      </c>
    </row>
    <row r="898">
      <c r="A898">
        <v>542</v>
      </c>
      <c r="B898">
        <v>3</v>
      </c>
      <c t="s" r="C898">
        <v>564</v>
      </c>
      <c r="E898">
        <f>0.12*B898</f>
        <v>0.36</v>
      </c>
      <c s="26" r="F898">
        <f>G898-E898</f>
        <v>0.81</v>
      </c>
      <c s="26" r="G898">
        <f>E898*H898</f>
        <v>1.17</v>
      </c>
      <c s="19" r="H898">
        <v>3.25</v>
      </c>
    </row>
    <row r="899">
      <c r="A899">
        <v>542</v>
      </c>
      <c r="B899">
        <v>1</v>
      </c>
      <c t="s" r="C899">
        <v>559</v>
      </c>
      <c r="E899">
        <f>4.5*B899</f>
        <v>4.5</v>
      </c>
      <c s="26" r="F899">
        <f>G899-E899</f>
        <v>0.45</v>
      </c>
      <c s="26" r="G899">
        <f>E899*H899</f>
        <v>4.95</v>
      </c>
      <c s="19" r="H899">
        <v>1.1</v>
      </c>
    </row>
    <row r="900">
      <c r="A900">
        <v>542</v>
      </c>
      <c r="B900">
        <v>2</v>
      </c>
      <c t="s" r="C900">
        <v>504</v>
      </c>
      <c r="E900">
        <f>7.40*B900</f>
        <v>14.8</v>
      </c>
      <c s="26" r="F900">
        <f>G900-E900</f>
        <v>9.916</v>
      </c>
      <c s="26" r="G900">
        <f>E900*H900</f>
        <v>24.716</v>
      </c>
      <c s="19" r="H900">
        <v>1.67</v>
      </c>
    </row>
    <row r="901">
      <c r="A901">
        <v>542</v>
      </c>
      <c r="B901">
        <v>1</v>
      </c>
      <c t="s" r="C901">
        <v>560</v>
      </c>
      <c r="E901">
        <f>4.5*B901</f>
        <v>4.5</v>
      </c>
      <c s="26" r="F901">
        <f>G901-E901</f>
        <v>0.45</v>
      </c>
      <c s="26" r="G901">
        <f>E901*H901</f>
        <v>4.95</v>
      </c>
      <c s="19" r="H901">
        <v>1.1</v>
      </c>
    </row>
    <row r="902">
      <c r="A902">
        <v>544</v>
      </c>
      <c r="B902">
        <v>1193</v>
      </c>
      <c t="s" r="C902">
        <v>139</v>
      </c>
      <c r="E902">
        <f>0.4*B902</f>
        <v>477.2</v>
      </c>
      <c s="26" r="F902">
        <f>G902-E902</f>
        <v>0</v>
      </c>
      <c s="26" r="G902">
        <f>E902*H902</f>
        <v>477.2</v>
      </c>
      <c s="19" r="H902">
        <v>1</v>
      </c>
    </row>
    <row r="903">
      <c r="A903">
        <v>545</v>
      </c>
      <c r="B903">
        <v>647</v>
      </c>
      <c t="s" r="C903">
        <v>325</v>
      </c>
      <c r="E903">
        <f>0.75*B903</f>
        <v>485.25</v>
      </c>
      <c s="26" r="F903">
        <f>G903-E903</f>
        <v>24.2625</v>
      </c>
      <c s="26" r="G903">
        <f>E903*H903</f>
        <v>509.5125</v>
      </c>
      <c s="19" r="H903">
        <v>1.05</v>
      </c>
    </row>
    <row r="904">
      <c r="A904">
        <v>545</v>
      </c>
      <c r="B904">
        <v>16728</v>
      </c>
      <c t="s" r="C904">
        <v>384</v>
      </c>
      <c r="E904">
        <f>B904*0.01</f>
        <v>167.28</v>
      </c>
      <c s="26" r="F904">
        <f>G904-E904</f>
        <v>12.546</v>
      </c>
      <c s="26" r="G904">
        <f>E904*H904</f>
        <v>179.826</v>
      </c>
      <c s="19" r="H904">
        <v>1.075</v>
      </c>
    </row>
    <row r="905">
      <c r="A905">
        <v>546</v>
      </c>
      <c r="B905">
        <v>1635</v>
      </c>
      <c t="s" r="C905">
        <v>384</v>
      </c>
      <c r="E905">
        <f>B905*0.01</f>
        <v>16.35</v>
      </c>
      <c s="26" r="F905">
        <f>G905-E905</f>
        <v>1.22625</v>
      </c>
      <c s="26" r="G905">
        <f>E905*H905</f>
        <v>17.57625</v>
      </c>
      <c s="19" r="H905">
        <v>1.075</v>
      </c>
    </row>
    <row r="906">
      <c r="A906">
        <v>547</v>
      </c>
      <c r="B906">
        <v>9198</v>
      </c>
      <c t="s" r="C906">
        <v>384</v>
      </c>
      <c r="E906">
        <f>B906*0.01</f>
        <v>91.98</v>
      </c>
      <c s="26" r="F906">
        <f>G906-E906</f>
        <v>6.8985</v>
      </c>
      <c s="26" r="G906">
        <f>E906*H906</f>
        <v>98.8785</v>
      </c>
      <c s="19" r="H906">
        <v>1.075</v>
      </c>
    </row>
    <row r="907">
      <c r="A907">
        <v>547</v>
      </c>
      <c r="B907">
        <v>3748</v>
      </c>
      <c t="s" r="C907">
        <v>447</v>
      </c>
      <c r="E907">
        <f>B907*0.01</f>
        <v>37.48</v>
      </c>
      <c s="26" r="F907">
        <f>G907-E907</f>
        <v>2.811</v>
      </c>
      <c s="26" r="G907">
        <f>E907*H907</f>
        <v>40.291</v>
      </c>
      <c s="19" r="H907">
        <v>1.075</v>
      </c>
    </row>
    <row r="908">
      <c r="A908">
        <v>547</v>
      </c>
      <c r="B908">
        <v>1</v>
      </c>
      <c t="s" r="C908">
        <v>610</v>
      </c>
      <c r="E908">
        <v>0.75</v>
      </c>
      <c s="26" r="F908">
        <f>G908-E908</f>
        <v>59.25</v>
      </c>
      <c s="26" r="G908">
        <f>E908*H908</f>
        <v>60</v>
      </c>
      <c s="19" r="H908">
        <v>80</v>
      </c>
    </row>
    <row r="909">
      <c r="A909">
        <v>548</v>
      </c>
      <c r="B909">
        <v>13442</v>
      </c>
      <c t="s" r="C909">
        <v>384</v>
      </c>
      <c r="E909">
        <f>B909*0.01</f>
        <v>134.42</v>
      </c>
      <c s="26" r="F909">
        <f>G909-E909</f>
        <v>10.0815</v>
      </c>
      <c s="26" r="G909">
        <f>E909*H909</f>
        <v>144.5015</v>
      </c>
      <c s="19" r="H909">
        <v>1.075</v>
      </c>
    </row>
    <row r="910">
      <c r="A910">
        <v>550</v>
      </c>
      <c r="B910">
        <v>2648</v>
      </c>
      <c t="s" r="C910">
        <v>384</v>
      </c>
      <c r="E910">
        <f>B910*0.01</f>
        <v>26.48</v>
      </c>
      <c s="26" r="F910">
        <f>G910-E910</f>
        <v>1.986</v>
      </c>
      <c s="26" r="G910">
        <f>E910*H910</f>
        <v>28.466</v>
      </c>
      <c s="19" r="H910">
        <v>1.075</v>
      </c>
    </row>
    <row r="911">
      <c r="A911">
        <v>551</v>
      </c>
      <c r="B911">
        <v>1</v>
      </c>
      <c t="s" r="C911">
        <v>564</v>
      </c>
      <c r="E911">
        <f>0.12*B911</f>
        <v>0.12</v>
      </c>
      <c s="26" r="F911">
        <f>G911-E911</f>
        <v>0.27</v>
      </c>
      <c s="26" r="G911">
        <f>E911*H911</f>
        <v>0.39</v>
      </c>
      <c s="19" r="H911">
        <v>3.25</v>
      </c>
    </row>
    <row r="912">
      <c r="A912">
        <v>551</v>
      </c>
      <c r="B912">
        <v>5</v>
      </c>
      <c t="s" r="C912">
        <v>559</v>
      </c>
      <c r="E912">
        <f>4.5*B912</f>
        <v>22.5</v>
      </c>
      <c s="26" r="F912">
        <f>G912-E912</f>
        <v>2.25</v>
      </c>
      <c s="26" r="G912">
        <f>E912*H912</f>
        <v>24.75</v>
      </c>
      <c s="19" r="H912">
        <v>1.1</v>
      </c>
    </row>
    <row r="913">
      <c r="A913">
        <v>551</v>
      </c>
      <c r="B913">
        <v>5</v>
      </c>
      <c t="s" r="C913">
        <v>623</v>
      </c>
      <c r="E913">
        <v>4</v>
      </c>
      <c s="26" r="F913">
        <f>G913-E913</f>
        <v>0</v>
      </c>
      <c s="26" r="G913">
        <f>E913*H913</f>
        <v>4</v>
      </c>
      <c s="19" r="H913">
        <v>1</v>
      </c>
    </row>
    <row r="914">
      <c r="A914">
        <v>551</v>
      </c>
      <c r="B914">
        <v>6</v>
      </c>
      <c t="s" r="C914">
        <v>562</v>
      </c>
      <c r="E914">
        <v>1.7</v>
      </c>
      <c s="26" r="F914">
        <f>G914-E914</f>
        <v>8.73477</v>
      </c>
      <c s="26" r="G914">
        <f>E914*H914</f>
        <v>10.43477</v>
      </c>
      <c s="19" r="H914">
        <v>6.1381</v>
      </c>
    </row>
    <row r="915">
      <c r="A915">
        <v>551</v>
      </c>
      <c r="B915">
        <v>1</v>
      </c>
      <c t="s" r="C915">
        <v>560</v>
      </c>
      <c r="E915">
        <f>4.5*B915</f>
        <v>4.5</v>
      </c>
      <c s="26" r="F915">
        <f>G915-E915</f>
        <v>0.45</v>
      </c>
      <c s="26" r="G915">
        <f>E915*H915</f>
        <v>4.95</v>
      </c>
      <c s="19" r="H915">
        <v>1.1</v>
      </c>
    </row>
    <row r="916">
      <c r="A916">
        <v>551</v>
      </c>
      <c r="B916">
        <v>1</v>
      </c>
      <c t="s" r="C916">
        <v>624</v>
      </c>
      <c r="E916">
        <f>1.8*B916</f>
        <v>1.8</v>
      </c>
      <c s="26" r="F916">
        <f>G916-E916</f>
        <v>0</v>
      </c>
      <c s="26" r="G916">
        <f>E916*H916</f>
        <v>1.8</v>
      </c>
      <c s="19" r="H916">
        <v>1</v>
      </c>
    </row>
    <row r="917">
      <c r="A917">
        <v>551</v>
      </c>
      <c r="B917">
        <v>4</v>
      </c>
      <c t="s" r="C917">
        <v>509</v>
      </c>
      <c r="E917">
        <v>0.72</v>
      </c>
      <c s="26" r="F917">
        <f>G917-E917</f>
        <v>0.72</v>
      </c>
      <c s="26" r="G917">
        <f>E917*H917</f>
        <v>1.44</v>
      </c>
      <c s="19" r="H917">
        <v>2</v>
      </c>
    </row>
    <row r="918">
      <c r="A918">
        <v>552</v>
      </c>
      <c r="B918">
        <v>1</v>
      </c>
      <c t="s" r="C918">
        <v>559</v>
      </c>
      <c r="E918">
        <f>4.5*B918</f>
        <v>4.5</v>
      </c>
      <c s="26" r="F918">
        <f>G918-E918</f>
        <v>0.45</v>
      </c>
      <c s="26" r="G918">
        <f>E918*H918</f>
        <v>4.95</v>
      </c>
      <c s="19" r="H918">
        <v>1.1</v>
      </c>
    </row>
    <row r="919">
      <c r="A919">
        <v>552</v>
      </c>
      <c r="B919">
        <v>1</v>
      </c>
      <c t="s" r="C919">
        <v>623</v>
      </c>
      <c r="E919">
        <v>4</v>
      </c>
      <c s="26" r="F919">
        <f>G919-E919</f>
        <v>0</v>
      </c>
      <c s="26" r="G919">
        <f>E919*H919</f>
        <v>4</v>
      </c>
      <c s="19" r="H919">
        <v>1</v>
      </c>
    </row>
    <row r="920">
      <c r="A920">
        <v>552</v>
      </c>
      <c r="B920">
        <v>2</v>
      </c>
      <c t="s" r="C920">
        <v>562</v>
      </c>
      <c r="E920">
        <v>1.7</v>
      </c>
      <c s="26" r="F920">
        <f>G920-E920</f>
        <v>8.73477</v>
      </c>
      <c s="26" r="G920">
        <f>E920*H920</f>
        <v>10.43477</v>
      </c>
      <c s="19" r="H920">
        <v>6.1381</v>
      </c>
    </row>
    <row r="921">
      <c r="A921">
        <v>552</v>
      </c>
      <c r="B921">
        <v>1</v>
      </c>
      <c t="s" r="C921">
        <v>560</v>
      </c>
      <c r="E921">
        <f>4.5*B921</f>
        <v>4.5</v>
      </c>
      <c s="26" r="F921">
        <f>G921-E921</f>
        <v>0.45</v>
      </c>
      <c s="26" r="G921">
        <f>E921*H921</f>
        <v>4.95</v>
      </c>
      <c s="19" r="H921">
        <v>1.1</v>
      </c>
    </row>
    <row r="922">
      <c r="A922">
        <v>552</v>
      </c>
      <c r="B922">
        <v>2</v>
      </c>
      <c t="s" r="C922">
        <v>509</v>
      </c>
      <c r="E922">
        <v>0.72</v>
      </c>
      <c s="26" r="F922">
        <f>G922-E922</f>
        <v>0.72</v>
      </c>
      <c s="26" r="G922">
        <f>E922*H922</f>
        <v>1.44</v>
      </c>
      <c s="19" r="H922">
        <v>2</v>
      </c>
    </row>
    <row r="923">
      <c r="A923">
        <v>553</v>
      </c>
      <c r="B923">
        <v>1915</v>
      </c>
      <c t="s" r="C923">
        <v>384</v>
      </c>
      <c r="E923">
        <f>B923*0.01</f>
        <v>19.15</v>
      </c>
      <c s="26" r="F923">
        <f>G923-E923</f>
        <v>1.43625</v>
      </c>
      <c s="26" r="G923">
        <f>E923*H923</f>
        <v>20.58625</v>
      </c>
      <c s="19" r="H923">
        <v>1.075</v>
      </c>
    </row>
    <row r="924">
      <c r="A924">
        <v>553</v>
      </c>
      <c r="B924">
        <v>1266</v>
      </c>
      <c t="s" r="C924">
        <v>447</v>
      </c>
      <c r="E924">
        <f>B924*0.01</f>
        <v>12.66</v>
      </c>
      <c s="26" r="F924">
        <f>G924-E924</f>
        <v>0.949499999999999</v>
      </c>
      <c s="26" r="G924">
        <f>E924*H924</f>
        <v>13.6095</v>
      </c>
      <c s="19" r="H924">
        <v>1.075</v>
      </c>
    </row>
    <row r="925">
      <c r="A925">
        <v>553</v>
      </c>
      <c r="B925">
        <v>1523</v>
      </c>
      <c t="s" r="C925">
        <v>628</v>
      </c>
      <c r="E925">
        <v>15.23</v>
      </c>
      <c s="26" r="F925">
        <f>G925-E925</f>
        <v>1.14225</v>
      </c>
      <c s="26" r="G925">
        <f>E925*H925</f>
        <v>16.37225</v>
      </c>
      <c s="19" r="H925">
        <v>1.075</v>
      </c>
    </row>
    <row r="926">
      <c r="A926">
        <v>554</v>
      </c>
      <c r="B926">
        <v>2</v>
      </c>
      <c t="s" r="C926">
        <v>559</v>
      </c>
      <c r="E926">
        <f>4.5*B926</f>
        <v>9</v>
      </c>
      <c s="26" r="F926">
        <f>G926-E926</f>
        <v>0.9</v>
      </c>
      <c s="26" r="G926">
        <f>E926*H926</f>
        <v>9.9</v>
      </c>
      <c s="19" r="H926">
        <v>1.1</v>
      </c>
    </row>
    <row r="927">
      <c r="A927">
        <v>554</v>
      </c>
      <c r="B927">
        <v>2</v>
      </c>
      <c t="s" r="C927">
        <v>560</v>
      </c>
      <c r="E927">
        <f>4.5*B927</f>
        <v>9</v>
      </c>
      <c s="26" r="F927">
        <f>G927-E927</f>
        <v>0.9</v>
      </c>
      <c s="26" r="G927">
        <f>E927*H927</f>
        <v>9.9</v>
      </c>
      <c s="19" r="H927">
        <v>1.1</v>
      </c>
    </row>
    <row r="928">
      <c r="A928">
        <v>554</v>
      </c>
      <c r="B928">
        <v>3</v>
      </c>
      <c t="s" r="C928">
        <v>504</v>
      </c>
      <c r="E928">
        <f>7.40*B928</f>
        <v>22.2</v>
      </c>
      <c s="26" r="F928">
        <f>G928-E928</f>
        <v>14.874</v>
      </c>
      <c s="26" r="G928">
        <f>E928*H928</f>
        <v>37.074</v>
      </c>
      <c s="19" r="H928">
        <v>1.67</v>
      </c>
    </row>
    <row r="929">
      <c r="A929">
        <v>554</v>
      </c>
      <c r="B929">
        <v>6</v>
      </c>
      <c t="s" r="C929">
        <v>509</v>
      </c>
      <c r="E929">
        <v>0.72</v>
      </c>
      <c s="26" r="F929">
        <f>G929-E929</f>
        <v>0.72</v>
      </c>
      <c s="26" r="G929">
        <f>E929*H929</f>
        <v>1.44</v>
      </c>
      <c s="19" r="H929">
        <v>2</v>
      </c>
    </row>
    <row r="930">
      <c r="A930">
        <v>554</v>
      </c>
      <c r="B930">
        <v>5</v>
      </c>
      <c t="s" r="C930">
        <v>624</v>
      </c>
      <c r="E930">
        <f>1.8*B930</f>
        <v>9</v>
      </c>
      <c s="26" r="F930">
        <f>G930-E930</f>
        <v>0</v>
      </c>
      <c s="26" r="G930">
        <f>E930*H930</f>
        <v>9</v>
      </c>
      <c s="19" r="H930">
        <v>1</v>
      </c>
    </row>
    <row r="931">
      <c r="A931">
        <v>554</v>
      </c>
      <c r="B931">
        <v>3</v>
      </c>
      <c t="s" r="C931">
        <v>562</v>
      </c>
      <c r="E931">
        <v>1.7</v>
      </c>
      <c s="26" r="F931">
        <f>G931-E931</f>
        <v>8.73477</v>
      </c>
      <c s="26" r="G931">
        <f>E931*H931</f>
        <v>10.43477</v>
      </c>
      <c s="19" r="H931">
        <v>6.1381</v>
      </c>
    </row>
    <row r="932">
      <c r="A932">
        <v>554</v>
      </c>
      <c r="B932">
        <v>1</v>
      </c>
      <c t="s" r="C932">
        <v>564</v>
      </c>
      <c r="E932">
        <f>0.12*B932</f>
        <v>0.12</v>
      </c>
      <c s="26" r="F932">
        <f>G932-E932</f>
        <v>0.27</v>
      </c>
      <c s="26" r="G932">
        <f>E932*H932</f>
        <v>0.39</v>
      </c>
      <c s="19" r="H932">
        <v>3.25</v>
      </c>
    </row>
    <row r="933">
      <c r="A933">
        <v>554</v>
      </c>
      <c r="B933">
        <v>2</v>
      </c>
      <c t="s" r="C933">
        <v>629</v>
      </c>
      <c r="E933">
        <f>1.6*B933</f>
        <v>3.2</v>
      </c>
      <c s="26" r="F933">
        <f>G933-E933</f>
        <v>0.32</v>
      </c>
      <c s="26" r="G933">
        <f>E933*H933</f>
        <v>3.52</v>
      </c>
      <c s="19" r="H933">
        <v>1.1</v>
      </c>
    </row>
    <row r="934">
      <c r="A934">
        <v>554</v>
      </c>
      <c r="B934">
        <v>3</v>
      </c>
      <c t="s" r="C934">
        <v>524</v>
      </c>
      <c r="E934">
        <f>B934*2</f>
        <v>6</v>
      </c>
      <c s="26" r="F934">
        <f>G934-E934</f>
        <v>0.87</v>
      </c>
      <c s="26" r="G934">
        <f>E934*H934</f>
        <v>6.87</v>
      </c>
      <c s="19" r="H934">
        <v>1.145</v>
      </c>
    </row>
    <row r="935">
      <c r="A935">
        <v>559</v>
      </c>
      <c r="B935">
        <v>1</v>
      </c>
      <c t="s" r="C935">
        <v>610</v>
      </c>
      <c r="E935">
        <v>0.86</v>
      </c>
      <c s="26" r="F935">
        <f>G935-E935</f>
        <v>67.94</v>
      </c>
      <c s="26" r="G935">
        <f>E935*H935</f>
        <v>68.8</v>
      </c>
      <c s="19" r="H935">
        <v>80</v>
      </c>
    </row>
    <row r="936">
      <c r="A936">
        <v>560</v>
      </c>
      <c r="B936">
        <v>5010</v>
      </c>
      <c t="s" r="C936">
        <v>384</v>
      </c>
      <c r="E936">
        <f>B936*0.01</f>
        <v>50.1</v>
      </c>
      <c s="26" r="F936">
        <f>G936-E936</f>
        <v>3.7575</v>
      </c>
      <c s="26" r="G936">
        <f>E936*H936</f>
        <v>53.8575</v>
      </c>
      <c s="19" r="H936">
        <v>1.075</v>
      </c>
    </row>
    <row r="937">
      <c r="A937">
        <v>561</v>
      </c>
      <c r="B937">
        <v>540</v>
      </c>
      <c t="s" r="C937">
        <v>56</v>
      </c>
      <c r="E937">
        <f>0.3*B937</f>
        <v>162</v>
      </c>
      <c s="26" r="F937">
        <f>G937-E937</f>
        <v>8.09999999999999</v>
      </c>
      <c s="26" r="G937">
        <f>E937*H937</f>
        <v>170.1</v>
      </c>
      <c s="19" r="H937">
        <v>1.05</v>
      </c>
    </row>
    <row r="938">
      <c r="A938">
        <v>562</v>
      </c>
      <c r="B938">
        <v>18680</v>
      </c>
      <c t="s" r="C938">
        <v>384</v>
      </c>
      <c r="E938">
        <f>B938*0.01</f>
        <v>186.8</v>
      </c>
      <c s="26" r="F938">
        <f>G938-E938</f>
        <v>14.01</v>
      </c>
      <c s="26" r="G938">
        <f>E938*H938</f>
        <v>200.81</v>
      </c>
      <c s="19" r="H938">
        <v>1.075</v>
      </c>
    </row>
    <row r="939">
      <c r="A939">
        <v>563</v>
      </c>
      <c r="B939">
        <v>458</v>
      </c>
      <c t="s" r="C939">
        <v>384</v>
      </c>
      <c r="E939">
        <f>B939*0.01</f>
        <v>4.58</v>
      </c>
      <c s="26" r="F939">
        <f>G939-E939</f>
        <v>0.3435</v>
      </c>
      <c s="26" r="G939">
        <f>E939*H939</f>
        <v>4.9235</v>
      </c>
      <c s="19" r="H939">
        <v>1.075</v>
      </c>
    </row>
    <row r="940">
      <c r="A940">
        <v>564</v>
      </c>
      <c r="B940">
        <v>1233</v>
      </c>
      <c t="s" r="C940">
        <v>384</v>
      </c>
      <c r="E940">
        <f>B940*0.01</f>
        <v>12.33</v>
      </c>
      <c s="26" r="F940">
        <f>G940-E940</f>
        <v>0.92475</v>
      </c>
      <c s="26" r="G940">
        <f>E940*H940</f>
        <v>13.25475</v>
      </c>
      <c s="19" r="H940">
        <v>1.075</v>
      </c>
    </row>
    <row r="941">
      <c r="A941">
        <v>567</v>
      </c>
      <c r="B941">
        <f>41690+4441</f>
        <v>46131</v>
      </c>
      <c t="s" r="C941">
        <v>384</v>
      </c>
      <c r="E941">
        <f>B941*0.01</f>
        <v>461.31</v>
      </c>
      <c s="26" r="F941">
        <f>G941-E941</f>
        <v>27.6786</v>
      </c>
      <c s="26" r="G941">
        <f>E941*H941</f>
        <v>488.9886</v>
      </c>
      <c s="19" r="H941">
        <v>1.06</v>
      </c>
    </row>
    <row r="942">
      <c r="A942">
        <v>567</v>
      </c>
      <c r="B942">
        <v>171</v>
      </c>
      <c t="s" r="C942">
        <v>227</v>
      </c>
      <c r="E942">
        <f>0.8*B942</f>
        <v>136.8</v>
      </c>
      <c s="26" r="F942">
        <f>G942-E942</f>
        <v>287.28</v>
      </c>
      <c s="26" r="G942">
        <f>E942*H942</f>
        <v>424.08</v>
      </c>
      <c s="19" r="H942">
        <v>3.1</v>
      </c>
    </row>
    <row r="943">
      <c r="A943">
        <v>568</v>
      </c>
      <c r="B943">
        <v>124</v>
      </c>
      <c t="s" r="C943">
        <v>324</v>
      </c>
      <c r="E943">
        <f>0.4*B943</f>
        <v>49.6</v>
      </c>
      <c s="26" r="F943">
        <f>G943-E943</f>
        <v>54.56</v>
      </c>
      <c s="26" r="G943">
        <f>E943*H943</f>
        <v>104.16</v>
      </c>
      <c s="19" r="H943">
        <v>2.1</v>
      </c>
    </row>
    <row r="944">
      <c r="A944">
        <v>568</v>
      </c>
      <c r="B944">
        <f>27082+3563</f>
        <v>30645</v>
      </c>
      <c t="s" r="C944">
        <v>384</v>
      </c>
      <c r="E944">
        <f>B944*0.01</f>
        <v>306.45</v>
      </c>
      <c s="26" r="F944">
        <f>G944-E944</f>
        <v>18.387</v>
      </c>
      <c s="26" r="G944">
        <f>E944*H944</f>
        <v>324.837</v>
      </c>
      <c s="19" r="H944">
        <v>1.06</v>
      </c>
    </row>
    <row r="945">
      <c r="A945">
        <v>568</v>
      </c>
      <c r="B945">
        <v>4941</v>
      </c>
      <c t="s" r="C945">
        <v>447</v>
      </c>
      <c r="E945">
        <f>B945*0.01</f>
        <v>49.41</v>
      </c>
      <c s="26" r="F945">
        <f>G945-E945</f>
        <v>3.70575</v>
      </c>
      <c s="26" r="G945">
        <f>E945*H945</f>
        <v>53.11575</v>
      </c>
      <c s="19" r="H945">
        <v>1.075</v>
      </c>
    </row>
    <row r="946">
      <c r="A946">
        <v>570</v>
      </c>
      <c r="B946">
        <v>8507</v>
      </c>
      <c t="s" r="C946">
        <v>384</v>
      </c>
      <c r="E946">
        <f>B946*0.01</f>
        <v>85.07</v>
      </c>
      <c s="26" r="F946">
        <f>G946-E946</f>
        <v>5.10420000000001</v>
      </c>
      <c s="26" r="G946">
        <f>E946*H946</f>
        <v>90.1742</v>
      </c>
      <c s="19" r="H946">
        <v>1.06</v>
      </c>
    </row>
    <row r="947">
      <c r="A947">
        <v>565</v>
      </c>
      <c r="B947">
        <v>3745</v>
      </c>
      <c t="s" r="C947">
        <v>384</v>
      </c>
      <c r="E947">
        <f>B947*0.01</f>
        <v>37.45</v>
      </c>
      <c s="26" r="F947">
        <f>G947-E947</f>
        <v>2.247</v>
      </c>
      <c s="26" r="G947">
        <f>E947*H947</f>
        <v>39.697</v>
      </c>
      <c s="19" r="H947">
        <v>1.06</v>
      </c>
    </row>
    <row r="948">
      <c r="A948">
        <v>565</v>
      </c>
      <c r="B948">
        <v>2925</v>
      </c>
      <c t="s" r="C948">
        <v>447</v>
      </c>
      <c r="E948">
        <f>B948*0.01</f>
        <v>29.25</v>
      </c>
      <c s="26" r="F948">
        <f>G948-E948</f>
        <v>2.19375</v>
      </c>
      <c s="26" r="G948">
        <f>E948*H948</f>
        <v>31.44375</v>
      </c>
      <c s="19" r="H948">
        <v>1.075</v>
      </c>
    </row>
    <row r="949">
      <c r="A949">
        <v>569</v>
      </c>
      <c r="B949">
        <f>(8111+254772)+21137</f>
        <v>284020</v>
      </c>
      <c t="s" r="C949">
        <v>384</v>
      </c>
      <c r="E949">
        <f>B949*0.01</f>
        <v>2840.2</v>
      </c>
      <c s="26" r="F949">
        <f>G949-E949</f>
        <v>170.412</v>
      </c>
      <c s="26" r="G949">
        <f>E949*H949</f>
        <v>3010.612</v>
      </c>
      <c s="19" r="H949">
        <v>1.06</v>
      </c>
    </row>
    <row r="950">
      <c r="A950">
        <v>569</v>
      </c>
      <c r="B950">
        <f>(1192+1412)+7436</f>
        <v>10040</v>
      </c>
      <c t="s" r="C950">
        <v>447</v>
      </c>
      <c r="E950">
        <f>B950*0.01</f>
        <v>100.4</v>
      </c>
      <c s="26" r="F950">
        <f>G950-E950</f>
        <v>7.53</v>
      </c>
      <c s="26" r="G950">
        <f>E950*H950</f>
        <v>107.93</v>
      </c>
      <c s="19" r="H950">
        <v>1.075</v>
      </c>
    </row>
    <row r="951">
      <c r="A951">
        <v>569</v>
      </c>
      <c r="B951">
        <f>46+105</f>
        <v>151</v>
      </c>
      <c t="s" r="C951">
        <v>354</v>
      </c>
      <c r="E951">
        <f>0.4*B951</f>
        <v>60.4</v>
      </c>
      <c s="26" r="F951">
        <f>G951-E951</f>
        <v>90.6</v>
      </c>
      <c s="26" r="G951">
        <f>E951*H951</f>
        <v>151</v>
      </c>
      <c s="19" r="H951">
        <v>2.5</v>
      </c>
    </row>
    <row r="952">
      <c r="A952">
        <v>571</v>
      </c>
      <c r="B952">
        <f>15848+360</f>
        <v>16208</v>
      </c>
      <c t="s" r="C952">
        <v>384</v>
      </c>
      <c r="E952">
        <f>B952*0.01</f>
        <v>162.08</v>
      </c>
      <c s="26" r="F952">
        <f>G952-E952</f>
        <v>9.72480000000002</v>
      </c>
      <c s="26" r="G952">
        <f>E952*H952</f>
        <v>171.8048</v>
      </c>
      <c s="19" r="H952">
        <v>1.06</v>
      </c>
    </row>
    <row r="953">
      <c r="A953">
        <v>571</v>
      </c>
      <c r="B953">
        <v>65</v>
      </c>
      <c t="s" r="C953">
        <v>324</v>
      </c>
      <c r="E953">
        <f>0.4*B953</f>
        <v>26</v>
      </c>
      <c s="26" r="F953">
        <f>G953-E953</f>
        <v>23.4</v>
      </c>
      <c s="26" r="G953">
        <f>E953*H953</f>
        <v>49.4</v>
      </c>
      <c s="19" r="H953">
        <v>1.9</v>
      </c>
    </row>
    <row r="954">
      <c r="A954">
        <v>574</v>
      </c>
      <c r="B954">
        <v>8847</v>
      </c>
      <c t="s" r="C954">
        <v>384</v>
      </c>
      <c r="E954">
        <f>B954*0.01</f>
        <v>88.47</v>
      </c>
      <c s="26" r="F954">
        <f>G954-E954</f>
        <v>5.3082</v>
      </c>
      <c s="26" r="G954">
        <f>E954*H954</f>
        <v>93.7782</v>
      </c>
      <c s="19" r="H954">
        <v>1.06</v>
      </c>
    </row>
    <row r="955">
      <c r="A955">
        <v>574</v>
      </c>
      <c r="B955">
        <v>314</v>
      </c>
      <c t="s" r="C955">
        <v>356</v>
      </c>
      <c r="E955">
        <f>1.1*B955</f>
        <v>345.4</v>
      </c>
      <c s="26" r="F955">
        <f>G955-E955</f>
        <v>27.632</v>
      </c>
      <c s="26" r="G955">
        <f>E955*H955</f>
        <v>373.032</v>
      </c>
      <c s="19" r="H955">
        <v>1.08</v>
      </c>
    </row>
    <row r="956">
      <c r="A956">
        <v>575</v>
      </c>
      <c r="B956">
        <v>1871</v>
      </c>
      <c t="s" r="C956">
        <v>384</v>
      </c>
      <c r="E956">
        <f>B956*0.01</f>
        <v>18.71</v>
      </c>
      <c s="26" r="F956">
        <f>G956-E956</f>
        <v>1.40325</v>
      </c>
      <c s="26" r="G956">
        <f>E956*H956</f>
        <v>20.11325</v>
      </c>
      <c s="19" r="H956">
        <v>1.075</v>
      </c>
    </row>
    <row r="957">
      <c r="A957">
        <v>576</v>
      </c>
      <c r="B957">
        <v>1719</v>
      </c>
      <c t="s" r="C957">
        <v>384</v>
      </c>
      <c r="E957">
        <f>B957*0.01</f>
        <v>17.19</v>
      </c>
      <c s="26" r="F957">
        <f>G957-E957</f>
        <v>1.28925</v>
      </c>
      <c s="26" r="G957">
        <f>E957*H957</f>
        <v>18.47925</v>
      </c>
      <c s="19" r="H957">
        <v>1.075</v>
      </c>
    </row>
    <row r="958">
      <c r="A958">
        <v>576</v>
      </c>
      <c r="B958">
        <v>6519</v>
      </c>
      <c t="s" r="C958">
        <v>447</v>
      </c>
      <c r="E958">
        <f>B958*0.01</f>
        <v>65.19</v>
      </c>
      <c s="26" r="F958">
        <f>G958-E958</f>
        <v>4.88924999999999</v>
      </c>
      <c s="26" r="G958">
        <f>E958*H958</f>
        <v>70.07925</v>
      </c>
      <c s="19" r="H958">
        <v>1.075</v>
      </c>
    </row>
    <row r="959">
      <c r="A959">
        <v>576</v>
      </c>
      <c r="B959">
        <v>1</v>
      </c>
      <c t="s" r="C959">
        <v>630</v>
      </c>
      <c r="E959">
        <v>0.05</v>
      </c>
      <c s="26" r="F959">
        <f>G959-E959</f>
        <v>49.95</v>
      </c>
      <c s="26" r="G959">
        <f>E959*H959</f>
        <v>50</v>
      </c>
      <c s="19" r="H959">
        <v>1000</v>
      </c>
    </row>
    <row r="960">
      <c r="A960">
        <v>576</v>
      </c>
      <c r="B960">
        <v>1</v>
      </c>
      <c t="s" r="C960">
        <v>631</v>
      </c>
      <c r="E960">
        <v>0.12</v>
      </c>
      <c s="26" r="F960">
        <f>G960-E960</f>
        <v>16.68</v>
      </c>
      <c s="26" r="G960">
        <f>E960*H960</f>
        <v>16.8</v>
      </c>
      <c s="19" r="H960">
        <v>140</v>
      </c>
    </row>
    <row r="961">
      <c r="A961">
        <v>577</v>
      </c>
      <c r="B961">
        <v>76</v>
      </c>
      <c t="s" r="C961">
        <v>632</v>
      </c>
      <c r="E961">
        <f>0.3*B961</f>
        <v>22.8</v>
      </c>
      <c s="26" r="F961">
        <f>G961-E961</f>
        <v>4.104</v>
      </c>
      <c s="26" r="G961">
        <f>E961*H961</f>
        <v>26.904</v>
      </c>
      <c s="19" r="H961">
        <v>1.18</v>
      </c>
    </row>
    <row r="962">
      <c r="A962">
        <v>578</v>
      </c>
      <c r="B962">
        <v>59</v>
      </c>
      <c t="s" r="C962">
        <v>633</v>
      </c>
      <c r="E962">
        <f>0.8*B962</f>
        <v>47.2</v>
      </c>
      <c s="26" r="F962">
        <f>G962-E962</f>
        <v>8.496</v>
      </c>
      <c s="26" r="G962">
        <f>E962*H962</f>
        <v>55.696</v>
      </c>
      <c s="19" r="H962">
        <v>1.18</v>
      </c>
    </row>
    <row r="963">
      <c r="A963">
        <v>578</v>
      </c>
      <c r="B963">
        <v>1</v>
      </c>
      <c t="s" r="C963">
        <v>634</v>
      </c>
      <c r="E963">
        <v>134.3</v>
      </c>
      <c s="26" r="F963">
        <f>G963-E963</f>
        <v>13.43</v>
      </c>
      <c s="26" r="G963">
        <f>E963*H963</f>
        <v>147.73</v>
      </c>
      <c s="19" r="H963">
        <v>1.1</v>
      </c>
    </row>
    <row r="964">
      <c r="A964">
        <v>566</v>
      </c>
      <c r="B964">
        <v>17</v>
      </c>
      <c t="s" r="C964">
        <v>353</v>
      </c>
      <c r="E964">
        <f>0.8*B964</f>
        <v>13.6</v>
      </c>
      <c s="26" r="F964">
        <f>G964-E964</f>
        <v>28.56</v>
      </c>
      <c s="26" r="G964">
        <f>E964*H964</f>
        <v>42.16</v>
      </c>
      <c s="19" r="H964">
        <v>3.1</v>
      </c>
    </row>
    <row r="965">
      <c r="A965">
        <v>566</v>
      </c>
      <c r="B965">
        <v>14461</v>
      </c>
      <c t="s" r="C965">
        <v>384</v>
      </c>
      <c r="E965">
        <f>B965*0.01</f>
        <v>144.61</v>
      </c>
      <c s="26" r="F965">
        <f>G965-E965</f>
        <v>10.84575</v>
      </c>
      <c s="26" r="G965">
        <f>E965*H965</f>
        <v>155.45575</v>
      </c>
      <c s="19" r="H965">
        <v>1.075</v>
      </c>
    </row>
    <row r="966">
      <c r="A966">
        <v>579</v>
      </c>
      <c r="B966">
        <v>1059</v>
      </c>
      <c t="s" r="C966">
        <v>384</v>
      </c>
      <c r="E966">
        <f>B966*0.01</f>
        <v>10.59</v>
      </c>
      <c s="26" r="F966">
        <f>G966-E966</f>
        <v>0.79425</v>
      </c>
      <c s="26" r="G966">
        <f>E966*H966</f>
        <v>11.38425</v>
      </c>
      <c s="19" r="H966">
        <v>1.075</v>
      </c>
    </row>
    <row r="967">
      <c r="A967">
        <v>579</v>
      </c>
      <c r="B967">
        <v>1377</v>
      </c>
      <c t="s" r="C967">
        <v>447</v>
      </c>
      <c r="E967">
        <f>B967*0.01</f>
        <v>13.77</v>
      </c>
      <c s="26" r="F967">
        <f>G967-E967</f>
        <v>1.03275</v>
      </c>
      <c s="26" r="G967">
        <f>E967*H967</f>
        <v>14.80275</v>
      </c>
      <c s="19" r="H967">
        <v>1.075</v>
      </c>
    </row>
    <row r="968">
      <c r="A968">
        <v>579</v>
      </c>
      <c r="B968">
        <v>1</v>
      </c>
      <c t="s" r="C968">
        <v>635</v>
      </c>
      <c r="E968">
        <v>0.54</v>
      </c>
      <c s="26" r="F968">
        <f>G968-E968</f>
        <v>17.28</v>
      </c>
      <c s="26" r="G968">
        <f>E968*H968</f>
        <v>17.82</v>
      </c>
      <c s="19" r="H968">
        <v>33</v>
      </c>
    </row>
    <row r="969">
      <c r="A969">
        <v>580</v>
      </c>
      <c r="B969">
        <v>3518</v>
      </c>
      <c t="s" r="C969">
        <v>384</v>
      </c>
      <c r="E969">
        <f>B969*0.01</f>
        <v>35.18</v>
      </c>
      <c s="26" r="F969">
        <f>G969-E969</f>
        <v>2.6385</v>
      </c>
      <c s="26" r="G969">
        <f>E969*H969</f>
        <v>37.8185</v>
      </c>
      <c s="19" r="H969">
        <v>1.075</v>
      </c>
    </row>
    <row r="970">
      <c r="A970">
        <v>580</v>
      </c>
      <c r="B970">
        <v>7101</v>
      </c>
      <c t="s" r="C970">
        <v>447</v>
      </c>
      <c r="E970">
        <f>B970*0.01</f>
        <v>71.01</v>
      </c>
      <c s="26" r="F970">
        <f>G970-E970</f>
        <v>5.32575</v>
      </c>
      <c s="26" r="G970">
        <f>E970*H970</f>
        <v>76.33575</v>
      </c>
      <c s="19" r="H970">
        <v>1.075</v>
      </c>
    </row>
    <row r="971">
      <c r="A971">
        <v>582</v>
      </c>
      <c r="B971">
        <v>3039</v>
      </c>
      <c t="s" r="C971">
        <v>384</v>
      </c>
      <c r="E971">
        <f>B971*0.01</f>
        <v>30.39</v>
      </c>
      <c s="26" r="F971">
        <f>G971-E971</f>
        <v>2.27925</v>
      </c>
      <c s="26" r="G971">
        <f>E971*H971</f>
        <v>32.66925</v>
      </c>
      <c s="19" r="H971">
        <v>1.075</v>
      </c>
    </row>
    <row r="972">
      <c r="A972">
        <v>583</v>
      </c>
      <c r="B972">
        <v>1059</v>
      </c>
      <c t="s" r="C972">
        <v>384</v>
      </c>
      <c r="E972">
        <f>B972*0.01</f>
        <v>10.59</v>
      </c>
      <c s="26" r="F972">
        <f>G972-E972</f>
        <v>0.79425</v>
      </c>
      <c s="26" r="G972">
        <f>E972*H972</f>
        <v>11.38425</v>
      </c>
      <c s="19" r="H972">
        <v>1.075</v>
      </c>
    </row>
    <row r="973">
      <c r="A973">
        <v>584</v>
      </c>
      <c r="B973">
        <v>54</v>
      </c>
      <c t="s" r="C973">
        <v>227</v>
      </c>
      <c r="E973">
        <f>0.8*B973</f>
        <v>43.2</v>
      </c>
      <c s="26" r="F973">
        <f>G973-E973</f>
        <v>90.72</v>
      </c>
      <c s="26" r="G973">
        <f>E973*H973</f>
        <v>133.92</v>
      </c>
      <c s="19" r="H973">
        <v>3.1</v>
      </c>
    </row>
    <row r="974">
      <c r="A974">
        <v>584</v>
      </c>
      <c r="B974">
        <v>22166</v>
      </c>
      <c t="s" r="C974">
        <v>384</v>
      </c>
      <c r="E974">
        <f>B974*0.01</f>
        <v>221.66</v>
      </c>
      <c s="26" r="F974">
        <f>G974-E974</f>
        <v>16.6245</v>
      </c>
      <c s="26" r="G974">
        <f>E974*H974</f>
        <v>238.2845</v>
      </c>
      <c s="19" r="H974">
        <v>1.075</v>
      </c>
    </row>
    <row r="975">
      <c r="A975">
        <v>585</v>
      </c>
      <c r="B975">
        <v>81</v>
      </c>
      <c t="s" r="C975">
        <v>324</v>
      </c>
      <c r="E975">
        <f>0.4*B975</f>
        <v>32.4</v>
      </c>
      <c s="26" r="F975">
        <f>G975-E975</f>
        <v>29.16</v>
      </c>
      <c s="26" r="G975">
        <f>E975*H975</f>
        <v>61.56</v>
      </c>
      <c s="19" r="H975">
        <v>1.9</v>
      </c>
    </row>
    <row r="976">
      <c r="A976">
        <v>585</v>
      </c>
      <c r="B976">
        <v>25279</v>
      </c>
      <c t="s" r="C976">
        <v>384</v>
      </c>
      <c r="E976">
        <f>B976*0.01</f>
        <v>252.79</v>
      </c>
      <c s="26" r="F976">
        <f>G976-E976</f>
        <v>18.95925</v>
      </c>
      <c s="26" r="G976">
        <f>E976*H976</f>
        <v>271.74925</v>
      </c>
      <c s="19" r="H976">
        <v>1.075</v>
      </c>
    </row>
    <row r="977">
      <c r="A977">
        <v>585</v>
      </c>
      <c r="B977">
        <v>2946</v>
      </c>
      <c t="s" r="C977">
        <v>447</v>
      </c>
      <c r="E977">
        <f>B977*0.01</f>
        <v>29.46</v>
      </c>
      <c s="26" r="F977">
        <f>G977-E977</f>
        <v>2.2095</v>
      </c>
      <c s="26" r="G977">
        <f>E977*H977</f>
        <v>31.6695</v>
      </c>
      <c s="19" r="H977">
        <v>1.075</v>
      </c>
    </row>
    <row r="978">
      <c r="A978">
        <v>586</v>
      </c>
      <c r="B978">
        <v>90</v>
      </c>
      <c t="s" r="C978">
        <v>204</v>
      </c>
      <c r="E978">
        <f>0.4*B978</f>
        <v>36</v>
      </c>
      <c s="26" r="F978">
        <f>G978-E978</f>
        <v>72</v>
      </c>
      <c s="26" r="G978">
        <f>E978*H978</f>
        <v>108</v>
      </c>
      <c s="19" r="H978">
        <v>3</v>
      </c>
    </row>
    <row r="979">
      <c r="A979">
        <v>586</v>
      </c>
      <c r="B979">
        <v>21500</v>
      </c>
      <c t="s" r="C979">
        <v>384</v>
      </c>
      <c r="E979">
        <f>B979*0.01</f>
        <v>215</v>
      </c>
      <c s="26" r="F979">
        <f>G979-E979</f>
        <v>16.125</v>
      </c>
      <c s="26" r="G979">
        <f>E979*H979</f>
        <v>231.125</v>
      </c>
      <c s="19" r="H979">
        <v>1.075</v>
      </c>
    </row>
    <row r="980">
      <c r="A980">
        <v>586</v>
      </c>
      <c r="B980">
        <v>5068</v>
      </c>
      <c t="s" r="C980">
        <v>447</v>
      </c>
      <c r="E980">
        <f>B980*0.01</f>
        <v>50.68</v>
      </c>
      <c s="26" r="F980">
        <f>G980-E980</f>
        <v>3.801</v>
      </c>
      <c s="26" r="G980">
        <f>E980*H980</f>
        <v>54.481</v>
      </c>
      <c s="19" r="H980">
        <v>1.075</v>
      </c>
    </row>
    <row r="981">
      <c r="A981">
        <v>586</v>
      </c>
      <c r="B981">
        <v>1</v>
      </c>
      <c t="s" r="C981">
        <v>636</v>
      </c>
      <c r="E981">
        <v>0.07</v>
      </c>
      <c s="26" r="F981">
        <f>G981-E981</f>
        <v>6.23</v>
      </c>
      <c s="26" r="G981">
        <f>E981*H981</f>
        <v>6.3</v>
      </c>
      <c s="19" r="H981">
        <v>90</v>
      </c>
    </row>
    <row r="982">
      <c r="A982">
        <v>587</v>
      </c>
      <c r="B982">
        <f>191+172</f>
        <v>363</v>
      </c>
      <c t="s" r="C982">
        <v>354</v>
      </c>
      <c r="E982">
        <f>0.4*B982</f>
        <v>145.2</v>
      </c>
      <c s="26" r="F982">
        <f>G982-E982</f>
        <v>217.8</v>
      </c>
      <c s="26" r="G982">
        <f>E982*H982</f>
        <v>363</v>
      </c>
      <c s="19" r="H982">
        <v>2.5</v>
      </c>
    </row>
    <row r="983">
      <c r="A983">
        <v>587</v>
      </c>
      <c r="B983">
        <f>52894+42379</f>
        <v>95273</v>
      </c>
      <c t="s" r="C983">
        <v>384</v>
      </c>
      <c r="E983">
        <f>B983*0.01</f>
        <v>952.73</v>
      </c>
      <c s="26" r="F983">
        <f>G983-E983</f>
        <v>71.4547499999999</v>
      </c>
      <c s="26" r="G983">
        <f>E983*H983</f>
        <v>1024.18475</v>
      </c>
      <c s="19" r="H983">
        <v>1.075</v>
      </c>
    </row>
    <row r="984">
      <c r="A984">
        <v>587</v>
      </c>
      <c r="B984">
        <f>21410+9607</f>
        <v>31017</v>
      </c>
      <c t="s" r="C984">
        <v>447</v>
      </c>
      <c r="E984">
        <f>B984*0.01</f>
        <v>310.17</v>
      </c>
      <c s="26" r="F984">
        <f>G984-E984</f>
        <v>23.26275</v>
      </c>
      <c s="26" r="G984">
        <f>E984*H984</f>
        <v>333.43275</v>
      </c>
      <c s="19" r="H984">
        <v>1.075</v>
      </c>
    </row>
    <row r="985">
      <c r="A985">
        <v>588</v>
      </c>
      <c r="B985">
        <v>47</v>
      </c>
      <c t="s" r="C985">
        <v>324</v>
      </c>
      <c r="E985">
        <f>0.4*B985</f>
        <v>18.8</v>
      </c>
      <c s="26" r="F985">
        <f>G985-E985</f>
        <v>16.92</v>
      </c>
      <c s="26" r="G985">
        <f>E985*H985</f>
        <v>35.72</v>
      </c>
      <c s="19" r="H985">
        <v>1.9</v>
      </c>
    </row>
    <row r="986">
      <c r="A986">
        <v>588</v>
      </c>
      <c r="B986">
        <v>9833</v>
      </c>
      <c t="s" r="C986">
        <v>384</v>
      </c>
      <c r="E986">
        <f>B986*0.01</f>
        <v>98.33</v>
      </c>
      <c s="26" r="F986">
        <f>G986-E986</f>
        <v>7.37474999999999</v>
      </c>
      <c s="26" r="G986">
        <f>E986*H986</f>
        <v>105.70475</v>
      </c>
      <c s="19" r="H986">
        <v>1.075</v>
      </c>
    </row>
    <row r="987">
      <c r="A987">
        <v>588</v>
      </c>
      <c r="B987">
        <v>2275</v>
      </c>
      <c t="s" r="C987">
        <v>447</v>
      </c>
      <c r="E987">
        <f>B987*0.01</f>
        <v>22.75</v>
      </c>
      <c s="26" r="F987">
        <f>G987-E987</f>
        <v>1.70625</v>
      </c>
      <c s="26" r="G987">
        <f>E987*H987</f>
        <v>24.45625</v>
      </c>
      <c s="19" r="H987">
        <v>1.075</v>
      </c>
    </row>
    <row r="988">
      <c r="A988">
        <v>589</v>
      </c>
      <c r="B988">
        <v>845</v>
      </c>
      <c t="s" r="C988">
        <v>384</v>
      </c>
      <c r="E988">
        <f>B988*0.01</f>
        <v>8.45</v>
      </c>
      <c s="26" r="F988">
        <f>G988-E988</f>
        <v>0.5915</v>
      </c>
      <c s="26" r="G988">
        <f>E988*H988</f>
        <v>9.0415</v>
      </c>
      <c s="19" r="H988">
        <v>1.07</v>
      </c>
    </row>
    <row r="989">
      <c r="A989">
        <v>590</v>
      </c>
      <c r="B989">
        <v>209</v>
      </c>
      <c t="s" r="C989">
        <v>384</v>
      </c>
      <c r="E989">
        <f>B989*0.01</f>
        <v>2.09</v>
      </c>
      <c s="26" r="F989">
        <f>G989-E989</f>
        <v>0.1463</v>
      </c>
      <c s="26" r="G989">
        <f>E989*H989</f>
        <v>2.2363</v>
      </c>
      <c s="19" r="H989">
        <v>1.07</v>
      </c>
    </row>
    <row r="990">
      <c r="A990">
        <v>591</v>
      </c>
      <c r="B990">
        <v>4437</v>
      </c>
      <c t="s" r="C990">
        <v>384</v>
      </c>
      <c r="E990">
        <f>B990*0.01</f>
        <v>44.37</v>
      </c>
      <c s="26" r="F990">
        <f>G990-E990</f>
        <v>3.10590000000001</v>
      </c>
      <c s="26" r="G990">
        <f>E990*H990</f>
        <v>47.4759</v>
      </c>
      <c s="19" r="H990">
        <v>1.07</v>
      </c>
    </row>
    <row r="991">
      <c r="A991">
        <v>592</v>
      </c>
      <c r="B991">
        <v>751</v>
      </c>
      <c t="s" r="C991">
        <v>384</v>
      </c>
      <c r="E991">
        <f>B991*0.01</f>
        <v>7.51</v>
      </c>
      <c s="26" r="F991">
        <f>G991-E991</f>
        <v>0.5257</v>
      </c>
      <c s="26" r="G991">
        <f>E991*H991</f>
        <v>8.0357</v>
      </c>
      <c s="19" r="H991">
        <v>1.07</v>
      </c>
    </row>
    <row r="992">
      <c r="A992">
        <v>593</v>
      </c>
      <c r="B992">
        <v>1720</v>
      </c>
      <c t="s" r="C992">
        <v>384</v>
      </c>
      <c r="E992">
        <f>B992*0.01</f>
        <v>17.2</v>
      </c>
      <c s="26" r="F992">
        <f>G992-E992</f>
        <v>1.204</v>
      </c>
      <c s="26" r="G992">
        <f>E992*H992</f>
        <v>18.404</v>
      </c>
      <c s="19" r="H992">
        <v>1.07</v>
      </c>
    </row>
    <row r="993">
      <c r="A993">
        <v>594</v>
      </c>
      <c r="B993">
        <v>27880</v>
      </c>
      <c t="s" r="C993">
        <v>384</v>
      </c>
      <c r="E993">
        <f>B993*0.01</f>
        <v>278.8</v>
      </c>
      <c s="26" r="F993">
        <f>G993-E993</f>
        <v>19.516</v>
      </c>
      <c s="26" r="G993">
        <f>E993*H993</f>
        <v>298.316</v>
      </c>
      <c s="19" r="H993">
        <v>1.07</v>
      </c>
    </row>
    <row r="994">
      <c r="A994">
        <v>595</v>
      </c>
      <c r="B994">
        <v>3074</v>
      </c>
      <c t="s" r="C994">
        <v>384</v>
      </c>
      <c r="E994">
        <f>B994*0.01</f>
        <v>30.74</v>
      </c>
      <c s="26" r="F994">
        <f>G994-E994</f>
        <v>2.1518</v>
      </c>
      <c s="26" r="G994">
        <f>E994*H994</f>
        <v>32.8918</v>
      </c>
      <c s="19" r="H994">
        <v>1.07</v>
      </c>
    </row>
    <row r="995">
      <c r="A995">
        <v>595</v>
      </c>
      <c r="B995">
        <v>6534</v>
      </c>
      <c t="s" r="C995">
        <v>447</v>
      </c>
      <c r="E995">
        <f>B995*0.01</f>
        <v>65.34</v>
      </c>
      <c s="26" r="F995">
        <f>G995-E995</f>
        <v>4.57380000000001</v>
      </c>
      <c s="26" r="G995">
        <f>E995*H995</f>
        <v>69.9138</v>
      </c>
      <c s="19" r="H995">
        <v>1.07</v>
      </c>
    </row>
    <row r="996">
      <c r="A996">
        <v>595</v>
      </c>
      <c r="B996">
        <v>1</v>
      </c>
      <c t="s" r="C996">
        <v>610</v>
      </c>
      <c r="E996">
        <v>0.68</v>
      </c>
      <c s="26" r="F996">
        <f>G996-E996</f>
        <v>53.72</v>
      </c>
      <c s="26" r="G996">
        <f>E996*H996</f>
        <v>54.4</v>
      </c>
      <c s="19" r="H996">
        <v>80</v>
      </c>
    </row>
    <row r="997">
      <c r="A997">
        <v>595</v>
      </c>
      <c r="B997">
        <v>1</v>
      </c>
      <c t="s" r="C997">
        <v>637</v>
      </c>
      <c r="E997">
        <v>0.06</v>
      </c>
      <c s="26" r="F997">
        <f>G997-E997</f>
        <v>10.44</v>
      </c>
      <c s="26" r="G997">
        <f>E997*H997</f>
        <v>10.5</v>
      </c>
      <c s="19" r="H997">
        <v>175</v>
      </c>
    </row>
    <row r="998">
      <c r="A998">
        <v>596</v>
      </c>
      <c r="B998">
        <v>1</v>
      </c>
      <c t="s" r="C998">
        <v>638</v>
      </c>
      <c r="E998">
        <v>61.44</v>
      </c>
      <c s="26" r="F998">
        <f>G998-E998</f>
        <v>11.0592</v>
      </c>
      <c s="26" r="G998">
        <f>E998*H998</f>
        <v>72.4992</v>
      </c>
      <c s="19" r="H998">
        <v>1.18</v>
      </c>
    </row>
    <row r="999">
      <c r="A999">
        <v>597</v>
      </c>
      <c r="B999">
        <v>1</v>
      </c>
      <c t="s" r="C999">
        <v>639</v>
      </c>
      <c r="E999">
        <v>25.6</v>
      </c>
      <c s="26" r="F999">
        <f>G999-E999</f>
        <v>15.36</v>
      </c>
      <c s="26" r="G999">
        <f>E999*H999</f>
        <v>40.96</v>
      </c>
      <c s="19" r="H999">
        <v>1.6</v>
      </c>
    </row>
    <row r="1000">
      <c r="A1000">
        <v>597</v>
      </c>
      <c r="B1000">
        <v>1</v>
      </c>
      <c t="s" r="C1000">
        <v>640</v>
      </c>
      <c r="E1000">
        <v>10.79</v>
      </c>
      <c s="26" r="F1000">
        <f>G1000-E1000</f>
        <v>4.316</v>
      </c>
      <c s="26" r="G1000">
        <f>E1000*H1000</f>
        <v>15.106</v>
      </c>
      <c s="19" r="H1000">
        <v>1.4</v>
      </c>
    </row>
    <row r="1001">
      <c r="A1001">
        <v>598</v>
      </c>
      <c r="B1001">
        <v>16337</v>
      </c>
      <c t="s" r="C1001">
        <v>384</v>
      </c>
      <c r="E1001">
        <f>B1001*0.01</f>
        <v>163.37</v>
      </c>
      <c s="26" r="F1001">
        <f>G1001-E1001</f>
        <v>11.4359</v>
      </c>
      <c s="26" r="G1001">
        <f>E1001*H1001</f>
        <v>174.8059</v>
      </c>
      <c s="19" r="H1001">
        <v>1.07</v>
      </c>
    </row>
    <row r="1002">
      <c r="A1002">
        <v>598</v>
      </c>
      <c r="B1002">
        <v>53</v>
      </c>
      <c t="s" r="C1002">
        <v>227</v>
      </c>
      <c r="E1002">
        <f>0.8*B1002</f>
        <v>42.4</v>
      </c>
      <c s="26" r="F1002">
        <f>G1002-E1002</f>
        <v>93.28</v>
      </c>
      <c s="26" r="G1002">
        <f>E1002*H1002</f>
        <v>135.68</v>
      </c>
      <c s="19" r="H1002">
        <v>3.2</v>
      </c>
    </row>
    <row r="1003">
      <c r="A1003">
        <v>599</v>
      </c>
      <c r="B1003">
        <v>2910</v>
      </c>
      <c t="s" r="C1003">
        <v>384</v>
      </c>
      <c r="E1003">
        <f>B1003*0.01</f>
        <v>29.1</v>
      </c>
      <c s="26" r="F1003">
        <f>G1003-E1003</f>
        <v>2.037</v>
      </c>
      <c s="26" r="G1003">
        <f>E1003*H1003</f>
        <v>31.137</v>
      </c>
      <c s="19" r="H1003">
        <v>1.07</v>
      </c>
    </row>
    <row r="1004">
      <c r="A1004">
        <v>599</v>
      </c>
      <c r="B1004">
        <v>333</v>
      </c>
      <c t="s" r="C1004">
        <v>447</v>
      </c>
      <c r="E1004">
        <f>B1004*0.01</f>
        <v>3.33</v>
      </c>
      <c s="26" r="F1004">
        <f>G1004-E1004</f>
        <v>0.2331</v>
      </c>
      <c s="26" r="G1004">
        <f>E1004*H1004</f>
        <v>3.5631</v>
      </c>
      <c s="19" r="H1004">
        <v>1.07</v>
      </c>
    </row>
    <row r="1005">
      <c r="A1005">
        <v>599</v>
      </c>
      <c r="B1005">
        <v>15</v>
      </c>
      <c t="s" r="C1005">
        <v>324</v>
      </c>
      <c r="E1005">
        <f>0.4*B1005</f>
        <v>6</v>
      </c>
      <c s="26" r="F1005">
        <f>G1005-E1005</f>
        <v>5.4</v>
      </c>
      <c s="26" r="G1005">
        <f>E1005*H1005</f>
        <v>11.4</v>
      </c>
      <c s="19" r="H1005">
        <v>1.9</v>
      </c>
    </row>
    <row r="1006">
      <c r="A1006">
        <v>600</v>
      </c>
      <c r="B1006">
        <v>13132</v>
      </c>
      <c t="s" r="C1006">
        <v>384</v>
      </c>
      <c r="E1006">
        <f>B1006*0.01</f>
        <v>131.32</v>
      </c>
      <c s="26" r="F1006">
        <f>G1006-E1006</f>
        <v>9.19240000000002</v>
      </c>
      <c s="26" r="G1006">
        <f>E1006*H1006</f>
        <v>140.5124</v>
      </c>
      <c s="19" r="H1006">
        <v>1.07</v>
      </c>
    </row>
    <row r="1007">
      <c r="A1007">
        <v>600</v>
      </c>
      <c r="B1007">
        <v>3646</v>
      </c>
      <c t="s" r="C1007">
        <v>447</v>
      </c>
      <c r="E1007">
        <f>B1007*0.01</f>
        <v>36.46</v>
      </c>
      <c s="26" r="F1007">
        <f>G1007-E1007</f>
        <v>2.5522</v>
      </c>
      <c s="26" r="G1007">
        <f>E1007*H1007</f>
        <v>39.0122</v>
      </c>
      <c s="19" r="H1007">
        <v>1.07</v>
      </c>
    </row>
    <row r="1008">
      <c r="A1008">
        <v>600</v>
      </c>
      <c r="B1008">
        <v>49</v>
      </c>
      <c t="s" r="C1008">
        <v>324</v>
      </c>
      <c r="E1008">
        <f>0.4*B1008</f>
        <v>19.6</v>
      </c>
      <c s="26" r="F1008">
        <f>G1008-E1008</f>
        <v>17.64</v>
      </c>
      <c s="26" r="G1008">
        <f>E1008*H1008</f>
        <v>37.24</v>
      </c>
      <c s="19" r="H1008">
        <v>1.9</v>
      </c>
    </row>
    <row r="1009">
      <c r="A1009">
        <v>601</v>
      </c>
      <c r="B1009">
        <v>671</v>
      </c>
      <c t="s" r="C1009">
        <v>139</v>
      </c>
      <c r="E1009">
        <f>0.4*B1009</f>
        <v>268.4</v>
      </c>
      <c s="26" r="F1009">
        <f>G1009-E1009</f>
        <v>0</v>
      </c>
      <c s="26" r="G1009">
        <f>E1009*H1009</f>
        <v>268.4</v>
      </c>
      <c s="19" r="H1009">
        <v>1</v>
      </c>
    </row>
    <row r="1010">
      <c r="A1010">
        <v>602</v>
      </c>
      <c r="B1010">
        <v>10457</v>
      </c>
      <c t="s" r="C1010">
        <v>384</v>
      </c>
      <c r="E1010">
        <f>B1010*0.01</f>
        <v>104.57</v>
      </c>
      <c s="26" r="F1010">
        <f>G1010-E1010</f>
        <v>7.3199</v>
      </c>
      <c s="26" r="G1010">
        <f>E1010*H1010</f>
        <v>111.8899</v>
      </c>
      <c s="19" r="H1010">
        <v>1.07</v>
      </c>
    </row>
    <row r="1011">
      <c r="A1011">
        <v>602</v>
      </c>
      <c r="B1011">
        <v>364</v>
      </c>
      <c t="s" r="C1011">
        <v>325</v>
      </c>
      <c r="E1011">
        <f>0.75*B1011</f>
        <v>273</v>
      </c>
      <c s="26" r="F1011">
        <f>G1011-E1011</f>
        <v>13.65</v>
      </c>
      <c s="26" r="G1011">
        <f>E1011*H1011</f>
        <v>286.65</v>
      </c>
      <c s="19" r="H1011">
        <v>1.05</v>
      </c>
    </row>
    <row r="1012">
      <c r="A1012">
        <v>603</v>
      </c>
      <c r="B1012">
        <v>7955</v>
      </c>
      <c t="s" r="C1012">
        <v>384</v>
      </c>
      <c r="E1012">
        <f>B1012*0.01</f>
        <v>79.55</v>
      </c>
      <c s="26" r="F1012">
        <f>G1012-E1012</f>
        <v>5.5685</v>
      </c>
      <c s="26" r="G1012">
        <f>E1012*H1012</f>
        <v>85.1185</v>
      </c>
      <c s="19" r="H1012">
        <v>1.07</v>
      </c>
    </row>
    <row r="1013">
      <c r="A1013">
        <v>603</v>
      </c>
      <c r="B1013">
        <v>12894</v>
      </c>
      <c t="s" r="C1013">
        <v>447</v>
      </c>
      <c r="E1013">
        <f>B1013*0.01</f>
        <v>128.94</v>
      </c>
      <c s="26" r="F1013">
        <f>G1013-E1013</f>
        <v>9.0258</v>
      </c>
      <c s="26" r="G1013">
        <f>E1013*H1013</f>
        <v>137.9658</v>
      </c>
      <c s="19" r="H1013">
        <v>1.07</v>
      </c>
    </row>
    <row r="1014">
      <c r="A1014">
        <v>603</v>
      </c>
      <c r="B1014">
        <v>1</v>
      </c>
      <c t="s" r="C1014">
        <v>631</v>
      </c>
      <c r="E1014">
        <v>0.67</v>
      </c>
      <c s="26" r="F1014">
        <f>G1014-E1014</f>
        <v>39.53</v>
      </c>
      <c s="26" r="G1014">
        <f>E1014*H1014</f>
        <v>40.2</v>
      </c>
      <c s="19" r="H1014">
        <v>60</v>
      </c>
    </row>
    <row r="1015">
      <c r="A1015">
        <v>604</v>
      </c>
      <c r="B1015">
        <v>4018</v>
      </c>
      <c t="s" r="C1015">
        <v>384</v>
      </c>
      <c r="E1015">
        <f>B1015*0.01</f>
        <v>40.18</v>
      </c>
      <c s="26" r="F1015">
        <f>G1015-E1015</f>
        <v>2.8126</v>
      </c>
      <c s="26" r="G1015">
        <f>E1015*H1015</f>
        <v>42.9926</v>
      </c>
      <c s="19" r="H1015">
        <v>1.07</v>
      </c>
    </row>
    <row r="1016">
      <c r="A1016">
        <v>604</v>
      </c>
      <c r="B1016">
        <v>4115</v>
      </c>
      <c t="s" r="C1016">
        <v>447</v>
      </c>
      <c r="E1016">
        <f>B1016*0.01</f>
        <v>41.15</v>
      </c>
      <c s="26" r="F1016">
        <f>G1016-E1016</f>
        <v>2.8805</v>
      </c>
      <c s="26" r="G1016">
        <f>E1016*H1016</f>
        <v>44.0305</v>
      </c>
      <c s="19" r="H1016">
        <v>1.07</v>
      </c>
    </row>
    <row r="1017">
      <c r="A1017">
        <v>606</v>
      </c>
      <c r="B1017">
        <v>1</v>
      </c>
      <c t="s" r="C1017">
        <v>588</v>
      </c>
      <c r="E1017">
        <v>11.84</v>
      </c>
      <c s="26" r="F1017">
        <f>G1017-E1017</f>
        <v>95.904</v>
      </c>
      <c s="26" r="G1017">
        <f>E1017*H1017</f>
        <v>107.744</v>
      </c>
      <c s="19" r="H1017">
        <v>9.1</v>
      </c>
    </row>
    <row r="1018">
      <c r="A1018">
        <v>606</v>
      </c>
      <c r="B1018">
        <v>1</v>
      </c>
      <c t="s" r="C1018">
        <v>641</v>
      </c>
      <c r="E1018">
        <v>35</v>
      </c>
      <c s="26" r="F1018">
        <f>G1018-E1018</f>
        <v>24.5</v>
      </c>
      <c s="26" r="G1018">
        <f>E1018*H1018</f>
        <v>59.5</v>
      </c>
      <c s="19" r="H1018">
        <v>1.7</v>
      </c>
    </row>
    <row r="1019">
      <c r="A1019">
        <v>606</v>
      </c>
      <c r="B1019">
        <v>1</v>
      </c>
      <c t="s" r="C1019">
        <v>642</v>
      </c>
      <c r="E1019">
        <v>55.19</v>
      </c>
      <c s="26" r="F1019">
        <f>G1019-E1019</f>
        <v>19.8684</v>
      </c>
      <c s="26" r="G1019">
        <f>E1019*H1019</f>
        <v>75.0584</v>
      </c>
      <c s="19" r="H1019">
        <v>1.36</v>
      </c>
    </row>
    <row r="1020">
      <c r="A1020">
        <v>606</v>
      </c>
      <c r="B1020">
        <v>1</v>
      </c>
      <c t="s" r="C1020">
        <v>642</v>
      </c>
      <c r="E1020">
        <v>64.6</v>
      </c>
      <c s="26" r="F1020">
        <f>G1020-E1020</f>
        <v>23.256</v>
      </c>
      <c s="26" r="G1020">
        <f>E1020*H1020</f>
        <v>87.856</v>
      </c>
      <c s="19" r="H1020">
        <v>1.36</v>
      </c>
    </row>
    <row r="1021">
      <c r="A1021">
        <v>606</v>
      </c>
      <c r="B1021">
        <v>1</v>
      </c>
      <c t="s" r="C1021">
        <v>643</v>
      </c>
      <c r="E1021">
        <v>84.94</v>
      </c>
      <c s="26" r="F1021">
        <f>G1021-E1021</f>
        <v>15.2892</v>
      </c>
      <c s="26" r="G1021">
        <f>E1021*H1021</f>
        <v>100.2292</v>
      </c>
      <c s="19" r="H1021">
        <v>1.18</v>
      </c>
    </row>
    <row r="1022">
      <c r="A1022">
        <v>606</v>
      </c>
      <c r="B1022">
        <v>358</v>
      </c>
      <c t="s" r="C1022">
        <v>633</v>
      </c>
      <c r="E1022">
        <v>286.4</v>
      </c>
      <c s="26" r="F1022">
        <f>G1022-E1022</f>
        <v>28.64</v>
      </c>
      <c s="26" r="G1022">
        <f>E1022*H1022</f>
        <v>315.04</v>
      </c>
      <c s="19" r="H1022">
        <v>1.1</v>
      </c>
    </row>
    <row r="1023">
      <c r="A1023">
        <v>606</v>
      </c>
      <c r="B1023">
        <v>47</v>
      </c>
      <c t="s" r="C1023">
        <v>632</v>
      </c>
      <c r="E1023">
        <v>14.1</v>
      </c>
      <c s="26" r="F1023">
        <f>G1023-E1023</f>
        <v>2.538</v>
      </c>
      <c s="26" r="G1023">
        <f>E1023*H1023</f>
        <v>16.638</v>
      </c>
      <c s="19" r="H1023">
        <v>1.18</v>
      </c>
    </row>
    <row r="1024">
      <c r="A1024">
        <v>606</v>
      </c>
      <c r="B1024">
        <v>6</v>
      </c>
      <c t="s" r="C1024">
        <v>629</v>
      </c>
      <c r="E1024">
        <v>9.6</v>
      </c>
      <c s="26" r="F1024">
        <f>G1024-E1024</f>
        <v>1.152</v>
      </c>
      <c s="26" r="G1024">
        <f>E1024*H1024</f>
        <v>10.752</v>
      </c>
      <c s="19" r="H1024">
        <v>1.12</v>
      </c>
    </row>
    <row r="1025">
      <c r="A1025">
        <v>606</v>
      </c>
      <c r="B1025">
        <v>1</v>
      </c>
      <c t="s" r="C1025">
        <v>644</v>
      </c>
      <c r="E1025">
        <v>2</v>
      </c>
      <c s="26" r="F1025">
        <f>G1025-E1025</f>
        <v>1</v>
      </c>
      <c s="26" r="G1025">
        <f>E1025*H1025</f>
        <v>3</v>
      </c>
      <c s="19" r="H1025">
        <v>1.5</v>
      </c>
    </row>
    <row r="1026">
      <c r="A1026">
        <v>606</v>
      </c>
      <c r="B1026">
        <v>1</v>
      </c>
      <c t="s" r="C1026">
        <v>645</v>
      </c>
      <c r="E1026">
        <v>2.56</v>
      </c>
      <c s="26" r="F1026">
        <f>G1026-E1026</f>
        <v>2.304</v>
      </c>
      <c s="26" r="G1026">
        <f>E1026*H1026</f>
        <v>4.864</v>
      </c>
      <c s="19" r="H1026">
        <v>1.9</v>
      </c>
    </row>
    <row r="1027">
      <c r="A1027">
        <v>607</v>
      </c>
      <c r="B1027">
        <v>1655</v>
      </c>
      <c t="s" r="C1027">
        <v>56</v>
      </c>
      <c r="E1027">
        <f>0.3*B1027</f>
        <v>496.5</v>
      </c>
      <c s="26" r="F1027">
        <f>G1027-E1027</f>
        <v>0</v>
      </c>
      <c s="26" r="G1027">
        <f>E1027*H1027</f>
        <v>496.5</v>
      </c>
      <c s="19" r="H1027">
        <v>1</v>
      </c>
    </row>
    <row r="1028">
      <c r="A1028">
        <v>608</v>
      </c>
      <c r="B1028">
        <v>1</v>
      </c>
      <c t="s" r="C1028">
        <v>646</v>
      </c>
      <c r="E1028">
        <v>0.1</v>
      </c>
      <c s="26" r="F1028">
        <f>G1028-E1028</f>
        <v>129.9</v>
      </c>
      <c s="26" r="G1028">
        <f>E1028*H1028</f>
        <v>130</v>
      </c>
      <c s="19" r="H1028">
        <v>1300</v>
      </c>
    </row>
    <row r="1029">
      <c r="A1029">
        <v>608</v>
      </c>
      <c r="B1029">
        <v>1</v>
      </c>
      <c t="s" r="C1029">
        <v>647</v>
      </c>
      <c r="E1029">
        <v>0.84</v>
      </c>
      <c s="26" r="F1029">
        <f>G1029-E1029</f>
        <v>301.56</v>
      </c>
      <c s="26" r="G1029">
        <f>E1029*H1029</f>
        <v>302.4</v>
      </c>
      <c s="19" r="H1029">
        <v>360</v>
      </c>
    </row>
    <row r="1030">
      <c r="A1030">
        <v>608</v>
      </c>
      <c r="B1030">
        <v>1</v>
      </c>
      <c t="s" r="C1030">
        <v>648</v>
      </c>
      <c r="E1030">
        <v>0.65</v>
      </c>
      <c s="26" r="F1030">
        <f>G1030-E1030</f>
        <v>64.35</v>
      </c>
      <c s="26" r="G1030">
        <f>E1030*H1030</f>
        <v>65</v>
      </c>
      <c s="19" r="H1030">
        <v>100</v>
      </c>
    </row>
    <row r="1031">
      <c r="A1031">
        <v>608</v>
      </c>
      <c r="B1031">
        <v>10894</v>
      </c>
      <c t="s" r="C1031">
        <v>384</v>
      </c>
      <c r="E1031">
        <f>B1031*0.01</f>
        <v>108.94</v>
      </c>
      <c s="26" r="F1031">
        <f>G1031-E1031</f>
        <v>7.08109999999999</v>
      </c>
      <c s="26" r="G1031">
        <f>E1031*H1031</f>
        <v>116.0211</v>
      </c>
      <c s="19" r="H1031">
        <v>1.065</v>
      </c>
    </row>
    <row r="1032">
      <c r="A1032">
        <v>608</v>
      </c>
      <c r="B1032">
        <v>5184</v>
      </c>
      <c t="s" r="C1032">
        <v>447</v>
      </c>
      <c r="E1032">
        <f>B1032*0.01</f>
        <v>51.84</v>
      </c>
      <c s="26" r="F1032">
        <f>G1032-E1032</f>
        <v>3.3696</v>
      </c>
      <c s="26" r="G1032">
        <f>E1032*H1032</f>
        <v>55.2096</v>
      </c>
      <c s="19" r="H1032">
        <v>1.065</v>
      </c>
    </row>
    <row r="1033">
      <c r="A1033">
        <v>609</v>
      </c>
      <c r="B1033">
        <v>59</v>
      </c>
      <c t="s" r="C1033">
        <v>362</v>
      </c>
      <c r="E1033">
        <f>0.8*B1033</f>
        <v>47.2</v>
      </c>
      <c s="26" r="F1033">
        <f>G1033-E1033</f>
        <v>100.3</v>
      </c>
      <c s="26" r="G1033">
        <f>E1033*H1033</f>
        <v>147.5</v>
      </c>
      <c s="19" r="H1033">
        <v>3.125</v>
      </c>
    </row>
    <row r="1034">
      <c r="A1034">
        <v>609</v>
      </c>
      <c r="B1034">
        <f>28049+2984</f>
        <v>31033</v>
      </c>
      <c t="s" r="C1034">
        <v>384</v>
      </c>
      <c r="E1034">
        <f>B1034*0.01</f>
        <v>310.33</v>
      </c>
      <c s="26" r="F1034">
        <f>G1034-E1034</f>
        <v>20.17145</v>
      </c>
      <c s="26" r="G1034">
        <f>E1034*H1034</f>
        <v>330.50145</v>
      </c>
      <c s="19" r="H1034">
        <v>1.065</v>
      </c>
    </row>
    <row r="1035">
      <c r="A1035">
        <v>610</v>
      </c>
      <c r="B1035">
        <v>23082</v>
      </c>
      <c t="s" r="C1035">
        <v>384</v>
      </c>
      <c r="E1035">
        <f>B1035*0.01</f>
        <v>230.82</v>
      </c>
      <c s="26" r="F1035">
        <f>G1035-E1035</f>
        <v>15.0033</v>
      </c>
      <c s="26" r="G1035">
        <f>E1035*H1035</f>
        <v>245.8233</v>
      </c>
      <c s="19" r="H1035">
        <v>1.065</v>
      </c>
    </row>
    <row r="1036">
      <c r="A1036">
        <v>610</v>
      </c>
      <c r="B1036">
        <v>81</v>
      </c>
      <c t="s" r="C1036">
        <v>362</v>
      </c>
      <c r="E1036">
        <f>0.8*B1036</f>
        <v>64.8</v>
      </c>
      <c s="26" r="F1036">
        <f>G1036-E1036</f>
        <v>137.7</v>
      </c>
      <c s="26" r="G1036">
        <f>E1036*H1036</f>
        <v>202.5</v>
      </c>
      <c s="19" r="H1036">
        <v>3.125</v>
      </c>
    </row>
    <row r="1037">
      <c r="A1037">
        <v>611</v>
      </c>
      <c r="B1037">
        <v>13583</v>
      </c>
      <c t="s" r="C1037">
        <v>384</v>
      </c>
      <c r="E1037">
        <f>B1037*0.01</f>
        <v>135.83</v>
      </c>
      <c s="26" r="F1037">
        <f>G1037-E1037</f>
        <v>8.82894999999999</v>
      </c>
      <c s="26" r="G1037">
        <f>E1037*H1037</f>
        <v>144.65895</v>
      </c>
      <c s="19" r="H1037">
        <v>1.065</v>
      </c>
    </row>
    <row r="1038">
      <c r="A1038">
        <v>612</v>
      </c>
      <c r="B1038">
        <v>11964</v>
      </c>
      <c t="s" r="C1038">
        <v>384</v>
      </c>
      <c r="E1038">
        <f>B1038*0.01</f>
        <v>119.64</v>
      </c>
      <c s="26" r="F1038">
        <f>G1038-E1038</f>
        <v>7.77659999999999</v>
      </c>
      <c s="26" r="G1038">
        <f>E1038*H1038</f>
        <v>127.4166</v>
      </c>
      <c s="19" r="H1038">
        <v>1.065</v>
      </c>
    </row>
    <row r="1039">
      <c r="A1039">
        <v>612</v>
      </c>
      <c r="B1039">
        <v>6784</v>
      </c>
      <c t="s" r="C1039">
        <v>447</v>
      </c>
      <c r="E1039">
        <f>A1039*0.01</f>
        <v>6.12</v>
      </c>
      <c s="26" r="F1039">
        <f>G1039-E1039</f>
        <v>0.397799999999999</v>
      </c>
      <c s="26" r="G1039">
        <f>E1039*H1039</f>
        <v>6.5178</v>
      </c>
      <c s="19" r="H1039">
        <v>1.065</v>
      </c>
    </row>
    <row r="1040">
      <c r="A1040">
        <v>613</v>
      </c>
      <c r="B1040">
        <v>1</v>
      </c>
      <c t="s" r="C1040">
        <v>443</v>
      </c>
      <c r="E1040">
        <v>5</v>
      </c>
      <c s="26" r="F1040">
        <f>G1040-E1040</f>
        <v>28</v>
      </c>
      <c s="26" r="G1040">
        <f>E1040*H1040</f>
        <v>33</v>
      </c>
      <c s="19" r="H1040">
        <v>6.6</v>
      </c>
    </row>
    <row r="1041">
      <c r="A1041">
        <v>613</v>
      </c>
      <c r="B1041">
        <v>1</v>
      </c>
      <c t="s" r="C1041">
        <v>639</v>
      </c>
      <c r="E1041">
        <v>25.6</v>
      </c>
      <c s="26" r="F1041">
        <f>G1041-E1041</f>
        <v>4.608</v>
      </c>
      <c s="26" r="G1041">
        <f>E1041*H1041</f>
        <v>30.208</v>
      </c>
      <c s="19" r="H1041">
        <v>1.18</v>
      </c>
    </row>
    <row r="1042">
      <c r="A1042">
        <v>614</v>
      </c>
      <c r="B1042">
        <v>117</v>
      </c>
      <c t="s" r="C1042">
        <v>363</v>
      </c>
      <c r="E1042">
        <f>0.4*B1042</f>
        <v>46.8</v>
      </c>
      <c s="26" r="F1042">
        <f>G1042-E1042</f>
        <v>147.42</v>
      </c>
      <c s="26" r="G1042">
        <f>E1042*H1042</f>
        <v>194.22</v>
      </c>
      <c s="19" r="H1042">
        <v>4.15</v>
      </c>
    </row>
    <row r="1043">
      <c r="A1043">
        <v>614</v>
      </c>
      <c r="B1043">
        <f>11542+22242</f>
        <v>33784</v>
      </c>
      <c t="s" r="C1043">
        <v>384</v>
      </c>
      <c r="E1043">
        <f>B1043*0.01</f>
        <v>337.84</v>
      </c>
      <c s="26" r="F1043">
        <f>G1043-E1043</f>
        <v>21.9596</v>
      </c>
      <c s="26" r="G1043">
        <f>E1043*H1043</f>
        <v>359.7996</v>
      </c>
      <c s="19" r="H1043">
        <v>1.065</v>
      </c>
    </row>
    <row r="1044">
      <c r="A1044">
        <v>615</v>
      </c>
      <c r="B1044">
        <v>52615</v>
      </c>
      <c t="s" r="C1044">
        <v>384</v>
      </c>
      <c r="E1044">
        <f>B1044*0.01</f>
        <v>526.15</v>
      </c>
      <c s="26" r="F1044">
        <f>G1044-E1044</f>
        <v>34.19975</v>
      </c>
      <c s="26" r="G1044">
        <f>E1044*H1044</f>
        <v>560.34975</v>
      </c>
      <c s="19" r="H1044">
        <v>1.065</v>
      </c>
    </row>
    <row r="1045">
      <c r="A1045">
        <v>615</v>
      </c>
      <c r="B1045">
        <v>157</v>
      </c>
      <c t="s" r="C1045">
        <v>227</v>
      </c>
      <c r="E1045">
        <f>0.8*B1045</f>
        <v>125.6</v>
      </c>
      <c s="26" r="F1045">
        <f>G1045-E1045</f>
        <v>266.9</v>
      </c>
      <c s="26" r="G1045">
        <f>E1045*H1045</f>
        <v>392.5</v>
      </c>
      <c s="19" r="H1045">
        <v>3.125</v>
      </c>
    </row>
    <row r="1046">
      <c r="A1046">
        <v>616</v>
      </c>
      <c r="B1046">
        <v>3</v>
      </c>
      <c t="s" r="C1046">
        <v>524</v>
      </c>
      <c r="E1046">
        <f>B1046*2</f>
        <v>6</v>
      </c>
      <c s="26" r="F1046">
        <f>G1046-E1046</f>
        <v>0.87</v>
      </c>
      <c s="26" r="G1046">
        <f>E1046*H1046</f>
        <v>6.87</v>
      </c>
      <c s="19" r="H1046">
        <v>1.145</v>
      </c>
    </row>
    <row r="1047">
      <c r="A1047">
        <v>616</v>
      </c>
      <c r="B1047">
        <v>6</v>
      </c>
      <c t="s" r="C1047">
        <v>629</v>
      </c>
      <c r="E1047">
        <v>9.6</v>
      </c>
      <c s="26" r="F1047">
        <f>G1047-E1047</f>
        <v>1.152</v>
      </c>
      <c s="26" r="G1047">
        <f>E1047*H1047</f>
        <v>10.752</v>
      </c>
      <c s="19" r="H1047">
        <v>1.12</v>
      </c>
    </row>
    <row r="1048">
      <c r="A1048">
        <v>616</v>
      </c>
      <c r="B1048">
        <v>33</v>
      </c>
      <c t="s" r="C1048">
        <v>633</v>
      </c>
      <c r="E1048">
        <f> B1048 * 0.8</f>
        <v>26.4</v>
      </c>
      <c s="26" r="F1048">
        <f>G1048-E1048</f>
        <v>2.64</v>
      </c>
      <c s="26" r="G1048">
        <f>E1048*H1048</f>
        <v>29.04</v>
      </c>
      <c s="19" r="H1048">
        <v>1.1</v>
      </c>
    </row>
    <row r="1049">
      <c r="A1049">
        <v>618</v>
      </c>
      <c r="B1049">
        <v>1222</v>
      </c>
      <c t="s" r="C1049">
        <v>139</v>
      </c>
      <c r="E1049">
        <f>0.4*B1049</f>
        <v>488.8</v>
      </c>
      <c s="26" r="F1049">
        <f>G1049-E1049</f>
        <v>24.44</v>
      </c>
      <c s="26" r="G1049">
        <f>E1049*H1049</f>
        <v>513.24</v>
      </c>
      <c s="19" r="H1049">
        <v>1.05</v>
      </c>
    </row>
    <row r="1050">
      <c r="A1050">
        <v>620</v>
      </c>
      <c r="B1050">
        <v>68</v>
      </c>
      <c t="s" r="C1050">
        <v>139</v>
      </c>
      <c r="E1050">
        <f>0.4*B1050</f>
        <v>27.2</v>
      </c>
      <c s="26" r="F1050">
        <f>G1050-E1050</f>
        <v>1.36</v>
      </c>
      <c s="26" r="G1050">
        <f>E1050*H1050</f>
        <v>28.56</v>
      </c>
      <c s="19" r="H1050">
        <v>1.05</v>
      </c>
    </row>
    <row r="1051">
      <c r="A1051">
        <v>621</v>
      </c>
      <c r="B1051">
        <v>17913</v>
      </c>
      <c t="s" r="C1051">
        <v>384</v>
      </c>
      <c r="E1051">
        <f>B1051*0.01</f>
        <v>179.13</v>
      </c>
      <c s="26" r="F1051">
        <f>G1051-E1051</f>
        <v>11.64345</v>
      </c>
      <c s="26" r="G1051">
        <f>E1051*H1051</f>
        <v>190.77345</v>
      </c>
      <c s="19" r="H1051">
        <v>1.065</v>
      </c>
    </row>
    <row r="1052">
      <c r="A1052">
        <v>621</v>
      </c>
      <c r="B1052">
        <v>776</v>
      </c>
      <c t="s" r="C1052">
        <v>325</v>
      </c>
      <c r="E1052">
        <f>0.75*B1052</f>
        <v>582</v>
      </c>
      <c s="26" r="F1052">
        <f>G1052-E1052</f>
        <v>29.1</v>
      </c>
      <c s="26" r="G1052">
        <f>E1052*H1052</f>
        <v>611.1</v>
      </c>
      <c s="19" r="H1052">
        <v>1.05</v>
      </c>
    </row>
    <row r="1053">
      <c r="A1053">
        <v>622</v>
      </c>
      <c r="B1053">
        <v>286</v>
      </c>
      <c t="s" r="C1053">
        <v>68</v>
      </c>
      <c r="E1053">
        <f>0.5*B1053</f>
        <v>143</v>
      </c>
      <c s="26" r="F1053">
        <f>G1053-E1053</f>
        <v>12.87</v>
      </c>
      <c s="26" r="G1053">
        <f>E1053*H1053</f>
        <v>155.87</v>
      </c>
      <c s="19" r="H1053">
        <v>1.09</v>
      </c>
    </row>
    <row r="1054">
      <c r="A1054">
        <v>623</v>
      </c>
      <c r="B1054">
        <v>545</v>
      </c>
      <c t="s" r="C1054">
        <v>384</v>
      </c>
      <c r="E1054">
        <f>B1054*0.01</f>
        <v>5.45</v>
      </c>
      <c s="26" r="F1054">
        <f>G1054-E1054</f>
        <v>0.35425</v>
      </c>
      <c s="26" r="G1054">
        <f>E1054*H1054</f>
        <v>5.80425</v>
      </c>
      <c s="19" r="H1054">
        <v>1.065</v>
      </c>
    </row>
    <row r="1055">
      <c r="A1055">
        <v>625</v>
      </c>
      <c r="B1055">
        <v>28</v>
      </c>
      <c t="s" r="C1055">
        <v>633</v>
      </c>
      <c r="E1055">
        <f> B1055 * 0.8</f>
        <v>22.4</v>
      </c>
      <c s="26" r="F1055">
        <f>G1055-E1055</f>
        <v>2.24</v>
      </c>
      <c s="26" r="G1055">
        <f>E1055*H1055</f>
        <v>24.64</v>
      </c>
      <c s="19" r="H1055">
        <v>1.1</v>
      </c>
    </row>
    <row r="1056">
      <c r="A1056">
        <v>625</v>
      </c>
      <c r="B1056">
        <v>2</v>
      </c>
      <c t="s" r="C1056">
        <v>649</v>
      </c>
      <c r="E1056">
        <v>0.34</v>
      </c>
      <c s="26" r="F1056">
        <f>G1056-E1056</f>
        <v>4.08</v>
      </c>
      <c s="26" r="G1056">
        <f>E1056*H1056</f>
        <v>4.42</v>
      </c>
      <c s="19" r="H1056">
        <v>13</v>
      </c>
    </row>
    <row r="1057">
      <c r="A1057">
        <v>625</v>
      </c>
      <c r="B1057">
        <v>15</v>
      </c>
      <c t="s" r="C1057">
        <v>650</v>
      </c>
      <c r="E1057">
        <v>13.5</v>
      </c>
      <c s="26" r="F1057">
        <f>G1057-E1057</f>
        <v>1.215</v>
      </c>
      <c s="26" r="G1057">
        <f>E1057*H1057</f>
        <v>14.715</v>
      </c>
      <c s="19" r="H1057">
        <v>1.09</v>
      </c>
    </row>
    <row r="1058">
      <c r="A1058">
        <v>627</v>
      </c>
      <c r="B1058">
        <v>91</v>
      </c>
      <c t="s" r="C1058">
        <v>227</v>
      </c>
      <c r="E1058">
        <f>0.8*B1058</f>
        <v>72.8</v>
      </c>
      <c s="26" r="F1058">
        <f>G1058-E1058</f>
        <v>163.8</v>
      </c>
      <c s="26" r="G1058">
        <f>E1058*H1058</f>
        <v>236.6</v>
      </c>
      <c s="19" r="H1058">
        <v>3.25</v>
      </c>
    </row>
    <row r="1059">
      <c r="A1059">
        <v>627</v>
      </c>
      <c r="B1059">
        <v>31370</v>
      </c>
      <c t="s" r="C1059">
        <v>384</v>
      </c>
      <c r="E1059">
        <f>B1059*0.01</f>
        <v>313.7</v>
      </c>
      <c s="26" r="F1059">
        <f>G1059-E1059</f>
        <v>20.3905</v>
      </c>
      <c s="26" r="G1059">
        <f>E1059*H1059</f>
        <v>334.0905</v>
      </c>
      <c s="19" r="H1059">
        <v>1.065</v>
      </c>
    </row>
    <row r="1060">
      <c r="A1060">
        <v>628</v>
      </c>
      <c r="B1060">
        <v>36</v>
      </c>
      <c t="s" r="C1060">
        <v>227</v>
      </c>
      <c r="E1060">
        <f>0.8*B1060</f>
        <v>28.8</v>
      </c>
      <c s="26" r="F1060">
        <f>G1060-E1060</f>
        <v>64.8</v>
      </c>
      <c s="26" r="G1060">
        <f>E1060*H1060</f>
        <v>93.6</v>
      </c>
      <c s="19" r="H1060">
        <v>3.25</v>
      </c>
    </row>
    <row r="1061">
      <c r="A1061">
        <v>628</v>
      </c>
      <c r="B1061">
        <v>14001</v>
      </c>
      <c t="s" r="C1061">
        <v>384</v>
      </c>
      <c r="E1061">
        <f>B1061*0.01</f>
        <v>140.01</v>
      </c>
      <c s="26" r="F1061">
        <f>G1061-E1061</f>
        <v>9.10065</v>
      </c>
      <c s="26" r="G1061">
        <f>E1061*H1061</f>
        <v>149.11065</v>
      </c>
      <c s="19" r="H1061">
        <v>1.065</v>
      </c>
    </row>
    <row r="1062">
      <c r="A1062">
        <v>629</v>
      </c>
      <c r="B1062">
        <v>44</v>
      </c>
      <c t="s" r="C1062">
        <v>204</v>
      </c>
      <c r="E1062">
        <f>0.4*B1062</f>
        <v>17.6</v>
      </c>
      <c s="26" r="F1062">
        <f>G1062-E1062</f>
        <v>38.72</v>
      </c>
      <c s="26" r="G1062">
        <f>E1062*H1062</f>
        <v>56.32</v>
      </c>
      <c s="19" r="H1062">
        <v>3.2</v>
      </c>
    </row>
    <row r="1063">
      <c r="A1063">
        <v>629</v>
      </c>
      <c r="B1063">
        <v>16773</v>
      </c>
      <c t="s" r="C1063">
        <v>384</v>
      </c>
      <c r="E1063">
        <f>B1063*0.01</f>
        <v>167.73</v>
      </c>
      <c s="26" r="F1063">
        <f>G1063-E1063</f>
        <v>10.90245</v>
      </c>
      <c s="26" r="G1063">
        <f>E1063*H1063</f>
        <v>178.63245</v>
      </c>
      <c s="19" r="H1063">
        <v>1.065</v>
      </c>
    </row>
    <row r="1064">
      <c r="A1064">
        <v>629</v>
      </c>
      <c r="B1064">
        <v>1367</v>
      </c>
      <c t="s" r="C1064">
        <v>447</v>
      </c>
      <c r="E1064">
        <f>B1064*0.01</f>
        <v>13.67</v>
      </c>
      <c s="26" r="F1064">
        <f>G1064-E1064</f>
        <v>0.888549999999999</v>
      </c>
      <c s="26" r="G1064">
        <f>E1064*H1064</f>
        <v>14.55855</v>
      </c>
      <c s="19" r="H1064">
        <v>1.065</v>
      </c>
    </row>
    <row r="1065">
      <c r="A1065">
        <v>630</v>
      </c>
      <c r="B1065">
        <v>44</v>
      </c>
      <c t="s" r="C1065">
        <v>204</v>
      </c>
      <c r="E1065">
        <f>0.4*B1065</f>
        <v>17.6</v>
      </c>
      <c s="26" r="F1065">
        <f>G1065-E1065</f>
        <v>39.6</v>
      </c>
      <c s="26" r="G1065">
        <f>E1065*H1065</f>
        <v>57.2</v>
      </c>
      <c s="19" r="H1065">
        <v>3.25</v>
      </c>
    </row>
    <row r="1066">
      <c r="A1066">
        <v>630</v>
      </c>
      <c r="B1066">
        <v>1431</v>
      </c>
      <c t="s" r="C1066">
        <v>447</v>
      </c>
      <c r="E1066">
        <f>B1066*0.01</f>
        <v>14.31</v>
      </c>
      <c s="26" r="F1066">
        <f>G1066-E1066</f>
        <v>0.930149999999999</v>
      </c>
      <c s="26" r="G1066">
        <f>E1066*H1066</f>
        <v>15.24015</v>
      </c>
      <c s="19" r="H1066">
        <v>1.065</v>
      </c>
    </row>
    <row r="1067">
      <c r="A1067">
        <v>630</v>
      </c>
      <c r="B1067">
        <v>5225</v>
      </c>
      <c t="s" r="C1067">
        <v>384</v>
      </c>
      <c r="E1067">
        <f>B1067*0.01</f>
        <v>52.25</v>
      </c>
      <c s="26" r="F1067">
        <f>G1067-E1067</f>
        <v>3.39625</v>
      </c>
      <c s="26" r="G1067">
        <f>E1067*H1067</f>
        <v>55.64625</v>
      </c>
      <c s="19" r="H1067">
        <v>1.065</v>
      </c>
    </row>
    <row r="1068">
      <c r="A1068">
        <v>631</v>
      </c>
      <c r="B1068">
        <v>26</v>
      </c>
      <c t="s" r="C1068">
        <v>204</v>
      </c>
      <c r="E1068">
        <f>0.4*B1068</f>
        <v>10.4</v>
      </c>
      <c s="26" r="F1068">
        <f>G1068-E1068</f>
        <v>26</v>
      </c>
      <c s="26" r="G1068">
        <f>E1068*H1068</f>
        <v>36.4</v>
      </c>
      <c s="19" r="H1068">
        <v>3.5</v>
      </c>
    </row>
    <row r="1069">
      <c r="A1069">
        <v>631</v>
      </c>
      <c r="B1069">
        <v>3565</v>
      </c>
      <c t="s" r="C1069">
        <v>447</v>
      </c>
      <c r="E1069">
        <f>B1069*0.01</f>
        <v>35.65</v>
      </c>
      <c s="26" r="F1069">
        <f>G1069-E1069</f>
        <v>2.31725</v>
      </c>
      <c s="26" r="G1069">
        <f>E1069*H1069</f>
        <v>37.96725</v>
      </c>
      <c s="19" r="H1069">
        <v>1.065</v>
      </c>
    </row>
    <row r="1070">
      <c r="A1070">
        <v>631</v>
      </c>
      <c r="B1070">
        <v>4839</v>
      </c>
      <c t="s" r="C1070">
        <v>384</v>
      </c>
      <c r="E1070">
        <f>B1070*0.01</f>
        <v>48.39</v>
      </c>
      <c s="26" r="F1070">
        <f>G1070-E1070</f>
        <v>3.14535</v>
      </c>
      <c s="26" r="G1070">
        <f>E1070*H1070</f>
        <v>51.53535</v>
      </c>
      <c s="19" r="H1070">
        <v>1.065</v>
      </c>
    </row>
    <row r="1071">
      <c r="A1071">
        <v>632</v>
      </c>
      <c r="B1071">
        <f>((9382-3565)-1431)-1367</f>
        <v>3019</v>
      </c>
      <c t="s" r="C1071">
        <v>447</v>
      </c>
      <c r="E1071">
        <f>B1071*0.01</f>
        <v>30.19</v>
      </c>
      <c s="26" r="F1071">
        <f>G1071-E1071</f>
        <v>1.96235</v>
      </c>
      <c s="26" r="G1071">
        <f>E1071*H1071</f>
        <v>32.15235</v>
      </c>
      <c s="19" r="H1071">
        <v>1.065</v>
      </c>
    </row>
    <row r="1072">
      <c r="A1072">
        <v>632</v>
      </c>
      <c r="B1072">
        <f>((((80245-4839)-5225)-16773)-14001)-31370</f>
        <v>8037</v>
      </c>
      <c t="s" r="C1072">
        <v>384</v>
      </c>
      <c r="E1072">
        <f>B1072*0.01</f>
        <v>80.37</v>
      </c>
      <c s="26" r="F1072">
        <f>G1072-E1072</f>
        <v>5.22404999999999</v>
      </c>
      <c s="26" r="G1072">
        <f>E1072*H1072</f>
        <v>85.59405</v>
      </c>
      <c s="19" r="H1072">
        <v>1.065</v>
      </c>
    </row>
    <row r="1073">
      <c r="A1073">
        <v>632</v>
      </c>
      <c r="B1073">
        <v>1</v>
      </c>
      <c t="s" r="C1073">
        <v>648</v>
      </c>
      <c r="E1073">
        <v>0.68</v>
      </c>
      <c s="26" r="F1073">
        <f>G1073-E1073</f>
        <v>67.32</v>
      </c>
      <c s="26" r="G1073">
        <f>E1073*H1073</f>
        <v>68</v>
      </c>
      <c s="19" r="H1073">
        <v>100</v>
      </c>
    </row>
    <row r="1074">
      <c r="A1074">
        <v>633</v>
      </c>
      <c r="B1074">
        <v>5273</v>
      </c>
      <c t="s" r="C1074">
        <v>384</v>
      </c>
      <c r="E1074">
        <f>B1074*0.01</f>
        <v>52.73</v>
      </c>
      <c s="26" r="F1074">
        <f>G1074-E1074</f>
        <v>3.69110000000001</v>
      </c>
      <c s="26" r="G1074">
        <f>E1074*H1074</f>
        <v>56.4211</v>
      </c>
      <c s="19" r="H1074">
        <v>1.07</v>
      </c>
    </row>
    <row r="1075">
      <c r="A1075">
        <v>634</v>
      </c>
      <c r="B1075">
        <v>288</v>
      </c>
      <c t="s" r="C1075">
        <v>139</v>
      </c>
      <c r="E1075">
        <f>0.4*B1075</f>
        <v>115.2</v>
      </c>
      <c s="26" r="F1075">
        <f>G1075-E1075</f>
        <v>5.76</v>
      </c>
      <c s="26" r="G1075">
        <f>E1075*H1075</f>
        <v>120.96</v>
      </c>
      <c s="19" r="H1075">
        <v>1.05</v>
      </c>
    </row>
    <row r="1076">
      <c r="A1076">
        <v>635</v>
      </c>
      <c r="B1076">
        <v>80</v>
      </c>
      <c t="s" r="C1076">
        <v>431</v>
      </c>
      <c r="E1076">
        <f>0.2*B1076</f>
        <v>16</v>
      </c>
      <c s="26" r="F1076">
        <f>G1076-E1076</f>
        <v>4</v>
      </c>
      <c s="26" r="G1076">
        <f>E1076*H1076</f>
        <v>20</v>
      </c>
      <c s="19" r="H1076">
        <v>1.25</v>
      </c>
    </row>
    <row r="1077">
      <c r="A1077">
        <v>635</v>
      </c>
      <c r="B1077">
        <v>7</v>
      </c>
      <c t="s" r="C1077">
        <v>434</v>
      </c>
      <c r="E1077">
        <f>0.17*B1077</f>
        <v>1.19</v>
      </c>
      <c s="26" r="F1077">
        <f>G1077-E1077</f>
        <v>0.238</v>
      </c>
      <c s="26" r="G1077">
        <f>E1077*H1077</f>
        <v>1.428</v>
      </c>
      <c s="19" r="H1077">
        <v>1.2</v>
      </c>
    </row>
    <row r="1078">
      <c r="A1078">
        <v>635</v>
      </c>
      <c r="B1078">
        <v>2</v>
      </c>
      <c t="s" r="C1078">
        <v>474</v>
      </c>
      <c r="E1078">
        <f>1.2*B1078</f>
        <v>2.4</v>
      </c>
      <c s="26" r="F1078">
        <f>G1078-E1078</f>
        <v>0.336</v>
      </c>
      <c s="26" r="G1078">
        <f>E1078*H1078</f>
        <v>2.736</v>
      </c>
      <c s="19" r="H1078">
        <v>1.14</v>
      </c>
    </row>
    <row r="1079">
      <c r="A1079">
        <v>635</v>
      </c>
      <c r="B1079">
        <v>15</v>
      </c>
      <c t="s" r="C1079">
        <v>432</v>
      </c>
      <c r="E1079">
        <f>0.8*B1079</f>
        <v>12</v>
      </c>
      <c s="26" r="F1079">
        <f>G1079-E1079</f>
        <v>2.4</v>
      </c>
      <c s="26" r="G1079">
        <f>E1079*H1079</f>
        <v>14.4</v>
      </c>
      <c s="19" r="H1079">
        <v>1.2</v>
      </c>
    </row>
    <row r="1080">
      <c r="A1080">
        <v>635</v>
      </c>
      <c r="B1080">
        <v>412</v>
      </c>
      <c t="s" r="C1080">
        <v>433</v>
      </c>
      <c r="E1080">
        <f>B1080*0.04</f>
        <v>16.48</v>
      </c>
      <c s="26" r="F1080">
        <f>G1080-E1080</f>
        <v>1.9776</v>
      </c>
      <c s="26" r="G1080">
        <f>E1080*H1080</f>
        <v>18.4576</v>
      </c>
      <c s="19" r="H1080">
        <v>1.12</v>
      </c>
    </row>
    <row r="1081">
      <c r="A1081">
        <v>636</v>
      </c>
      <c r="B1081">
        <v>3686</v>
      </c>
      <c t="s" r="C1081">
        <v>384</v>
      </c>
      <c r="E1081">
        <f>B1081*0.01</f>
        <v>36.86</v>
      </c>
      <c s="26" r="F1081">
        <f>G1081-E1081</f>
        <v>2.5802</v>
      </c>
      <c s="26" r="G1081">
        <f>E1081*H1081</f>
        <v>39.4402</v>
      </c>
      <c s="19" r="H1081">
        <v>1.07</v>
      </c>
    </row>
    <row r="1082">
      <c r="A1082">
        <v>639</v>
      </c>
      <c r="B1082">
        <v>15240</v>
      </c>
      <c t="s" r="C1082">
        <v>384</v>
      </c>
      <c r="E1082">
        <f>B1082*0.01</f>
        <v>152.4</v>
      </c>
      <c s="26" r="F1082">
        <f>G1082-E1082</f>
        <v>10.668</v>
      </c>
      <c s="26" r="G1082">
        <f>E1082*H1082</f>
        <v>163.068</v>
      </c>
      <c s="19" r="H1082">
        <v>1.07</v>
      </c>
    </row>
    <row r="1083">
      <c r="A1083">
        <v>639</v>
      </c>
      <c r="B1083">
        <v>56</v>
      </c>
      <c t="s" r="C1083">
        <v>353</v>
      </c>
      <c r="E1083">
        <f>0.8*B1083</f>
        <v>44.8</v>
      </c>
      <c s="26" r="F1083">
        <f>G1083-E1083</f>
        <v>89.6</v>
      </c>
      <c s="26" r="G1083">
        <f>E1083*H1083</f>
        <v>134.4</v>
      </c>
      <c s="19" r="H1083">
        <v>3</v>
      </c>
    </row>
    <row r="1084">
      <c r="A1084">
        <v>640</v>
      </c>
      <c r="B1084">
        <v>14404</v>
      </c>
      <c t="s" r="C1084">
        <v>384</v>
      </c>
      <c r="E1084">
        <f>B1084*0.01</f>
        <v>144.04</v>
      </c>
      <c s="26" r="F1084">
        <f>G1084-E1084</f>
        <v>10.0828</v>
      </c>
      <c s="26" r="G1084">
        <f>E1084*H1084</f>
        <v>154.1228</v>
      </c>
      <c s="19" r="H1084">
        <v>1.07</v>
      </c>
    </row>
    <row r="1085">
      <c r="A1085">
        <v>640</v>
      </c>
      <c r="B1085">
        <v>25</v>
      </c>
      <c t="s" r="C1085">
        <v>353</v>
      </c>
      <c r="E1085">
        <f>0.8*B1085</f>
        <v>20</v>
      </c>
      <c s="26" r="F1085">
        <f>G1085-E1085</f>
        <v>42.5</v>
      </c>
      <c s="26" r="G1085">
        <f>E1085*H1085</f>
        <v>62.5</v>
      </c>
      <c s="19" r="H1085">
        <v>3.125</v>
      </c>
    </row>
    <row r="1086">
      <c r="A1086">
        <v>642</v>
      </c>
      <c r="B1086">
        <v>409</v>
      </c>
      <c t="s" r="C1086">
        <v>384</v>
      </c>
      <c r="E1086">
        <f>B1086*0.01</f>
        <v>4.09</v>
      </c>
      <c s="26" r="F1086">
        <f>G1086-E1086</f>
        <v>0.286300000000001</v>
      </c>
      <c s="26" r="G1086">
        <f>E1086*H1086</f>
        <v>4.3763</v>
      </c>
      <c s="19" r="H1086">
        <v>1.07</v>
      </c>
    </row>
    <row r="1087">
      <c r="A1087">
        <v>642</v>
      </c>
      <c r="B1087">
        <v>511</v>
      </c>
      <c t="s" r="C1087">
        <v>447</v>
      </c>
      <c r="E1087">
        <f>B1087*0.01</f>
        <v>5.11</v>
      </c>
      <c s="26" r="F1087">
        <f>G1087-E1087</f>
        <v>0.3577</v>
      </c>
      <c s="26" r="G1087">
        <f>E1087*H1087</f>
        <v>5.4677</v>
      </c>
      <c s="19" r="H1087">
        <v>1.07</v>
      </c>
    </row>
    <row r="1088">
      <c r="A1088">
        <v>643</v>
      </c>
      <c r="B1088">
        <v>792</v>
      </c>
      <c t="s" r="C1088">
        <v>139</v>
      </c>
      <c r="E1088">
        <f>0.4*B1088</f>
        <v>316.8</v>
      </c>
      <c s="26" r="F1088">
        <f>G1088-E1088</f>
        <v>15.84</v>
      </c>
      <c s="26" r="G1088">
        <f>E1088*H1088</f>
        <v>332.64</v>
      </c>
      <c s="19" r="H1088">
        <v>1.05</v>
      </c>
    </row>
    <row r="1089">
      <c r="A1089">
        <v>644</v>
      </c>
      <c r="B1089">
        <v>969</v>
      </c>
      <c t="s" r="C1089">
        <v>384</v>
      </c>
      <c r="E1089">
        <f>B1089*0.01</f>
        <v>9.69</v>
      </c>
      <c s="26" r="F1089">
        <f>G1089-E1089</f>
        <v>0.6783</v>
      </c>
      <c s="26" r="G1089">
        <f>E1089*H1089</f>
        <v>10.3683</v>
      </c>
      <c s="19" r="H1089">
        <v>1.07</v>
      </c>
    </row>
    <row r="1090">
      <c r="A1090">
        <v>644</v>
      </c>
      <c r="B1090">
        <v>893</v>
      </c>
      <c t="s" r="C1090">
        <v>447</v>
      </c>
      <c r="E1090">
        <f>B1090*0.01</f>
        <v>8.93</v>
      </c>
      <c s="26" r="F1090">
        <f>G1090-E1090</f>
        <v>0.6251</v>
      </c>
      <c s="26" r="G1090">
        <f>E1090*H1090</f>
        <v>9.5551</v>
      </c>
      <c s="19" r="H1090">
        <v>1.07</v>
      </c>
    </row>
    <row r="1091">
      <c r="A1091">
        <v>644</v>
      </c>
      <c r="B1091">
        <v>893</v>
      </c>
      <c t="s" r="C1091">
        <v>628</v>
      </c>
      <c r="E1091">
        <v>46.83</v>
      </c>
      <c s="26" r="F1091">
        <f>G1091-E1091</f>
        <v>3.2781</v>
      </c>
      <c s="26" r="G1091">
        <f>E1091*H1091</f>
        <v>50.1081</v>
      </c>
      <c s="19" r="H1091">
        <v>1.07</v>
      </c>
    </row>
    <row r="1092">
      <c r="A1092">
        <v>644</v>
      </c>
      <c r="B1092">
        <v>22</v>
      </c>
      <c t="s" r="C1092">
        <v>367</v>
      </c>
      <c r="E1092">
        <v>604.4</v>
      </c>
      <c s="26" r="F1092">
        <f>G1092-E1092</f>
        <v>119.369</v>
      </c>
      <c s="26" r="G1092">
        <f>E1092*H1092</f>
        <v>723.769</v>
      </c>
      <c s="19" r="H1092">
        <v>1.1975</v>
      </c>
    </row>
    <row r="1093">
      <c r="A1093">
        <v>645</v>
      </c>
      <c r="B1093">
        <v>1</v>
      </c>
      <c t="s" r="C1093">
        <v>651</v>
      </c>
      <c r="E1093">
        <v>8</v>
      </c>
      <c s="26" r="F1093">
        <f>G1093-E1093</f>
        <v>60</v>
      </c>
      <c s="26" r="G1093">
        <f>E1093*H1093</f>
        <v>68</v>
      </c>
      <c s="19" r="H1093">
        <v>8.5</v>
      </c>
    </row>
    <row r="1094">
      <c r="A1094">
        <v>645</v>
      </c>
      <c r="B1094">
        <v>32</v>
      </c>
      <c t="s" r="C1094">
        <v>547</v>
      </c>
      <c r="E1094">
        <f>B1094*10</f>
        <v>320</v>
      </c>
      <c s="26" r="F1094">
        <f>G1094-E1094</f>
        <v>100</v>
      </c>
      <c s="26" r="G1094">
        <f>E1094*H1094</f>
        <v>420</v>
      </c>
      <c s="19" r="H1094">
        <v>1.3125</v>
      </c>
    </row>
    <row r="1095">
      <c r="A1095">
        <v>645</v>
      </c>
      <c r="B1095">
        <v>7</v>
      </c>
      <c t="s" r="C1095">
        <v>524</v>
      </c>
      <c r="E1095">
        <f>B1095*2</f>
        <v>14</v>
      </c>
      <c s="26" r="F1095">
        <f>G1095-E1095</f>
        <v>1.26</v>
      </c>
      <c s="26" r="G1095">
        <f>E1095*H1095</f>
        <v>15.26</v>
      </c>
      <c s="19" r="H1095">
        <v>1.09</v>
      </c>
    </row>
    <row r="1096">
      <c r="A1096">
        <v>645</v>
      </c>
      <c r="B1096">
        <v>1</v>
      </c>
      <c t="s" r="C1096">
        <v>642</v>
      </c>
      <c r="E1096">
        <v>64.6</v>
      </c>
      <c s="26" r="F1096">
        <f>G1096-E1096</f>
        <v>22.61</v>
      </c>
      <c s="26" r="G1096">
        <f>E1096*H1096</f>
        <v>87.21</v>
      </c>
      <c s="19" r="H1096">
        <v>1.35</v>
      </c>
    </row>
    <row r="1097">
      <c r="A1097">
        <v>645</v>
      </c>
      <c r="B1097">
        <v>1</v>
      </c>
      <c t="s" r="C1097">
        <v>652</v>
      </c>
      <c r="E1097">
        <v>59.26</v>
      </c>
      <c s="26" r="F1097">
        <f>G1097-E1097</f>
        <v>16.5928</v>
      </c>
      <c s="26" r="G1097">
        <f>E1097*H1097</f>
        <v>75.8528</v>
      </c>
      <c s="19" r="H1097">
        <v>1.28</v>
      </c>
    </row>
    <row r="1098">
      <c r="A1098">
        <v>647</v>
      </c>
      <c r="B1098">
        <v>941</v>
      </c>
      <c t="s" r="C1098">
        <v>573</v>
      </c>
      <c r="E1098">
        <f>0.02*B1098</f>
        <v>18.82</v>
      </c>
      <c s="26" r="F1098">
        <f>G1098-E1098</f>
        <v>2.6348</v>
      </c>
      <c s="26" r="G1098">
        <f>E1098*H1098</f>
        <v>21.4548</v>
      </c>
      <c s="19" r="H1098">
        <v>1.14</v>
      </c>
    </row>
    <row r="1099">
      <c r="A1099">
        <v>647</v>
      </c>
      <c r="B1099">
        <v>491</v>
      </c>
      <c t="s" r="C1099">
        <v>576</v>
      </c>
      <c r="E1099">
        <f>0.15*B1099</f>
        <v>73.65</v>
      </c>
      <c s="26" r="F1099">
        <f>G1099-E1099</f>
        <v>25.7775</v>
      </c>
      <c s="26" r="G1099">
        <f>E1099*H1099</f>
        <v>99.4275</v>
      </c>
      <c s="19" r="H1099">
        <v>1.35</v>
      </c>
    </row>
    <row r="1100">
      <c r="A1100">
        <v>647</v>
      </c>
      <c r="B1100">
        <f>(478*2)+242</f>
        <v>1198</v>
      </c>
      <c t="s" r="C1100">
        <v>653</v>
      </c>
      <c r="E1100">
        <f>0.1*B1100</f>
        <v>119.8</v>
      </c>
      <c s="26" r="F1100">
        <f>G1100-E1100</f>
        <v>10.183</v>
      </c>
      <c s="26" r="G1100">
        <f>E1100*H1100</f>
        <v>129.983</v>
      </c>
      <c s="19" r="H1100">
        <v>1.085</v>
      </c>
    </row>
    <row r="1101">
      <c r="A1101">
        <v>647</v>
      </c>
      <c r="B1101">
        <v>65</v>
      </c>
      <c t="s" r="C1101">
        <v>654</v>
      </c>
      <c r="E1101">
        <f>0.25*B1101</f>
        <v>16.25</v>
      </c>
      <c s="26" r="F1101">
        <f>G1101-E1101</f>
        <v>10.15625</v>
      </c>
      <c s="26" r="G1101">
        <f>E1101*H1101</f>
        <v>26.40625</v>
      </c>
      <c s="19" r="H1101">
        <v>1.625</v>
      </c>
    </row>
    <row r="1102">
      <c r="A1102">
        <v>647</v>
      </c>
      <c r="B1102">
        <v>8</v>
      </c>
      <c t="s" r="C1102">
        <v>655</v>
      </c>
      <c r="E1102">
        <f>B1102*2.5</f>
        <v>20</v>
      </c>
      <c s="26" r="F1102">
        <f>G1102-E1102</f>
        <v>31</v>
      </c>
      <c s="26" r="G1102">
        <f>E1102*H1102</f>
        <v>51</v>
      </c>
      <c s="19" r="H1102">
        <v>2.55</v>
      </c>
    </row>
    <row r="1103">
      <c r="A1103">
        <v>647</v>
      </c>
      <c r="B1103">
        <f>(324*3)+2</f>
        <v>974</v>
      </c>
      <c t="s" r="C1103">
        <v>593</v>
      </c>
      <c r="E1103">
        <f>0.25*B1103</f>
        <v>243.5</v>
      </c>
      <c s="26" r="F1103">
        <f>G1103-E1103</f>
        <v>60.875</v>
      </c>
      <c s="26" r="G1103">
        <f>E1103*H1103</f>
        <v>304.375</v>
      </c>
      <c s="19" r="H1103">
        <v>1.25</v>
      </c>
    </row>
    <row r="1104">
      <c r="A1104">
        <v>647</v>
      </c>
      <c r="B1104">
        <f>73*3</f>
        <v>219</v>
      </c>
      <c t="s" r="C1104">
        <v>432</v>
      </c>
      <c r="E1104">
        <f>0.8*B1104</f>
        <v>175.2</v>
      </c>
      <c s="26" r="F1104">
        <f>G1104-E1104</f>
        <v>31.536</v>
      </c>
      <c s="26" r="G1104">
        <f>E1104*H1104</f>
        <v>206.736</v>
      </c>
      <c s="19" r="H1104">
        <v>1.18</v>
      </c>
    </row>
    <row r="1105">
      <c r="A1105">
        <v>647</v>
      </c>
      <c r="B1105">
        <f>166*2</f>
        <v>332</v>
      </c>
      <c t="s" r="C1105">
        <v>656</v>
      </c>
      <c r="E1105">
        <f>0.39*B1105</f>
        <v>129.48</v>
      </c>
      <c s="26" r="F1105">
        <f>G1105-E1105</f>
        <v>9.51677999999998</v>
      </c>
      <c s="26" r="G1105">
        <f>E1105*H1105</f>
        <v>138.99678</v>
      </c>
      <c s="19" r="H1105">
        <v>1.0735</v>
      </c>
    </row>
    <row r="1106">
      <c r="A1106">
        <v>647</v>
      </c>
      <c r="B1106">
        <v>17</v>
      </c>
      <c t="s" r="C1106">
        <v>657</v>
      </c>
      <c r="E1106">
        <f>2.2*B1106</f>
        <v>37.4</v>
      </c>
      <c s="26" r="F1106">
        <f>G1106-E1106</f>
        <v>39.1017</v>
      </c>
      <c s="26" r="G1106">
        <f>E1106*H1106</f>
        <v>76.5017</v>
      </c>
      <c s="19" r="H1106">
        <v>2.0455</v>
      </c>
    </row>
    <row r="1107">
      <c r="A1107">
        <v>649</v>
      </c>
      <c r="B1107">
        <v>937</v>
      </c>
      <c t="s" r="C1107">
        <v>56</v>
      </c>
      <c r="E1107">
        <f>0.30*B1107</f>
        <v>281.1</v>
      </c>
      <c s="26" r="F1107">
        <f>G1107-E1107</f>
        <v>22.9096499999999</v>
      </c>
      <c s="26" r="G1107">
        <f>E1107*H1107</f>
        <v>304.00965</v>
      </c>
      <c s="19" r="H1107">
        <v>1.0815</v>
      </c>
    </row>
    <row r="1108">
      <c r="A1108">
        <v>650</v>
      </c>
      <c r="B1108">
        <v>5929</v>
      </c>
      <c t="s" r="C1108">
        <v>384</v>
      </c>
      <c r="E1108">
        <f>B1108*0.01</f>
        <v>59.29</v>
      </c>
      <c s="26" r="F1108">
        <f>G1108-E1108</f>
        <v>4.03172</v>
      </c>
      <c s="26" r="G1108">
        <f>E1108*H1108</f>
        <v>63.32172</v>
      </c>
      <c s="19" r="H1108">
        <v>1.068</v>
      </c>
    </row>
    <row r="1109">
      <c r="A1109">
        <v>651</v>
      </c>
      <c r="B1109">
        <v>6902</v>
      </c>
      <c t="s" r="C1109">
        <v>384</v>
      </c>
      <c r="E1109">
        <f>B1109*0.01</f>
        <v>69.02</v>
      </c>
      <c s="26" r="F1109">
        <f>G1109-E1109</f>
        <v>4.69336</v>
      </c>
      <c s="26" r="G1109">
        <f>E1109*H1109</f>
        <v>73.71336</v>
      </c>
      <c s="19" r="H1109">
        <v>1.068</v>
      </c>
    </row>
    <row r="1110">
      <c r="A1110">
        <v>652</v>
      </c>
      <c r="B1110">
        <v>7055</v>
      </c>
      <c t="s" r="C1110">
        <v>384</v>
      </c>
      <c r="E1110">
        <f>B1110*0.01</f>
        <v>70.55</v>
      </c>
      <c s="26" r="F1110">
        <f>G1110-E1110</f>
        <v>4.79740000000001</v>
      </c>
      <c s="26" r="G1110">
        <f>E1110*H1110</f>
        <v>75.3474</v>
      </c>
      <c s="19" r="H1110">
        <v>1.068</v>
      </c>
    </row>
    <row r="1111">
      <c r="A1111">
        <v>653</v>
      </c>
      <c r="B1111">
        <v>559</v>
      </c>
      <c t="s" r="C1111">
        <v>384</v>
      </c>
      <c r="E1111">
        <f>B1111*0.01</f>
        <v>5.59</v>
      </c>
      <c s="26" r="F1111">
        <f>G1111-E1111</f>
        <v>0.380120000000001</v>
      </c>
      <c s="26" r="G1111">
        <f>E1111*H1111</f>
        <v>5.97012</v>
      </c>
      <c s="19" r="H1111">
        <v>1.068</v>
      </c>
    </row>
    <row r="1112">
      <c r="A1112">
        <v>654</v>
      </c>
      <c r="B1112">
        <v>279</v>
      </c>
      <c t="s" r="C1112">
        <v>384</v>
      </c>
      <c r="E1112">
        <f>B1112*0.01</f>
        <v>2.79</v>
      </c>
      <c s="26" r="F1112">
        <f>G1112-E1112</f>
        <v>0.18972</v>
      </c>
      <c s="26" r="G1112">
        <f>E1112*H1112</f>
        <v>2.97972</v>
      </c>
      <c s="19" r="H1112">
        <v>1.068</v>
      </c>
    </row>
    <row r="1113">
      <c r="A1113">
        <v>655</v>
      </c>
      <c r="B1113">
        <v>486</v>
      </c>
      <c t="s" r="C1113">
        <v>384</v>
      </c>
      <c r="E1113">
        <f>B1113*0.01</f>
        <v>4.86</v>
      </c>
      <c s="26" r="F1113">
        <f>G1113-E1113</f>
        <v>0.330480000000001</v>
      </c>
      <c s="26" r="G1113">
        <f>E1113*H1113</f>
        <v>5.19048</v>
      </c>
      <c s="19" r="H1113">
        <v>1.068</v>
      </c>
    </row>
    <row r="1114">
      <c r="A1114">
        <v>656</v>
      </c>
      <c r="B1114">
        <v>14427</v>
      </c>
      <c t="s" r="C1114">
        <v>384</v>
      </c>
      <c r="E1114">
        <f>B1114*0.01</f>
        <v>144.27</v>
      </c>
      <c s="26" r="F1114">
        <f>G1114-E1114</f>
        <v>9.81036</v>
      </c>
      <c s="26" r="G1114">
        <f>E1114*H1114</f>
        <v>154.08036</v>
      </c>
      <c s="19" r="H1114">
        <v>1.068</v>
      </c>
    </row>
    <row r="1115">
      <c r="A1115">
        <v>657</v>
      </c>
      <c r="B1115">
        <v>65.48</v>
      </c>
      <c t="s" r="C1115">
        <v>384</v>
      </c>
      <c r="E1115">
        <f>B1115*0.01</f>
        <v>0.6548</v>
      </c>
      <c s="26" r="F1115">
        <f>G1115-E1115</f>
        <v>0.0445264</v>
      </c>
      <c s="26" r="G1115">
        <f>E1115*H1115</f>
        <v>0.6993264</v>
      </c>
      <c s="19" r="H1115">
        <v>1.068</v>
      </c>
    </row>
    <row r="1116">
      <c r="A1116">
        <v>658</v>
      </c>
      <c r="B1116">
        <v>1</v>
      </c>
      <c t="s" r="C1116">
        <v>658</v>
      </c>
      <c r="E1116">
        <v>179.16</v>
      </c>
      <c s="26" r="F1116">
        <f>G1116-E1116</f>
        <v>13.831152</v>
      </c>
      <c s="26" r="G1116">
        <f>E1116*H1116</f>
        <v>192.991152</v>
      </c>
      <c s="19" r="H1116">
        <v>1.0772</v>
      </c>
    </row>
    <row r="1117">
      <c r="A1117">
        <v>658</v>
      </c>
      <c r="B1117">
        <v>1</v>
      </c>
      <c t="s" r="C1117">
        <v>658</v>
      </c>
      <c r="E1117">
        <v>160.53</v>
      </c>
      <c s="26" r="F1117">
        <f>G1117-E1117</f>
        <v>12.8424</v>
      </c>
      <c s="26" r="G1117">
        <f>E1117*H1117</f>
        <v>173.3724</v>
      </c>
      <c s="19" r="H1117">
        <v>1.08</v>
      </c>
    </row>
    <row r="1118">
      <c r="A1118">
        <v>658</v>
      </c>
      <c r="B1118">
        <v>1</v>
      </c>
      <c t="s" r="C1118">
        <v>659</v>
      </c>
      <c r="E1118">
        <v>79.7</v>
      </c>
      <c s="26" r="F1118">
        <f>G1118-E1118</f>
        <v>8.29677000000001</v>
      </c>
      <c s="26" r="G1118">
        <f>E1118*H1118</f>
        <v>87.99677</v>
      </c>
      <c s="19" r="H1118">
        <v>1.1041</v>
      </c>
    </row>
    <row r="1119">
      <c r="A1119">
        <v>660</v>
      </c>
      <c r="B1119">
        <v>23663</v>
      </c>
      <c t="s" r="C1119">
        <v>384</v>
      </c>
      <c r="E1119">
        <f>B1119*0.01</f>
        <v>236.63</v>
      </c>
      <c s="26" r="F1119">
        <f>G1119-E1119</f>
        <v>16.5641</v>
      </c>
      <c s="26" r="G1119">
        <f>E1119*H1119</f>
        <v>253.1941</v>
      </c>
      <c s="19" r="H1119">
        <v>1.07</v>
      </c>
    </row>
    <row r="1120">
      <c r="A1120">
        <v>660</v>
      </c>
      <c r="B1120">
        <v>90</v>
      </c>
      <c t="s" r="C1120">
        <v>227</v>
      </c>
      <c r="E1120">
        <f>0.8*B1120</f>
        <v>72</v>
      </c>
      <c s="26" r="F1120">
        <f>G1120-E1120</f>
        <v>146.16</v>
      </c>
      <c s="26" r="G1120">
        <f>E1120*H1120</f>
        <v>218.16</v>
      </c>
      <c s="19" r="H1120">
        <v>3.03</v>
      </c>
    </row>
    <row r="1121">
      <c r="A1121">
        <v>662</v>
      </c>
      <c r="B1121">
        <v>36</v>
      </c>
      <c t="s" r="C1121">
        <v>660</v>
      </c>
      <c r="E1121">
        <f>5*B1121</f>
        <v>180</v>
      </c>
      <c s="26" r="F1121">
        <f>G1121-E1121</f>
        <v>27</v>
      </c>
      <c s="26" r="G1121">
        <f>E1121*H1121</f>
        <v>207</v>
      </c>
      <c s="19" r="H1121">
        <v>1.15</v>
      </c>
    </row>
    <row r="1122">
      <c r="A1122">
        <v>662</v>
      </c>
      <c r="B1122">
        <v>1</v>
      </c>
      <c t="s" r="C1122">
        <v>642</v>
      </c>
      <c r="E1122">
        <v>44.74</v>
      </c>
      <c s="26" r="F1122">
        <f>G1122-E1122</f>
        <v>15.247392</v>
      </c>
      <c s="26" r="G1122">
        <f>E1122*H1122</f>
        <v>59.987392</v>
      </c>
      <c s="19" r="H1122">
        <v>1.3408</v>
      </c>
    </row>
    <row r="1123">
      <c r="A1123">
        <v>663</v>
      </c>
      <c r="B1123">
        <v>1</v>
      </c>
      <c t="s" r="C1123">
        <v>638</v>
      </c>
      <c r="E1123">
        <v>67</v>
      </c>
      <c s="26" r="F1123">
        <f>G1123-E1123</f>
        <v>11.39</v>
      </c>
      <c s="26" r="G1123">
        <f>E1123*H1123</f>
        <v>78.39</v>
      </c>
      <c s="19" r="H1123">
        <v>1.17</v>
      </c>
    </row>
    <row r="1124">
      <c r="A1124">
        <v>665</v>
      </c>
      <c r="B1124">
        <v>710</v>
      </c>
      <c t="s" r="C1124">
        <v>56</v>
      </c>
      <c r="E1124">
        <f>0.30*B1124</f>
        <v>213</v>
      </c>
      <c s="26" r="F1124">
        <f>G1124-E1124</f>
        <v>17.3595</v>
      </c>
      <c s="26" r="G1124">
        <f>E1124*H1124</f>
        <v>230.3595</v>
      </c>
      <c s="19" r="H1124">
        <v>1.0815</v>
      </c>
    </row>
    <row r="1125">
      <c r="A1125">
        <v>666</v>
      </c>
      <c r="B1125">
        <v>2664</v>
      </c>
      <c t="s" r="C1125">
        <v>384</v>
      </c>
      <c r="E1125">
        <f>B1125*0.01</f>
        <v>26.64</v>
      </c>
      <c s="26" r="F1125">
        <f>G1125-E1125</f>
        <v>1.81152</v>
      </c>
      <c s="26" r="G1125">
        <f>E1125*H1125</f>
        <v>28.45152</v>
      </c>
      <c s="19" r="H1125">
        <v>1.068</v>
      </c>
    </row>
    <row r="1126">
      <c r="A1126">
        <v>667</v>
      </c>
      <c r="B1126">
        <v>6497</v>
      </c>
      <c t="s" r="C1126">
        <v>384</v>
      </c>
      <c r="E1126">
        <f>B1126*0.01</f>
        <v>64.97</v>
      </c>
      <c s="26" r="F1126">
        <f>G1126-E1126</f>
        <v>4.41796000000001</v>
      </c>
      <c s="26" r="G1126">
        <f>E1126*H1126</f>
        <v>69.38796</v>
      </c>
      <c s="19" r="H1126">
        <v>1.068</v>
      </c>
    </row>
    <row r="1127">
      <c r="A1127">
        <v>667</v>
      </c>
      <c r="B1127">
        <v>9313</v>
      </c>
      <c t="s" r="C1127">
        <v>447</v>
      </c>
      <c r="E1127">
        <f>B1127*0.01</f>
        <v>93.13</v>
      </c>
      <c s="26" r="F1127">
        <f>G1127-E1127</f>
        <v>6.33284</v>
      </c>
      <c s="26" r="G1127">
        <f>E1127*H1127</f>
        <v>99.46284</v>
      </c>
      <c s="19" r="H1127">
        <v>1.068</v>
      </c>
    </row>
    <row r="1128">
      <c r="A1128">
        <v>667</v>
      </c>
      <c r="B1128">
        <v>1</v>
      </c>
      <c t="s" r="C1128">
        <v>610</v>
      </c>
      <c r="E1128">
        <v>0.45</v>
      </c>
      <c s="26" r="F1128">
        <f>G1128-E1128</f>
        <v>40.05</v>
      </c>
      <c s="26" r="G1128">
        <f>E1128*H1128</f>
        <v>40.5</v>
      </c>
      <c s="19" r="H1128">
        <v>90</v>
      </c>
    </row>
    <row r="1129">
      <c r="A1129">
        <v>667</v>
      </c>
      <c r="B1129">
        <v>1</v>
      </c>
      <c t="s" r="C1129">
        <v>647</v>
      </c>
      <c r="E1129">
        <v>0.3</v>
      </c>
      <c s="26" r="F1129">
        <f>G1129-E1129</f>
        <v>13.2</v>
      </c>
      <c s="26" r="G1129">
        <f>E1129*H1129</f>
        <v>13.5</v>
      </c>
      <c s="19" r="H1129">
        <v>45</v>
      </c>
    </row>
    <row r="1130">
      <c r="A1130">
        <v>667</v>
      </c>
      <c r="B1130">
        <v>1</v>
      </c>
      <c t="s" r="C1130">
        <v>630</v>
      </c>
      <c r="E1130">
        <v>0.01</v>
      </c>
      <c s="26" r="F1130">
        <f>G1130-E1130</f>
        <v>9.6566</v>
      </c>
      <c s="26" r="G1130">
        <f>E1130*H1130</f>
        <v>9.6666</v>
      </c>
      <c s="19" r="H1130">
        <v>966.66</v>
      </c>
    </row>
    <row r="1131">
      <c r="A1131">
        <v>667</v>
      </c>
      <c r="B1131">
        <v>1</v>
      </c>
      <c t="s" r="C1131">
        <v>646</v>
      </c>
      <c r="E1131">
        <v>0.03</v>
      </c>
      <c s="26" r="F1131">
        <f>G1131-E1131</f>
        <v>38.97</v>
      </c>
      <c s="26" r="G1131">
        <f>E1131*H1131</f>
        <v>39</v>
      </c>
      <c s="19" r="H1131">
        <v>1300</v>
      </c>
    </row>
    <row r="1132">
      <c r="A1132">
        <v>667</v>
      </c>
      <c r="B1132">
        <v>1</v>
      </c>
      <c t="s" r="C1132">
        <v>661</v>
      </c>
      <c r="E1132">
        <v>0.03</v>
      </c>
      <c s="26" r="F1132">
        <f>G1132-E1132</f>
        <v>47.97</v>
      </c>
      <c s="26" r="G1132">
        <f>E1132*H1132</f>
        <v>48</v>
      </c>
      <c s="19" r="H1132">
        <v>1600</v>
      </c>
    </row>
    <row r="1133">
      <c r="A1133">
        <v>667</v>
      </c>
      <c r="B1133">
        <v>1</v>
      </c>
      <c t="s" r="C1133">
        <v>661</v>
      </c>
      <c r="E1133">
        <v>0.01</v>
      </c>
      <c s="26" r="F1133">
        <f>G1133-E1133</f>
        <v>15.99</v>
      </c>
      <c s="26" r="G1133">
        <f>E1133*H1133</f>
        <v>16</v>
      </c>
      <c s="19" r="H1133">
        <v>1600</v>
      </c>
    </row>
    <row r="1134">
      <c r="A1134">
        <v>668</v>
      </c>
      <c r="B1134">
        <v>453</v>
      </c>
      <c t="s" r="C1134">
        <v>384</v>
      </c>
      <c r="E1134">
        <f>B1134*0.01</f>
        <v>4.53</v>
      </c>
      <c s="26" r="F1134">
        <f>G1134-E1134</f>
        <v>0.3171</v>
      </c>
      <c s="26" r="G1134">
        <f>E1134*H1134</f>
        <v>4.8471</v>
      </c>
      <c s="19" r="H1134">
        <v>1.07</v>
      </c>
    </row>
    <row r="1135">
      <c r="A1135">
        <v>669</v>
      </c>
      <c r="B1135">
        <v>1422</v>
      </c>
      <c t="s" r="C1135">
        <v>384</v>
      </c>
      <c r="E1135">
        <f>B1135*0.01</f>
        <v>14.22</v>
      </c>
      <c s="26" r="F1135">
        <f>G1135-E1135</f>
        <v>0.9954</v>
      </c>
      <c s="26" r="G1135">
        <f>E1135*H1135</f>
        <v>15.2154</v>
      </c>
      <c s="19" r="H1135">
        <v>1.07</v>
      </c>
    </row>
    <row r="1136">
      <c r="A1136">
        <v>670</v>
      </c>
      <c r="B1136">
        <v>7761</v>
      </c>
      <c t="s" r="C1136">
        <v>662</v>
      </c>
      <c r="E1136">
        <f>0.01*B1136</f>
        <v>77.61</v>
      </c>
      <c s="26" r="F1136">
        <f>G1136-E1136</f>
        <v>7.76100000000001</v>
      </c>
      <c s="26" r="G1136">
        <f>E1136*H1136</f>
        <v>85.371</v>
      </c>
      <c s="19" r="H1136">
        <v>1.1</v>
      </c>
    </row>
    <row r="1137">
      <c r="A1137">
        <v>670</v>
      </c>
      <c r="B1137">
        <v>80</v>
      </c>
      <c t="s" r="C1137">
        <v>660</v>
      </c>
      <c r="E1137">
        <f>5*B1137</f>
        <v>400</v>
      </c>
      <c s="26" r="F1137">
        <f>G1137-E1137</f>
        <v>50</v>
      </c>
      <c s="26" r="G1137">
        <f>E1137*H1137</f>
        <v>450</v>
      </c>
      <c s="19" r="H1137">
        <v>1.125</v>
      </c>
    </row>
    <row r="1138">
      <c r="A1138">
        <v>672</v>
      </c>
      <c r="B1138">
        <v>4</v>
      </c>
      <c t="s" r="C1138">
        <v>663</v>
      </c>
      <c r="E1138">
        <v>4</v>
      </c>
      <c s="26" r="F1138">
        <f>G1138-E1138</f>
        <v>2.32</v>
      </c>
      <c s="26" r="G1138">
        <f>E1138*H1138</f>
        <v>6.32</v>
      </c>
      <c s="19" r="H1138">
        <v>1.58</v>
      </c>
    </row>
    <row r="1139">
      <c r="A1139">
        <v>672</v>
      </c>
      <c r="B1139">
        <v>1</v>
      </c>
      <c t="s" r="C1139">
        <v>524</v>
      </c>
      <c r="E1139">
        <v>2</v>
      </c>
      <c s="26" r="F1139">
        <f>G1139-E1139</f>
        <v>0.2</v>
      </c>
      <c s="26" r="G1139">
        <f>E1139*H1139</f>
        <v>2.2</v>
      </c>
      <c s="19" r="H1139">
        <v>1.1</v>
      </c>
    </row>
    <row r="1140">
      <c r="A1140">
        <v>673</v>
      </c>
      <c r="B1140">
        <v>1</v>
      </c>
      <c t="s" r="C1140">
        <v>500</v>
      </c>
      <c r="E1140">
        <v>1.08</v>
      </c>
      <c s="26" r="F1140">
        <f>G1140-E1140</f>
        <v>1.0584</v>
      </c>
      <c s="26" r="G1140">
        <f>E1140*H1140</f>
        <v>2.1384</v>
      </c>
      <c s="19" r="H1140">
        <v>1.98</v>
      </c>
    </row>
    <row r="1141">
      <c r="A1141">
        <v>675</v>
      </c>
      <c r="B1141">
        <v>10066</v>
      </c>
      <c t="s" r="C1141">
        <v>662</v>
      </c>
      <c r="E1141">
        <f>0.01*B1141</f>
        <v>100.66</v>
      </c>
      <c s="26" r="F1141">
        <f>G1141-E1141</f>
        <v>10.066</v>
      </c>
      <c s="26" r="G1141">
        <f>E1141*H1141</f>
        <v>110.726</v>
      </c>
      <c s="19" r="H1141">
        <v>1.1</v>
      </c>
    </row>
    <row r="1142">
      <c r="A1142">
        <v>676</v>
      </c>
      <c r="B1142">
        <v>2</v>
      </c>
      <c t="s" r="C1142">
        <v>524</v>
      </c>
      <c r="E1142">
        <v>2</v>
      </c>
      <c s="26" r="F1142">
        <f>G1142-E1142</f>
        <v>0.2</v>
      </c>
      <c s="26" r="G1142">
        <f>E1142*H1142</f>
        <v>2.2</v>
      </c>
      <c s="19" r="H1142">
        <v>1.1</v>
      </c>
    </row>
    <row r="1143">
      <c r="A1143">
        <v>676</v>
      </c>
      <c r="B1143">
        <v>6</v>
      </c>
      <c t="s" r="C1143">
        <v>664</v>
      </c>
      <c r="E1143">
        <v>3.6</v>
      </c>
      <c s="26" r="F1143">
        <f>G1143-E1143</f>
        <v>0.54</v>
      </c>
      <c s="26" r="G1143">
        <f>E1143*H1143</f>
        <v>4.14</v>
      </c>
      <c s="19" r="H1143">
        <v>1.15</v>
      </c>
    </row>
    <row r="1144">
      <c r="A1144">
        <v>677</v>
      </c>
      <c r="B1144">
        <v>1642</v>
      </c>
      <c t="s" r="C1144">
        <v>56</v>
      </c>
      <c r="E1144">
        <v>323.4</v>
      </c>
      <c s="26" r="F1144">
        <f>G1144-E1144</f>
        <v>25.872</v>
      </c>
      <c s="26" r="G1144">
        <f>E1144*H1144</f>
        <v>349.272</v>
      </c>
      <c s="19" r="H1144">
        <v>1.08</v>
      </c>
    </row>
    <row r="1145">
      <c r="A1145">
        <v>677</v>
      </c>
      <c r="B1145">
        <v>100514</v>
      </c>
      <c t="s" r="C1145">
        <v>513</v>
      </c>
      <c r="E1145">
        <v>1005.14</v>
      </c>
      <c s="26" r="F1145">
        <f>G1145-E1145</f>
        <v>3.01541999999984</v>
      </c>
      <c s="26" r="G1145">
        <f>E1145*H1145</f>
        <v>1008.15542</v>
      </c>
      <c s="19" r="H1145">
        <v>1.003</v>
      </c>
    </row>
    <row r="1146">
      <c r="A1146">
        <v>678</v>
      </c>
      <c r="B1146">
        <v>15046</v>
      </c>
      <c t="s" r="C1146">
        <v>662</v>
      </c>
      <c r="E1146">
        <f>0.01*B1146</f>
        <v>150.46</v>
      </c>
      <c s="26" r="F1146">
        <f>G1146-E1146</f>
        <v>23.54699</v>
      </c>
      <c s="26" r="G1146">
        <f>E1146*H1146</f>
        <v>174.00699</v>
      </c>
      <c s="19" r="H1146">
        <v>1.1565</v>
      </c>
    </row>
    <row r="1147">
      <c r="A1147">
        <v>681</v>
      </c>
      <c r="B1147">
        <f>223+505</f>
        <v>728</v>
      </c>
      <c t="s" r="C1147">
        <v>139</v>
      </c>
      <c r="E1147">
        <f>0.4*B1147</f>
        <v>291.2</v>
      </c>
      <c s="26" r="F1147">
        <f>G1147-E1147</f>
        <v>14.56</v>
      </c>
      <c s="26" r="G1147">
        <f>E1147*H1147</f>
        <v>305.76</v>
      </c>
      <c s="19" r="H1147">
        <v>1.05</v>
      </c>
    </row>
    <row r="1148">
      <c r="A1148">
        <v>684</v>
      </c>
      <c r="B1148">
        <v>1</v>
      </c>
      <c t="s" r="C1148">
        <v>528</v>
      </c>
      <c r="E1148">
        <v>106.8</v>
      </c>
      <c s="26" r="F1148">
        <f>G1148-E1148</f>
        <v>4.19723999999999</v>
      </c>
      <c s="26" r="G1148">
        <f>E1148*H1148</f>
        <v>110.99724</v>
      </c>
      <c s="19" r="H1148">
        <v>1.0393</v>
      </c>
    </row>
    <row r="1149">
      <c r="A1149">
        <v>684</v>
      </c>
      <c r="B1149">
        <v>2</v>
      </c>
      <c t="s" r="C1149">
        <v>660</v>
      </c>
      <c r="E1149">
        <f>5*B1149</f>
        <v>10</v>
      </c>
      <c s="26" r="F1149">
        <f>G1149-E1149</f>
        <v>1.25</v>
      </c>
      <c s="26" r="G1149">
        <f>E1149*H1149</f>
        <v>11.25</v>
      </c>
      <c s="19" r="H1149">
        <v>1.125</v>
      </c>
    </row>
    <row r="1150">
      <c r="A1150">
        <v>684</v>
      </c>
      <c r="B1150">
        <v>4</v>
      </c>
      <c t="s" r="C1150">
        <v>524</v>
      </c>
      <c r="E1150">
        <v>2</v>
      </c>
      <c s="26" r="F1150">
        <f>G1150-E1150</f>
        <v>0.2</v>
      </c>
      <c s="26" r="G1150">
        <f>E1150*H1150</f>
        <v>2.2</v>
      </c>
      <c s="19" r="H1150">
        <v>1.1</v>
      </c>
    </row>
    <row r="1151">
      <c r="A1151">
        <v>686</v>
      </c>
      <c r="B1151">
        <f>21335+5297</f>
        <v>26632</v>
      </c>
      <c t="s" r="C1151">
        <v>384</v>
      </c>
      <c r="E1151">
        <f>B1151*0.01</f>
        <v>266.32</v>
      </c>
      <c s="26" r="F1151">
        <f>G1151-E1151</f>
        <v>18.10976</v>
      </c>
      <c s="26" r="G1151">
        <f>E1151*H1151</f>
        <v>284.42976</v>
      </c>
      <c s="19" r="H1151">
        <v>1.068</v>
      </c>
    </row>
    <row r="1152">
      <c r="A1152">
        <v>686</v>
      </c>
      <c r="B1152">
        <f>7421+9994</f>
        <v>17415</v>
      </c>
      <c t="s" r="C1152">
        <v>447</v>
      </c>
      <c r="E1152">
        <f>B1152*0.01</f>
        <v>174.15</v>
      </c>
      <c s="26" r="F1152">
        <f>G1152-E1152</f>
        <v>11.8422</v>
      </c>
      <c s="26" r="G1152">
        <f>E1152*H1152</f>
        <v>185.9922</v>
      </c>
      <c s="19" r="H1152">
        <v>1.068</v>
      </c>
    </row>
    <row r="1153">
      <c r="A1153">
        <v>687</v>
      </c>
      <c r="B1153">
        <v>11</v>
      </c>
      <c t="s" r="C1153">
        <v>665</v>
      </c>
      <c r="E1153">
        <f>0.01*B1153</f>
        <v>0.11</v>
      </c>
      <c s="26" r="F1153">
        <f>G1153-E1153</f>
        <v>0</v>
      </c>
      <c s="26" r="G1153">
        <f>E1153*H1153</f>
        <v>0.11</v>
      </c>
      <c s="19" r="H1153">
        <v>1</v>
      </c>
    </row>
    <row r="1154">
      <c r="A1154">
        <v>687</v>
      </c>
      <c r="B1154">
        <v>1</v>
      </c>
      <c t="s" r="C1154">
        <v>551</v>
      </c>
      <c r="E1154">
        <v>22.7</v>
      </c>
      <c s="26" r="F1154">
        <f>G1154-E1154</f>
        <v>2.27</v>
      </c>
      <c s="26" r="G1154">
        <f>E1154*H1154</f>
        <v>24.97</v>
      </c>
      <c s="19" r="H1154">
        <v>1.1</v>
      </c>
    </row>
    <row r="1155">
      <c r="A1155">
        <v>687</v>
      </c>
      <c r="B1155">
        <v>1</v>
      </c>
      <c t="s" r="C1155">
        <v>666</v>
      </c>
      <c r="E1155">
        <v>16.85</v>
      </c>
      <c s="26" r="F1155">
        <f>G1155-E1155</f>
        <v>1.685</v>
      </c>
      <c s="26" r="G1155">
        <f>E1155*H1155</f>
        <v>18.535</v>
      </c>
      <c s="19" r="H1155">
        <v>1.1</v>
      </c>
    </row>
    <row r="1156">
      <c r="A1156">
        <v>687</v>
      </c>
      <c r="B1156">
        <v>1</v>
      </c>
      <c t="s" r="C1156">
        <v>667</v>
      </c>
      <c r="E1156">
        <v>67</v>
      </c>
      <c s="26" r="F1156">
        <f>G1156-E1156</f>
        <v>2.0033</v>
      </c>
      <c s="26" r="G1156">
        <f>E1156*H1156</f>
        <v>69.0033</v>
      </c>
      <c s="19" r="H1156">
        <v>1.0299</v>
      </c>
    </row>
    <row r="1157">
      <c r="A1157">
        <v>688</v>
      </c>
      <c r="B1157">
        <v>3</v>
      </c>
      <c t="s" r="C1157">
        <v>665</v>
      </c>
      <c r="E1157">
        <f>0.01*B1157</f>
        <v>0.03</v>
      </c>
      <c s="26" r="F1157">
        <f>G1157-E1157</f>
        <v>0</v>
      </c>
      <c s="26" r="G1157">
        <f>E1157*H1157</f>
        <v>0.03</v>
      </c>
      <c s="19" r="H1157">
        <v>1</v>
      </c>
    </row>
    <row r="1158">
      <c r="A1158">
        <v>689</v>
      </c>
      <c r="B1158">
        <v>1019</v>
      </c>
      <c t="s" r="C1158">
        <v>56</v>
      </c>
      <c r="E1158">
        <f>0.3*B1158</f>
        <v>305.7</v>
      </c>
      <c s="26" r="F1158">
        <f>G1158-E1158</f>
        <v>24.456</v>
      </c>
      <c s="26" r="G1158">
        <f>E1158*H1158</f>
        <v>330.156</v>
      </c>
      <c s="19" r="H1158">
        <v>1.08</v>
      </c>
    </row>
    <row r="1159">
      <c r="A1159">
        <v>690</v>
      </c>
      <c r="B1159">
        <v>16820</v>
      </c>
      <c t="s" r="C1159">
        <v>384</v>
      </c>
      <c r="E1159">
        <f>B1159*0.01</f>
        <v>168.2</v>
      </c>
      <c s="26" r="F1159">
        <f>G1159-E1159</f>
        <v>11.4376</v>
      </c>
      <c s="26" r="G1159">
        <f>E1159*H1159</f>
        <v>179.6376</v>
      </c>
      <c s="19" r="H1159">
        <v>1.068</v>
      </c>
    </row>
    <row r="1160">
      <c r="A1160">
        <v>690</v>
      </c>
      <c r="B1160">
        <v>2298</v>
      </c>
      <c t="s" r="C1160">
        <v>447</v>
      </c>
      <c r="E1160">
        <f>B1160*0.01</f>
        <v>22.98</v>
      </c>
      <c s="26" r="F1160">
        <f>G1160-E1160</f>
        <v>1.56264</v>
      </c>
      <c s="26" r="G1160">
        <f>E1160*H1160</f>
        <v>24.54264</v>
      </c>
      <c s="19" r="H1160">
        <v>1.068</v>
      </c>
    </row>
    <row r="1161">
      <c r="A1161">
        <v>691</v>
      </c>
      <c r="B1161">
        <v>4194</v>
      </c>
      <c t="s" r="C1161">
        <v>384</v>
      </c>
      <c r="E1161">
        <f>B1161*0.01</f>
        <v>41.94</v>
      </c>
      <c s="26" r="F1161">
        <f>G1161-E1161</f>
        <v>2.85192</v>
      </c>
      <c s="26" r="G1161">
        <f>E1161*H1161</f>
        <v>44.79192</v>
      </c>
      <c s="19" r="H1161">
        <v>1.068</v>
      </c>
    </row>
    <row r="1162">
      <c r="A1162">
        <v>691</v>
      </c>
      <c r="B1162">
        <v>2202</v>
      </c>
      <c t="s" r="C1162">
        <v>447</v>
      </c>
      <c r="E1162">
        <f>B1162*0.01</f>
        <v>22.02</v>
      </c>
      <c s="26" r="F1162">
        <f>G1162-E1162</f>
        <v>1.49736</v>
      </c>
      <c s="26" r="G1162">
        <f>E1162*H1162</f>
        <v>23.51736</v>
      </c>
      <c s="19" r="H1162">
        <v>1.068</v>
      </c>
    </row>
    <row r="1163">
      <c r="A1163">
        <v>692</v>
      </c>
      <c r="B1163">
        <v>2166</v>
      </c>
      <c t="s" r="C1163">
        <v>384</v>
      </c>
      <c r="E1163">
        <f>B1163*0.01</f>
        <v>21.66</v>
      </c>
      <c s="26" r="F1163">
        <f>G1163-E1163</f>
        <v>1.47288</v>
      </c>
      <c s="26" r="G1163">
        <f>E1163*H1163</f>
        <v>23.13288</v>
      </c>
      <c s="19" r="H1163">
        <v>1.068</v>
      </c>
    </row>
    <row r="1164">
      <c r="A1164">
        <v>693</v>
      </c>
      <c r="B1164">
        <v>1028</v>
      </c>
      <c t="s" r="C1164">
        <v>384</v>
      </c>
      <c r="E1164">
        <f>B1164*0.01</f>
        <v>10.28</v>
      </c>
      <c s="26" r="F1164">
        <f>G1164-E1164</f>
        <v>0.69904</v>
      </c>
      <c s="26" r="G1164">
        <f>E1164*H1164</f>
        <v>10.97904</v>
      </c>
      <c s="19" r="H1164">
        <v>1.068</v>
      </c>
    </row>
    <row r="1165">
      <c r="A1165">
        <v>693</v>
      </c>
      <c r="B1165">
        <v>632</v>
      </c>
      <c t="s" r="C1165">
        <v>447</v>
      </c>
      <c r="E1165">
        <f>B1165*0.01</f>
        <v>6.32</v>
      </c>
      <c s="26" r="F1165">
        <f>G1165-E1165</f>
        <v>0.429760000000001</v>
      </c>
      <c s="26" r="G1165">
        <f>E1165*H1165</f>
        <v>6.74976</v>
      </c>
      <c s="19" r="H1165">
        <v>1.068</v>
      </c>
    </row>
    <row r="1166">
      <c r="A1166">
        <v>694</v>
      </c>
      <c r="B1166">
        <v>1</v>
      </c>
      <c t="s" r="C1166">
        <v>647</v>
      </c>
      <c r="E1166">
        <v>0.3</v>
      </c>
      <c s="26" r="F1166">
        <f>G1166-E1166</f>
        <v>13.2</v>
      </c>
      <c s="26" r="G1166">
        <f>E1166*H1166</f>
        <v>13.5</v>
      </c>
      <c s="19" r="H1166">
        <v>45</v>
      </c>
    </row>
    <row r="1167">
      <c r="A1167">
        <v>694</v>
      </c>
      <c r="B1167">
        <v>1153</v>
      </c>
      <c t="s" r="C1167">
        <v>384</v>
      </c>
      <c r="E1167">
        <f>B1167*0.01</f>
        <v>11.53</v>
      </c>
      <c s="26" r="F1167">
        <f>G1167-E1167</f>
        <v>0.784040000000001</v>
      </c>
      <c s="26" r="G1167">
        <f>E1167*H1167</f>
        <v>12.31404</v>
      </c>
      <c s="19" r="H1167">
        <v>1.068</v>
      </c>
    </row>
    <row r="1168">
      <c r="A1168">
        <v>694</v>
      </c>
      <c r="B1168">
        <v>1886</v>
      </c>
      <c t="s" r="C1168">
        <v>447</v>
      </c>
      <c r="E1168">
        <f>B1168*0.01</f>
        <v>18.86</v>
      </c>
      <c s="26" r="F1168">
        <f>G1168-E1168</f>
        <v>1.28248</v>
      </c>
      <c s="26" r="G1168">
        <f>E1168*H1168</f>
        <v>20.14248</v>
      </c>
      <c s="19" r="H1168">
        <v>1.068</v>
      </c>
    </row>
    <row r="1169">
      <c r="A1169">
        <v>695</v>
      </c>
      <c r="B1169">
        <v>1</v>
      </c>
      <c t="s" r="C1169">
        <v>668</v>
      </c>
      <c r="E1169">
        <v>64.6</v>
      </c>
      <c s="26" r="F1169">
        <f>G1169-E1169</f>
        <v>24.548</v>
      </c>
      <c s="26" r="G1169">
        <f>E1169*H1169</f>
        <v>89.148</v>
      </c>
      <c s="19" r="H1169">
        <v>1.38</v>
      </c>
    </row>
    <row r="1170">
      <c r="A1170">
        <v>697</v>
      </c>
      <c r="B1170">
        <v>5</v>
      </c>
      <c t="s" r="C1170">
        <v>524</v>
      </c>
      <c r="E1170">
        <v>2</v>
      </c>
      <c s="26" r="F1170">
        <f>G1170-E1170</f>
        <v>0.2</v>
      </c>
      <c s="26" r="G1170">
        <f>E1170*H1170</f>
        <v>2.2</v>
      </c>
      <c s="19" r="H1170">
        <v>1.1</v>
      </c>
    </row>
    <row r="1171">
      <c r="A1171">
        <v>697</v>
      </c>
      <c r="B1171">
        <v>4</v>
      </c>
      <c t="s" r="C1171">
        <v>547</v>
      </c>
      <c r="E1171">
        <f>10*B1171</f>
        <v>40</v>
      </c>
      <c s="26" r="F1171">
        <f>G1171-E1171</f>
        <v>11.2</v>
      </c>
      <c s="26" r="G1171">
        <f>E1171*H1171</f>
        <v>51.2</v>
      </c>
      <c s="19" r="H1171">
        <v>1.28</v>
      </c>
    </row>
    <row r="1172">
      <c r="A1172">
        <v>698</v>
      </c>
      <c r="B1172">
        <v>1</v>
      </c>
      <c t="s" r="C1172">
        <v>666</v>
      </c>
      <c r="E1172">
        <v>17.85</v>
      </c>
      <c s="26" r="F1172">
        <f>G1172-E1172</f>
        <v>2.3205</v>
      </c>
      <c s="26" r="G1172">
        <f>E1172*H1172</f>
        <v>20.1705</v>
      </c>
      <c s="19" r="H1172">
        <v>1.13</v>
      </c>
    </row>
    <row r="1173">
      <c r="A1173">
        <v>698</v>
      </c>
      <c r="B1173">
        <v>3</v>
      </c>
      <c t="s" r="C1173">
        <v>665</v>
      </c>
      <c r="E1173">
        <f>0.01*B1173</f>
        <v>0.03</v>
      </c>
      <c s="26" r="F1173">
        <f>G1173-E1173</f>
        <v>0</v>
      </c>
      <c s="26" r="G1173">
        <f>E1173*H1173</f>
        <v>0.03</v>
      </c>
      <c s="19" r="H1173">
        <v>1</v>
      </c>
    </row>
    <row r="1174">
      <c r="A1174">
        <v>699</v>
      </c>
      <c r="B1174">
        <v>3</v>
      </c>
      <c t="s" r="C1174">
        <v>665</v>
      </c>
      <c r="E1174">
        <f>0.01*B1174</f>
        <v>0.03</v>
      </c>
      <c s="26" r="F1174">
        <f>G1174-E1174</f>
        <v>0</v>
      </c>
      <c s="26" r="G1174">
        <f>E1174*H1174</f>
        <v>0.03</v>
      </c>
      <c s="19" r="H1174">
        <v>1</v>
      </c>
    </row>
    <row r="1175">
      <c r="A1175">
        <v>700</v>
      </c>
      <c r="B1175">
        <v>11088</v>
      </c>
      <c t="s" r="C1175">
        <v>384</v>
      </c>
      <c r="E1175">
        <f>B1175*0.01</f>
        <v>110.88</v>
      </c>
      <c s="26" r="F1175">
        <f>G1175-E1175</f>
        <v>7.53984000000001</v>
      </c>
      <c s="26" r="G1175">
        <f>E1175*H1175</f>
        <v>118.41984</v>
      </c>
      <c s="19" r="H1175">
        <v>1.068</v>
      </c>
    </row>
    <row r="1176">
      <c r="A1176">
        <v>701</v>
      </c>
      <c r="B1176">
        <v>1245</v>
      </c>
      <c t="s" r="C1176">
        <v>384</v>
      </c>
      <c r="E1176">
        <f>B1176*0.01</f>
        <v>12.45</v>
      </c>
      <c s="26" r="F1176">
        <f>G1176-E1176</f>
        <v>0.8466</v>
      </c>
      <c s="26" r="G1176">
        <f>E1176*H1176</f>
        <v>13.2966</v>
      </c>
      <c s="19" r="H1176">
        <v>1.068</v>
      </c>
    </row>
    <row r="1177">
      <c r="A1177">
        <v>702</v>
      </c>
      <c r="B1177">
        <v>2476</v>
      </c>
      <c t="s" r="C1177">
        <v>384</v>
      </c>
      <c r="E1177">
        <f>B1177*0.01</f>
        <v>24.76</v>
      </c>
      <c s="26" r="F1177">
        <f>G1177-E1177</f>
        <v>1.68368</v>
      </c>
      <c s="26" r="G1177">
        <f>E1177*H1177</f>
        <v>26.44368</v>
      </c>
      <c s="19" r="H1177">
        <v>1.068</v>
      </c>
    </row>
    <row r="1178">
      <c r="A1178">
        <v>703</v>
      </c>
      <c r="B1178">
        <v>8</v>
      </c>
      <c t="s" r="C1178">
        <v>669</v>
      </c>
      <c r="E1178">
        <v>8.24</v>
      </c>
      <c s="26" r="F1178">
        <f>G1178-E1178</f>
        <v>0.824000000000002</v>
      </c>
      <c s="26" r="G1178">
        <f>E1178*H1178</f>
        <v>9.064</v>
      </c>
      <c s="19" r="H1178">
        <v>1.1</v>
      </c>
    </row>
    <row r="1179">
      <c r="A1179">
        <v>704</v>
      </c>
      <c r="B1179">
        <v>12364</v>
      </c>
      <c t="s" r="C1179">
        <v>384</v>
      </c>
      <c r="E1179">
        <f>B1179*0.01</f>
        <v>123.64</v>
      </c>
      <c s="26" r="F1179">
        <f>G1179-E1179</f>
        <v>8.40752000000002</v>
      </c>
      <c s="26" r="G1179">
        <f>E1179*H1179</f>
        <v>132.04752</v>
      </c>
      <c s="19" r="H1179">
        <v>1.068</v>
      </c>
    </row>
    <row r="1180">
      <c r="A1180">
        <v>704</v>
      </c>
      <c r="B1180">
        <v>26023</v>
      </c>
      <c t="s" r="C1180">
        <v>447</v>
      </c>
      <c r="E1180">
        <f>B1180*0.01</f>
        <v>260.23</v>
      </c>
      <c s="26" r="F1180">
        <f>G1180-E1180</f>
        <v>17.69564</v>
      </c>
      <c s="26" r="G1180">
        <f>E1180*H1180</f>
        <v>277.92564</v>
      </c>
      <c s="19" r="H1180">
        <v>1.068</v>
      </c>
    </row>
    <row r="1181">
      <c r="A1181">
        <v>705</v>
      </c>
      <c r="B1181">
        <v>22000</v>
      </c>
      <c t="s" r="C1181">
        <v>384</v>
      </c>
      <c r="E1181">
        <f>B1181*0.01</f>
        <v>220</v>
      </c>
      <c s="26" r="F1181">
        <f>G1181-E1181</f>
        <v>14.96</v>
      </c>
      <c s="26" r="G1181">
        <f>E1181*H1181</f>
        <v>234.96</v>
      </c>
      <c s="19" r="H1181">
        <v>1.068</v>
      </c>
    </row>
    <row r="1182">
      <c r="A1182">
        <v>705</v>
      </c>
      <c r="B1182">
        <v>3000</v>
      </c>
      <c t="s" r="C1182">
        <v>447</v>
      </c>
      <c r="E1182">
        <f>B1182*0.01</f>
        <v>30</v>
      </c>
      <c s="26" r="F1182">
        <f>G1182-E1182</f>
        <v>2.04</v>
      </c>
      <c s="26" r="G1182">
        <f>E1182*H1182</f>
        <v>32.04</v>
      </c>
      <c s="19" r="H1182">
        <v>1.068</v>
      </c>
    </row>
    <row r="1183">
      <c r="A1183">
        <v>706</v>
      </c>
      <c r="B1183">
        <v>1372</v>
      </c>
      <c t="s" r="C1183">
        <v>384</v>
      </c>
      <c r="E1183">
        <f>B1183*0.01</f>
        <v>13.72</v>
      </c>
      <c s="26" r="F1183">
        <f>G1183-E1183</f>
        <v>0.932960000000001</v>
      </c>
      <c s="26" r="G1183">
        <f>E1183*H1183</f>
        <v>14.65296</v>
      </c>
      <c s="19" r="H1183">
        <v>1.068</v>
      </c>
    </row>
    <row r="1184">
      <c r="A1184">
        <v>706</v>
      </c>
      <c r="B1184">
        <v>307</v>
      </c>
      <c t="s" r="C1184">
        <v>447</v>
      </c>
      <c r="E1184">
        <f>B1184*0.01</f>
        <v>3.07</v>
      </c>
      <c s="26" r="F1184">
        <f>G1184-E1184</f>
        <v>0.20876</v>
      </c>
      <c s="26" r="G1184">
        <f>E1184*H1184</f>
        <v>3.27876</v>
      </c>
      <c s="19" r="H1184">
        <v>1.068</v>
      </c>
    </row>
    <row r="1185">
      <c r="A1185">
        <v>706</v>
      </c>
      <c r="B1185">
        <v>5</v>
      </c>
      <c t="s" r="C1185">
        <v>374</v>
      </c>
      <c r="E1185">
        <v>4</v>
      </c>
      <c s="26" r="F1185">
        <f>G1185-E1185</f>
        <v>6</v>
      </c>
      <c s="26" r="G1185">
        <f>E1185*H1185</f>
        <v>10</v>
      </c>
      <c s="19" r="H1185">
        <v>2.5</v>
      </c>
    </row>
    <row r="1186">
      <c r="A1186">
        <v>707</v>
      </c>
      <c r="B1186">
        <v>4</v>
      </c>
      <c t="s" r="C1186">
        <v>375</v>
      </c>
      <c r="E1186">
        <v>3.2</v>
      </c>
      <c s="26" r="F1186">
        <f>G1186-E1186</f>
        <v>4.8</v>
      </c>
      <c s="26" r="G1186">
        <f>E1186*H1186</f>
        <v>8</v>
      </c>
      <c s="19" r="H1186">
        <v>2.5</v>
      </c>
    </row>
    <row r="1187">
      <c r="A1187">
        <v>707</v>
      </c>
      <c r="B1187">
        <v>694</v>
      </c>
      <c t="s" r="C1187">
        <v>384</v>
      </c>
      <c r="E1187">
        <f>B1187*0.01</f>
        <v>6.94</v>
      </c>
      <c s="26" r="F1187">
        <f>G1187-E1187</f>
        <v>0.451099999999999</v>
      </c>
      <c s="26" r="G1187">
        <f>E1187*H1187</f>
        <v>7.3911</v>
      </c>
      <c s="19" r="H1187">
        <v>1.065</v>
      </c>
    </row>
    <row r="1188">
      <c r="A1188">
        <v>707</v>
      </c>
      <c r="B1188">
        <v>55</v>
      </c>
      <c t="s" r="C1188">
        <v>447</v>
      </c>
      <c r="E1188">
        <f>B1188*0.01</f>
        <v>0.55</v>
      </c>
      <c s="26" r="F1188">
        <f>G1188-E1188</f>
        <v>0.03575</v>
      </c>
      <c s="26" r="G1188">
        <f>E1188*H1188</f>
        <v>0.58575</v>
      </c>
      <c s="19" r="H1188">
        <v>1.065</v>
      </c>
    </row>
    <row r="1189">
      <c r="A1189">
        <v>708</v>
      </c>
      <c r="B1189">
        <v>950</v>
      </c>
      <c t="s" r="C1189">
        <v>384</v>
      </c>
      <c r="E1189">
        <f>B1189*0.01</f>
        <v>9.5</v>
      </c>
      <c s="26" r="F1189">
        <f>G1189-E1189</f>
        <v>0.646000000000001</v>
      </c>
      <c s="26" r="G1189">
        <f>E1189*H1189</f>
        <v>10.146</v>
      </c>
      <c s="19" r="H1189">
        <v>1.068</v>
      </c>
    </row>
    <row r="1190">
      <c r="A1190">
        <v>708</v>
      </c>
      <c r="B1190">
        <v>308</v>
      </c>
      <c t="s" r="C1190">
        <v>447</v>
      </c>
      <c r="E1190">
        <f>B1190*0.01</f>
        <v>3.08</v>
      </c>
      <c s="26" r="F1190">
        <f>G1190-E1190</f>
        <v>0.2002</v>
      </c>
      <c s="26" r="G1190">
        <f>E1190*H1190</f>
        <v>3.2802</v>
      </c>
      <c s="19" r="H1190">
        <v>1.065</v>
      </c>
    </row>
    <row r="1191">
      <c r="A1191">
        <v>708</v>
      </c>
      <c r="B1191">
        <v>8</v>
      </c>
      <c t="s" r="C1191">
        <v>376</v>
      </c>
      <c r="E1191">
        <v>6.4</v>
      </c>
      <c s="26" r="F1191">
        <f>G1191-E1191</f>
        <v>9.6</v>
      </c>
      <c s="26" r="G1191">
        <f>E1191*H1191</f>
        <v>16</v>
      </c>
      <c s="19" r="H1191">
        <v>2.5</v>
      </c>
    </row>
    <row r="1192">
      <c r="A1192">
        <v>709</v>
      </c>
      <c r="B1192">
        <f>4046+1430</f>
        <v>5476</v>
      </c>
      <c t="s" r="C1192">
        <v>384</v>
      </c>
      <c r="E1192">
        <f>B1192*0.01</f>
        <v>54.76</v>
      </c>
      <c s="26" r="F1192">
        <f>G1192-E1192</f>
        <v>3.5594</v>
      </c>
      <c s="26" r="G1192">
        <f>E1192*H1192</f>
        <v>58.3194</v>
      </c>
      <c s="19" r="H1192">
        <v>1.065</v>
      </c>
    </row>
    <row r="1193">
      <c r="A1193">
        <v>709</v>
      </c>
      <c r="B1193">
        <f>15295+267</f>
        <v>15562</v>
      </c>
      <c t="s" r="C1193">
        <v>447</v>
      </c>
      <c r="E1193">
        <f>B1193*0.01</f>
        <v>155.62</v>
      </c>
      <c s="26" r="F1193">
        <f>G1193-E1193</f>
        <v>10.03749</v>
      </c>
      <c s="26" r="G1193">
        <f>E1193*H1193</f>
        <v>165.65749</v>
      </c>
      <c s="19" r="H1193">
        <v>1.0645</v>
      </c>
    </row>
    <row r="1194">
      <c r="A1194">
        <v>709</v>
      </c>
      <c r="B1194">
        <v>19</v>
      </c>
      <c t="s" r="C1194">
        <v>377</v>
      </c>
      <c r="E1194">
        <v>24</v>
      </c>
      <c s="26" r="F1194">
        <f>G1194-E1194</f>
        <v>294</v>
      </c>
      <c s="26" r="G1194">
        <f>E1194*H1194</f>
        <v>318</v>
      </c>
      <c s="19" r="H1194">
        <v>13.25</v>
      </c>
    </row>
    <row r="1195">
      <c r="A1195">
        <v>713</v>
      </c>
      <c r="B1195">
        <v>1</v>
      </c>
      <c t="s" r="C1195">
        <v>658</v>
      </c>
      <c r="E1195">
        <v>188.99</v>
      </c>
      <c s="26" r="F1195">
        <f>G1195-E1195</f>
        <v>20.996789</v>
      </c>
      <c s="26" r="G1195">
        <f>E1195*H1195</f>
        <v>209.986789</v>
      </c>
      <c s="19" r="H1195">
        <v>1.1111</v>
      </c>
    </row>
    <row r="1196">
      <c r="A1196">
        <v>714</v>
      </c>
      <c r="B1196">
        <v>2</v>
      </c>
      <c t="s" r="C1196">
        <v>660</v>
      </c>
      <c r="E1196">
        <f>5*B1196</f>
        <v>10</v>
      </c>
      <c s="26" r="F1196">
        <f>G1196-E1196</f>
        <v>1.25</v>
      </c>
      <c s="26" r="G1196">
        <f>E1196*H1196</f>
        <v>11.25</v>
      </c>
      <c s="19" r="H1196">
        <v>1.125</v>
      </c>
    </row>
    <row r="1197">
      <c r="A1197">
        <v>714</v>
      </c>
      <c r="B1197">
        <v>3</v>
      </c>
      <c t="s" r="C1197">
        <v>670</v>
      </c>
      <c r="E1197">
        <f>0.5*B1197</f>
        <v>1.5</v>
      </c>
      <c s="26" r="F1197">
        <f>G1197-E1197</f>
        <v>6.75</v>
      </c>
      <c s="26" r="G1197">
        <f>E1197*H1197</f>
        <v>8.25</v>
      </c>
      <c s="19" r="H1197">
        <v>5.5</v>
      </c>
    </row>
    <row r="1198">
      <c r="A1198">
        <v>713</v>
      </c>
      <c r="B1198">
        <v>6</v>
      </c>
      <c t="s" r="C1198">
        <v>665</v>
      </c>
      <c r="E1198">
        <f>0.01*B1198</f>
        <v>0.06</v>
      </c>
      <c s="26" r="F1198">
        <f>G1198-E1198</f>
        <v>0</v>
      </c>
      <c s="26" r="G1198">
        <f>E1198*H1198</f>
        <v>0.06</v>
      </c>
      <c s="19" r="H1198">
        <v>1</v>
      </c>
    </row>
    <row r="1199">
      <c r="A1199">
        <v>715</v>
      </c>
      <c r="B1199">
        <v>7</v>
      </c>
      <c t="s" r="C1199">
        <v>665</v>
      </c>
      <c r="E1199">
        <f>0.01*B1199</f>
        <v>0.07</v>
      </c>
      <c s="26" r="F1199">
        <f>G1199-E1199</f>
        <v>0</v>
      </c>
      <c s="26" r="G1199">
        <f>E1199*H1199</f>
        <v>0.07</v>
      </c>
      <c s="19" r="H1199">
        <v>1</v>
      </c>
    </row>
    <row r="1200">
      <c r="A1200">
        <v>716</v>
      </c>
      <c r="B1200">
        <v>661</v>
      </c>
      <c t="s" r="C1200">
        <v>56</v>
      </c>
      <c r="E1200">
        <f>0.30*B1200</f>
        <v>198.3</v>
      </c>
      <c s="26" r="F1200">
        <f>G1200-E1200</f>
        <v>16.16145</v>
      </c>
      <c s="26" r="G1200">
        <f>E1200*H1200</f>
        <v>214.46145</v>
      </c>
      <c s="19" r="H1200">
        <v>1.0815</v>
      </c>
    </row>
    <row r="1201">
      <c r="A1201">
        <v>717</v>
      </c>
      <c r="B1201">
        <v>74</v>
      </c>
      <c t="s" r="C1201">
        <v>384</v>
      </c>
      <c r="E1201">
        <f>B1201*0.01</f>
        <v>0.74</v>
      </c>
      <c s="26" r="F1201">
        <f>G1201-E1201</f>
        <v>0.0481</v>
      </c>
      <c s="26" r="G1201">
        <f>E1201*H1201</f>
        <v>0.7881</v>
      </c>
      <c s="19" r="H1201">
        <v>1.065</v>
      </c>
    </row>
    <row r="1202">
      <c r="A1202">
        <v>717</v>
      </c>
      <c r="B1202">
        <v>3769</v>
      </c>
      <c t="s" r="C1202">
        <v>447</v>
      </c>
      <c r="E1202">
        <f>B1202*0.01</f>
        <v>37.69</v>
      </c>
      <c s="26" r="F1202">
        <f>G1202-E1202</f>
        <v>2.431005</v>
      </c>
      <c s="26" r="G1202">
        <f>E1202*H1202</f>
        <v>40.121005</v>
      </c>
      <c s="19" r="H1202">
        <v>1.0645</v>
      </c>
    </row>
    <row r="1203">
      <c r="A1203">
        <v>718</v>
      </c>
      <c r="B1203">
        <v>562</v>
      </c>
      <c t="s" r="C1203">
        <v>384</v>
      </c>
      <c r="E1203">
        <f>B1203*0.01</f>
        <v>5.62</v>
      </c>
      <c s="26" r="F1203">
        <f>G1203-E1203</f>
        <v>0.3653</v>
      </c>
      <c s="26" r="G1203">
        <f>E1203*H1203</f>
        <v>5.9853</v>
      </c>
      <c s="19" r="H1203">
        <v>1.065</v>
      </c>
    </row>
    <row r="1204">
      <c r="A1204">
        <v>718</v>
      </c>
      <c r="B1204">
        <v>798</v>
      </c>
      <c t="s" r="C1204">
        <v>447</v>
      </c>
      <c r="E1204">
        <f>B1204*0.01</f>
        <v>7.98</v>
      </c>
      <c s="26" r="F1204">
        <f>G1204-E1204</f>
        <v>0.514710000000001</v>
      </c>
      <c s="26" r="G1204">
        <f>E1204*H1204</f>
        <v>8.49471</v>
      </c>
      <c s="19" r="H1204">
        <v>1.0645</v>
      </c>
    </row>
    <row r="1205">
      <c r="A1205">
        <v>719</v>
      </c>
      <c r="B1205">
        <v>898</v>
      </c>
      <c t="s" r="C1205">
        <v>384</v>
      </c>
      <c r="E1205">
        <f>B1205*0.01</f>
        <v>8.98</v>
      </c>
      <c s="26" r="F1205">
        <f>G1205-E1205</f>
        <v>0.5837</v>
      </c>
      <c s="26" r="G1205">
        <f>E1205*H1205</f>
        <v>9.5637</v>
      </c>
      <c s="19" r="H1205">
        <v>1.065</v>
      </c>
    </row>
    <row r="1206">
      <c r="A1206">
        <v>719</v>
      </c>
      <c r="B1206">
        <v>1728</v>
      </c>
      <c t="s" r="C1206">
        <v>447</v>
      </c>
      <c r="E1206">
        <f>B1206*0.01</f>
        <v>17.28</v>
      </c>
      <c s="26" r="F1206">
        <f>G1206-E1206</f>
        <v>1.11456</v>
      </c>
      <c s="26" r="G1206">
        <f>E1206*H1206</f>
        <v>18.39456</v>
      </c>
      <c s="19" r="H1206">
        <v>1.0645</v>
      </c>
    </row>
    <row r="1207">
      <c r="A1207">
        <v>720</v>
      </c>
      <c r="B1207">
        <v>8</v>
      </c>
      <c t="s" r="C1207">
        <v>670</v>
      </c>
      <c r="E1207">
        <f>0.5*B1207</f>
        <v>4</v>
      </c>
      <c s="26" r="F1207">
        <f>G1207-E1207</f>
        <v>18</v>
      </c>
      <c s="26" r="G1207">
        <f>E1207*H1207</f>
        <v>22</v>
      </c>
      <c s="19" r="H1207">
        <v>5.5</v>
      </c>
    </row>
    <row r="1208">
      <c r="A1208">
        <v>720</v>
      </c>
      <c r="B1208">
        <v>2</v>
      </c>
      <c t="s" r="C1208">
        <v>524</v>
      </c>
      <c r="E1208">
        <v>2</v>
      </c>
      <c s="26" r="F1208">
        <f>G1208-E1208</f>
        <v>0.2</v>
      </c>
      <c s="26" r="G1208">
        <f>E1208*H1208</f>
        <v>2.2</v>
      </c>
      <c s="19" r="H1208">
        <v>1.1</v>
      </c>
    </row>
    <row r="1209">
      <c r="A1209">
        <v>721</v>
      </c>
      <c r="B1209">
        <v>56</v>
      </c>
      <c t="s" r="C1209">
        <v>490</v>
      </c>
      <c r="E1209">
        <v>6.89</v>
      </c>
      <c s="26" r="F1209">
        <f>G1209-E1209</f>
        <v>0.689000000000001</v>
      </c>
      <c s="26" r="G1209">
        <f>E1209*H1209</f>
        <v>7.579</v>
      </c>
      <c s="19" r="H1209">
        <v>1.1</v>
      </c>
    </row>
    <row r="1210">
      <c r="A1210">
        <v>722</v>
      </c>
      <c r="B1210">
        <v>8</v>
      </c>
      <c t="s" r="C1210">
        <v>665</v>
      </c>
      <c r="E1210">
        <f>0.01*B1210</f>
        <v>0.08</v>
      </c>
      <c s="26" r="F1210">
        <f>G1210-E1210</f>
        <v>0</v>
      </c>
      <c s="26" r="G1210">
        <f>E1210*H1210</f>
        <v>0.08</v>
      </c>
      <c s="19" r="H1210">
        <v>1</v>
      </c>
    </row>
    <row r="1211">
      <c r="A1211">
        <v>722</v>
      </c>
      <c r="B1211">
        <v>1</v>
      </c>
      <c t="s" r="C1211">
        <v>638</v>
      </c>
      <c r="E1211">
        <v>67</v>
      </c>
      <c s="26" r="F1211">
        <f>G1211-E1211</f>
        <v>15.41</v>
      </c>
      <c s="26" r="G1211">
        <f>E1211*H1211</f>
        <v>82.41</v>
      </c>
      <c s="19" r="H1211">
        <v>1.23</v>
      </c>
    </row>
    <row r="1212">
      <c r="A1212">
        <v>723</v>
      </c>
      <c r="B1212">
        <v>16</v>
      </c>
      <c t="s" r="C1212">
        <v>362</v>
      </c>
      <c r="D1212">
        <v>0.8</v>
      </c>
      <c r="E1212">
        <f>D1212*B1212</f>
        <v>12.8</v>
      </c>
      <c s="26" r="F1212">
        <f>G1212-E1212</f>
        <v>26.88</v>
      </c>
      <c s="26" r="G1212">
        <f>E1212*H1212</f>
        <v>39.68</v>
      </c>
      <c s="19" r="H1212">
        <v>3.1</v>
      </c>
    </row>
    <row r="1213">
      <c r="A1213">
        <v>723</v>
      </c>
      <c r="B1213">
        <v>4851</v>
      </c>
      <c t="s" r="C1213">
        <v>384</v>
      </c>
      <c r="D1213">
        <v>0.01</v>
      </c>
      <c r="E1213">
        <f>D1213*B1213</f>
        <v>48.51</v>
      </c>
      <c s="26" r="F1213">
        <f>G1213-E1213</f>
        <v>3.15315</v>
      </c>
      <c s="26" r="G1213">
        <f>E1213*H1213</f>
        <v>51.66315</v>
      </c>
      <c s="19" r="H1213">
        <v>1.065</v>
      </c>
    </row>
    <row r="1214">
      <c r="A1214">
        <v>724</v>
      </c>
      <c r="B1214">
        <v>22</v>
      </c>
      <c t="s" r="C1214">
        <v>353</v>
      </c>
      <c r="D1214">
        <v>0.8</v>
      </c>
      <c r="E1214">
        <f>D1214*B1214</f>
        <v>17.6</v>
      </c>
      <c s="26" r="F1214">
        <f>G1214-E1214</f>
        <v>36.96</v>
      </c>
      <c s="26" r="G1214">
        <f>E1214*H1214</f>
        <v>54.56</v>
      </c>
      <c s="19" r="H1214">
        <v>3.1</v>
      </c>
    </row>
    <row r="1215">
      <c r="A1215">
        <v>724</v>
      </c>
      <c r="B1215">
        <v>12874</v>
      </c>
      <c t="s" r="C1215">
        <v>384</v>
      </c>
      <c r="D1215">
        <v>0.01</v>
      </c>
      <c r="E1215">
        <f>D1215*B1215</f>
        <v>128.74</v>
      </c>
      <c s="26" r="F1215">
        <f>G1215-E1215</f>
        <v>8.3681</v>
      </c>
      <c s="26" r="G1215">
        <f>E1215*H1215</f>
        <v>137.1081</v>
      </c>
      <c s="19" r="H1215">
        <v>1.065</v>
      </c>
    </row>
    <row r="1216">
      <c r="A1216">
        <v>725</v>
      </c>
      <c r="B1216">
        <v>19</v>
      </c>
      <c t="s" r="C1216">
        <v>366</v>
      </c>
      <c r="D1216">
        <v>0.8</v>
      </c>
      <c r="E1216">
        <f>D1216*B1216</f>
        <v>15.2</v>
      </c>
      <c s="26" r="F1216">
        <f>G1216-E1216</f>
        <v>33.44</v>
      </c>
      <c s="26" r="G1216">
        <f>E1216*H1216</f>
        <v>48.64</v>
      </c>
      <c s="19" r="H1216">
        <v>3.2</v>
      </c>
    </row>
    <row r="1217">
      <c r="A1217">
        <v>725</v>
      </c>
      <c r="B1217">
        <v>4681</v>
      </c>
      <c t="s" r="C1217">
        <v>384</v>
      </c>
      <c r="D1217">
        <v>0.01</v>
      </c>
      <c r="E1217">
        <f>D1217*B1217</f>
        <v>46.81</v>
      </c>
      <c s="26" r="F1217">
        <f>G1217-E1217</f>
        <v>3.18308</v>
      </c>
      <c s="26" r="G1217">
        <f>E1217*H1217</f>
        <v>49.99308</v>
      </c>
      <c s="19" r="H1217">
        <v>1.068</v>
      </c>
    </row>
    <row r="1218">
      <c r="A1218">
        <v>726</v>
      </c>
      <c r="B1218">
        <v>1525</v>
      </c>
      <c t="s" r="C1218">
        <v>384</v>
      </c>
      <c r="D1218">
        <v>0.01</v>
      </c>
      <c r="E1218">
        <f>D1218*B1218</f>
        <v>15.25</v>
      </c>
      <c s="26" r="F1218">
        <f>G1218-E1218</f>
        <v>0.991250000000001</v>
      </c>
      <c s="26" r="G1218">
        <f>E1218*H1218</f>
        <v>16.24125</v>
      </c>
      <c s="19" r="H1218">
        <v>1.065</v>
      </c>
    </row>
    <row r="1219">
      <c r="A1219">
        <v>726</v>
      </c>
      <c r="B1219">
        <v>758</v>
      </c>
      <c t="s" r="C1219">
        <v>447</v>
      </c>
      <c r="D1219">
        <v>0.01</v>
      </c>
      <c r="E1219">
        <f>D1219*B1219</f>
        <v>7.58</v>
      </c>
      <c s="26" r="F1219">
        <f>G1219-E1219</f>
        <v>0.488910000000001</v>
      </c>
      <c s="26" r="G1219">
        <f>E1219*H1219</f>
        <v>8.06891</v>
      </c>
      <c s="19" r="H1219">
        <v>1.0645</v>
      </c>
    </row>
    <row r="1220">
      <c r="A1220">
        <v>727</v>
      </c>
      <c r="B1220">
        <v>2094</v>
      </c>
      <c t="s" r="C1220">
        <v>384</v>
      </c>
      <c r="D1220">
        <v>0.01</v>
      </c>
      <c r="E1220">
        <f>D1220*B1220</f>
        <v>20.94</v>
      </c>
      <c s="26" r="F1220">
        <f>G1220-E1220</f>
        <v>1.3611</v>
      </c>
      <c s="26" r="G1220">
        <f>E1220*H1220</f>
        <v>22.3011</v>
      </c>
      <c s="19" r="H1220">
        <v>1.065</v>
      </c>
    </row>
    <row r="1221">
      <c r="A1221">
        <v>727</v>
      </c>
      <c r="B1221">
        <v>2869</v>
      </c>
      <c t="s" r="C1221">
        <v>447</v>
      </c>
      <c r="D1221">
        <v>0.01</v>
      </c>
      <c r="E1221">
        <f>D1221*B1221</f>
        <v>28.69</v>
      </c>
      <c s="26" r="F1221">
        <f>G1221-E1221</f>
        <v>1.850505</v>
      </c>
      <c s="26" r="G1221">
        <f>E1221*H1221</f>
        <v>30.540505</v>
      </c>
      <c s="19" r="H1221">
        <v>1.0645</v>
      </c>
    </row>
    <row r="1222">
      <c r="A1222">
        <v>727</v>
      </c>
      <c r="B1222">
        <v>144</v>
      </c>
      <c t="s" r="C1222">
        <v>671</v>
      </c>
      <c r="D1222">
        <v>0.01</v>
      </c>
      <c r="E1222">
        <f>D1222*B1222</f>
        <v>1.44</v>
      </c>
      <c s="26" r="F1222">
        <f>G1222-E1222</f>
        <v>15.84</v>
      </c>
      <c s="26" r="G1222">
        <f>E1222*H1222</f>
        <v>17.28</v>
      </c>
      <c s="19" r="H1222">
        <v>12</v>
      </c>
    </row>
    <row r="1223">
      <c r="A1223">
        <v>717</v>
      </c>
      <c r="B1223">
        <v>4</v>
      </c>
      <c t="s" r="C1223">
        <v>672</v>
      </c>
      <c r="D1223">
        <v>160</v>
      </c>
      <c r="E1223">
        <f>D1223*B1223</f>
        <v>640</v>
      </c>
      <c s="26" r="F1223">
        <f>G1223-E1223</f>
        <v>0</v>
      </c>
      <c s="26" r="G1223">
        <f>E1223*H1223</f>
        <v>640</v>
      </c>
      <c s="19" r="H1223">
        <v>1</v>
      </c>
    </row>
    <row r="1224">
      <c r="A1224">
        <v>727</v>
      </c>
      <c r="B1224">
        <v>2</v>
      </c>
      <c t="s" r="C1224">
        <v>672</v>
      </c>
      <c r="D1224">
        <v>160</v>
      </c>
      <c r="E1224">
        <f>D1224*B1224</f>
        <v>320</v>
      </c>
      <c s="26" r="F1224">
        <f>G1224-E1224</f>
        <v>35.2</v>
      </c>
      <c s="26" r="G1224">
        <f>E1224*H1224</f>
        <v>355.2</v>
      </c>
      <c s="19" r="H1224">
        <v>1.11</v>
      </c>
    </row>
    <row r="1225">
      <c r="A1225">
        <v>728</v>
      </c>
      <c r="B1225">
        <v>931</v>
      </c>
      <c t="s" r="C1225">
        <v>573</v>
      </c>
      <c r="D1225">
        <v>0.02</v>
      </c>
      <c r="E1225">
        <f>D1225*B1225</f>
        <v>18.62</v>
      </c>
      <c s="26" r="F1225">
        <f>G1225-E1225</f>
        <v>2.6068</v>
      </c>
      <c s="26" r="G1225">
        <f>E1225*H1225</f>
        <v>21.2268</v>
      </c>
      <c s="19" r="H1225">
        <v>1.14</v>
      </c>
    </row>
    <row r="1226">
      <c r="A1226">
        <v>728</v>
      </c>
      <c r="B1226">
        <v>134</v>
      </c>
      <c t="s" r="C1226">
        <v>576</v>
      </c>
      <c r="D1226">
        <v>0.15</v>
      </c>
      <c r="E1226">
        <f>D1226*B1226</f>
        <v>20.1</v>
      </c>
      <c s="26" r="F1226">
        <f>G1226-E1226</f>
        <v>7.035</v>
      </c>
      <c s="26" r="G1226">
        <f>E1226*H1226</f>
        <v>27.135</v>
      </c>
      <c s="19" r="H1226">
        <v>1.35</v>
      </c>
    </row>
    <row r="1227">
      <c r="A1227">
        <v>728</v>
      </c>
      <c r="B1227">
        <v>763</v>
      </c>
      <c t="s" r="C1227">
        <v>653</v>
      </c>
      <c r="D1227">
        <v>0.1</v>
      </c>
      <c r="E1227">
        <f>D1227*B1227</f>
        <v>76.3</v>
      </c>
      <c s="26" r="F1227">
        <f>G1227-E1227</f>
        <v>6.4855</v>
      </c>
      <c s="26" r="G1227">
        <f>E1227*H1227</f>
        <v>82.7855</v>
      </c>
      <c s="19" r="H1227">
        <v>1.085</v>
      </c>
    </row>
    <row r="1228">
      <c r="A1228">
        <v>728</v>
      </c>
      <c r="B1228">
        <v>145</v>
      </c>
      <c t="s" r="C1228">
        <v>654</v>
      </c>
      <c r="D1228">
        <v>0.25</v>
      </c>
      <c r="E1228">
        <f>D1228*B1228</f>
        <v>36.25</v>
      </c>
      <c s="26" r="F1228">
        <f>G1228-E1228</f>
        <v>22.65625</v>
      </c>
      <c s="26" r="G1228">
        <f>E1228*H1228</f>
        <v>58.90625</v>
      </c>
      <c s="19" r="H1228">
        <v>1.625</v>
      </c>
    </row>
    <row r="1229">
      <c r="A1229">
        <v>728</v>
      </c>
      <c r="B1229">
        <f>(76*3)+55</f>
        <v>283</v>
      </c>
      <c t="s" r="C1229">
        <v>593</v>
      </c>
      <c r="D1229">
        <v>0.25</v>
      </c>
      <c r="E1229">
        <f>D1229*B1229</f>
        <v>70.75</v>
      </c>
      <c s="26" r="F1229">
        <f>G1229-E1229</f>
        <v>17.6875</v>
      </c>
      <c s="26" r="G1229">
        <f>E1229*H1229</f>
        <v>88.4375</v>
      </c>
      <c s="19" r="H1229">
        <v>1.25</v>
      </c>
    </row>
    <row r="1230">
      <c r="A1230">
        <v>728</v>
      </c>
      <c r="B1230">
        <v>98</v>
      </c>
      <c t="s" r="C1230">
        <v>432</v>
      </c>
      <c r="D1230">
        <v>0.8</v>
      </c>
      <c r="E1230">
        <f>D1230*B1230</f>
        <v>78.4</v>
      </c>
      <c s="26" r="F1230">
        <f>G1230-E1230</f>
        <v>14.112</v>
      </c>
      <c s="26" r="G1230">
        <f>E1230*H1230</f>
        <v>92.512</v>
      </c>
      <c s="19" r="H1230">
        <v>1.18</v>
      </c>
    </row>
    <row r="1231">
      <c r="A1231">
        <v>728</v>
      </c>
      <c r="B1231">
        <v>154</v>
      </c>
      <c t="s" r="C1231">
        <v>656</v>
      </c>
      <c r="D1231">
        <v>0.39</v>
      </c>
      <c r="E1231">
        <f>D1231*B1231</f>
        <v>60.06</v>
      </c>
      <c s="26" r="F1231">
        <f>G1231-E1231</f>
        <v>4.41440999999999</v>
      </c>
      <c s="26" r="G1231">
        <f>E1231*H1231</f>
        <v>64.47441</v>
      </c>
      <c s="19" r="H1231">
        <v>1.0735</v>
      </c>
    </row>
    <row r="1232">
      <c r="A1232">
        <v>728</v>
      </c>
      <c r="B1232">
        <v>6</v>
      </c>
      <c t="s" r="C1232">
        <v>657</v>
      </c>
      <c r="D1232">
        <v>2.2</v>
      </c>
      <c r="E1232">
        <f>D1232*B1232</f>
        <v>13.2</v>
      </c>
      <c s="26" r="F1232">
        <f>G1232-E1232</f>
        <v>13.8006</v>
      </c>
      <c s="26" r="G1232">
        <f>E1232*H1232</f>
        <v>27.0006</v>
      </c>
      <c s="19" r="H1232">
        <v>2.0455</v>
      </c>
    </row>
    <row r="1233">
      <c r="A1233">
        <v>728</v>
      </c>
      <c r="B1233">
        <f>(490*2)+1</f>
        <v>981</v>
      </c>
      <c t="s" r="C1233">
        <v>538</v>
      </c>
      <c r="D1233">
        <v>0.01</v>
      </c>
      <c r="E1233">
        <f>D1233*B1233</f>
        <v>9.81</v>
      </c>
      <c s="26" r="F1233">
        <f>G1233-E1233</f>
        <v>0.196200000000001</v>
      </c>
      <c s="26" r="G1233">
        <f>E1233*H1233</f>
        <v>10.0062</v>
      </c>
      <c s="19" r="H1233">
        <v>1.02</v>
      </c>
    </row>
    <row r="1234">
      <c r="A1234">
        <v>730</v>
      </c>
      <c r="B1234">
        <v>3</v>
      </c>
      <c t="s" r="C1234">
        <v>665</v>
      </c>
      <c r="D1234">
        <v>0.01</v>
      </c>
      <c r="E1234">
        <f>D1234*B1234</f>
        <v>0.03</v>
      </c>
      <c s="26" r="F1234">
        <f>G1234-E1234</f>
        <v>0</v>
      </c>
      <c s="26" r="G1234">
        <f>E1234*H1234</f>
        <v>0.03</v>
      </c>
      <c s="19" r="H1234">
        <v>1</v>
      </c>
    </row>
    <row r="1235">
      <c r="A1235">
        <v>731</v>
      </c>
      <c r="B1235">
        <v>890</v>
      </c>
      <c t="s" r="C1235">
        <v>139</v>
      </c>
      <c r="D1235">
        <v>0.4</v>
      </c>
      <c r="E1235">
        <f>D1235*B1235</f>
        <v>356</v>
      </c>
      <c s="26" r="F1235">
        <f>G1235-E1235</f>
        <v>21.004</v>
      </c>
      <c s="26" r="G1235">
        <f>E1235*H1235</f>
        <v>377.004</v>
      </c>
      <c s="19" r="H1235">
        <v>1.059</v>
      </c>
    </row>
    <row r="1236">
      <c r="A1236">
        <v>732</v>
      </c>
      <c r="B1236">
        <v>56189</v>
      </c>
      <c t="s" r="C1236">
        <v>384</v>
      </c>
      <c r="D1236">
        <v>0.01</v>
      </c>
      <c r="E1236">
        <f>D1236*B1236</f>
        <v>561.89</v>
      </c>
      <c s="26" r="F1236">
        <f>G1236-E1236</f>
        <v>36.52285</v>
      </c>
      <c s="26" r="G1236">
        <f>E1236*H1236</f>
        <v>598.41285</v>
      </c>
      <c s="19" r="H1236">
        <v>1.065</v>
      </c>
    </row>
    <row r="1237">
      <c r="A1237">
        <v>732</v>
      </c>
      <c r="B1237">
        <v>35657</v>
      </c>
      <c t="s" r="C1237">
        <v>447</v>
      </c>
      <c r="D1237">
        <v>0.01</v>
      </c>
      <c r="E1237">
        <f>D1237*B1237</f>
        <v>356.57</v>
      </c>
      <c s="26" r="F1237">
        <f>G1237-E1237</f>
        <v>22.998765</v>
      </c>
      <c s="26" r="G1237">
        <f>E1237*H1237</f>
        <v>379.568765</v>
      </c>
      <c s="19" r="H1237">
        <v>1.0645</v>
      </c>
    </row>
    <row r="1238">
      <c r="A1238">
        <v>732</v>
      </c>
      <c r="B1238">
        <v>9</v>
      </c>
      <c t="s" r="C1238">
        <v>620</v>
      </c>
      <c r="D1238">
        <v>150</v>
      </c>
      <c r="E1238">
        <f>D1238*B1238</f>
        <v>1350</v>
      </c>
      <c s="26" r="F1238">
        <f>G1238-E1238</f>
        <v>0</v>
      </c>
      <c s="26" r="G1238">
        <f>E1238*H1238</f>
        <v>1350</v>
      </c>
      <c s="19" r="H1238">
        <v>1</v>
      </c>
    </row>
    <row r="1239">
      <c r="A1239">
        <v>732</v>
      </c>
      <c r="B1239">
        <v>1</v>
      </c>
      <c t="s" r="C1239">
        <v>673</v>
      </c>
      <c r="D1239">
        <v>500</v>
      </c>
      <c r="E1239">
        <f>D1239*B1239</f>
        <v>500</v>
      </c>
      <c s="26" r="F1239">
        <f>G1239-E1239</f>
        <v>0</v>
      </c>
      <c s="26" r="G1239">
        <f>E1239*H1239</f>
        <v>500</v>
      </c>
      <c s="19" r="H1239">
        <v>1</v>
      </c>
    </row>
    <row r="1240">
      <c r="A1240">
        <v>732</v>
      </c>
      <c r="B1240">
        <v>144511</v>
      </c>
      <c t="s" r="C1240">
        <v>519</v>
      </c>
      <c r="D1240">
        <v>0.01</v>
      </c>
      <c r="E1240">
        <f>D1240*B1240</f>
        <v>1445.11</v>
      </c>
      <c s="26" r="F1240">
        <f>G1240-E1240</f>
        <v>0</v>
      </c>
      <c s="26" r="G1240">
        <f>E1240*H1240</f>
        <v>1445.11</v>
      </c>
      <c s="19" r="H1240">
        <v>1</v>
      </c>
    </row>
    <row r="1241">
      <c r="A1241">
        <v>733</v>
      </c>
      <c r="B1241">
        <v>70</v>
      </c>
      <c t="s" r="C1241">
        <v>384</v>
      </c>
      <c r="D1241">
        <v>0.01</v>
      </c>
      <c r="E1241">
        <f>D1241*B1241</f>
        <v>0.7</v>
      </c>
      <c s="26" r="F1241">
        <f>G1241-E1241</f>
        <v>0.0455</v>
      </c>
      <c s="26" r="G1241">
        <f>E1241*H1241</f>
        <v>0.7455</v>
      </c>
      <c s="19" r="H1241">
        <v>1.065</v>
      </c>
    </row>
    <row r="1242">
      <c r="A1242">
        <v>734</v>
      </c>
      <c r="B1242">
        <v>7</v>
      </c>
      <c t="s" r="C1242">
        <v>674</v>
      </c>
      <c r="D1242">
        <v>20.49</v>
      </c>
      <c r="E1242">
        <f>D1242*B1242</f>
        <v>143.43</v>
      </c>
      <c s="26" r="F1242">
        <f>G1242-E1242</f>
        <v>11.4744</v>
      </c>
      <c s="26" r="G1242">
        <f>E1242*H1242</f>
        <v>154.9044</v>
      </c>
      <c s="19" r="H1242">
        <v>1.08</v>
      </c>
    </row>
    <row r="1243">
      <c r="A1243">
        <v>734</v>
      </c>
      <c r="B1243">
        <v>143</v>
      </c>
      <c t="s" r="C1243">
        <v>384</v>
      </c>
      <c r="D1243">
        <v>0.01</v>
      </c>
      <c r="E1243">
        <f>D1243*B1243</f>
        <v>1.43</v>
      </c>
      <c s="26" r="F1243">
        <f>G1243-E1243</f>
        <v>0.09295</v>
      </c>
      <c s="26" r="G1243">
        <f>E1243*H1243</f>
        <v>1.52295</v>
      </c>
      <c s="19" r="H1243">
        <v>1.065</v>
      </c>
    </row>
    <row r="1244">
      <c r="A1244">
        <v>735</v>
      </c>
      <c r="B1244">
        <v>716</v>
      </c>
      <c t="s" r="C1244">
        <v>384</v>
      </c>
      <c r="D1244">
        <v>0.01</v>
      </c>
      <c r="E1244">
        <f>D1244*B1244</f>
        <v>7.16</v>
      </c>
      <c s="26" r="F1244">
        <f>G1244-E1244</f>
        <v>0.4654</v>
      </c>
      <c s="26" r="G1244">
        <f>E1244*H1244</f>
        <v>7.6254</v>
      </c>
      <c s="19" r="H1244">
        <v>1.065</v>
      </c>
    </row>
    <row r="1245">
      <c r="A1245">
        <v>736</v>
      </c>
      <c r="B1245">
        <v>1</v>
      </c>
      <c t="s" r="C1245">
        <v>658</v>
      </c>
      <c r="D1245">
        <v>201</v>
      </c>
      <c r="E1245">
        <f>D1245*B1245</f>
        <v>201</v>
      </c>
      <c s="26" r="F1245">
        <f>G1245-E1245</f>
        <v>18.09</v>
      </c>
      <c s="26" r="G1245">
        <f>E1245*H1245</f>
        <v>219.09</v>
      </c>
      <c s="19" r="H1245">
        <v>1.09</v>
      </c>
    </row>
    <row r="1246">
      <c r="A1246">
        <v>736</v>
      </c>
      <c r="B1246">
        <v>7</v>
      </c>
      <c t="s" r="C1246">
        <v>665</v>
      </c>
      <c r="D1246">
        <v>0.01</v>
      </c>
      <c r="E1246">
        <f>D1246*B1246</f>
        <v>0.07</v>
      </c>
      <c s="26" r="F1246">
        <f>G1246-E1246</f>
        <v>0</v>
      </c>
      <c s="26" r="G1246">
        <f>E1246*H1246</f>
        <v>0.07</v>
      </c>
      <c s="19" r="H1246">
        <v>1</v>
      </c>
    </row>
    <row r="1247">
      <c r="A1247">
        <v>737</v>
      </c>
      <c r="B1247">
        <v>1</v>
      </c>
      <c t="s" r="C1247">
        <v>638</v>
      </c>
      <c r="D1247">
        <v>58.06</v>
      </c>
      <c r="E1247">
        <f>D1247*B1247</f>
        <v>58.06</v>
      </c>
      <c s="26" r="F1247">
        <f>G1247-E1247</f>
        <v>12.7732</v>
      </c>
      <c s="26" r="G1247">
        <f>E1247*H1247</f>
        <v>70.8332</v>
      </c>
      <c s="19" r="H1247">
        <v>1.22</v>
      </c>
    </row>
    <row r="1248">
      <c r="A1248">
        <v>737</v>
      </c>
      <c r="B1248">
        <v>7</v>
      </c>
      <c t="s" r="C1248">
        <v>665</v>
      </c>
      <c r="D1248">
        <v>0.01</v>
      </c>
      <c r="E1248">
        <f>D1248*B1248</f>
        <v>0.07</v>
      </c>
      <c s="26" r="F1248">
        <f>G1248-E1248</f>
        <v>0</v>
      </c>
      <c s="26" r="G1248">
        <f>E1248*H1248</f>
        <v>0.07</v>
      </c>
      <c s="19" r="H1248">
        <v>1</v>
      </c>
    </row>
    <row r="1249">
      <c r="A1249">
        <v>738</v>
      </c>
      <c r="B1249">
        <v>2</v>
      </c>
      <c t="s" r="C1249">
        <v>665</v>
      </c>
      <c r="D1249">
        <v>0.01</v>
      </c>
      <c r="E1249">
        <f>D1249*B1249</f>
        <v>0.02</v>
      </c>
      <c s="26" r="F1249">
        <f>G1249-E1249</f>
        <v>0</v>
      </c>
      <c s="26" r="G1249">
        <f>E1249*H1249</f>
        <v>0.02</v>
      </c>
      <c s="19" r="H1249">
        <v>1</v>
      </c>
    </row>
    <row r="1250">
      <c r="A1250">
        <v>739</v>
      </c>
      <c r="B1250">
        <v>1186</v>
      </c>
      <c t="s" r="C1250">
        <v>384</v>
      </c>
      <c r="D1250">
        <v>0.01</v>
      </c>
      <c r="E1250">
        <f>D1250*B1250</f>
        <v>11.86</v>
      </c>
      <c s="26" r="F1250">
        <f>G1250-E1250</f>
        <v>0.80648</v>
      </c>
      <c s="26" r="G1250">
        <f>E1250*H1250</f>
        <v>12.66648</v>
      </c>
      <c s="19" r="H1250">
        <v>1.068</v>
      </c>
    </row>
    <row r="1251">
      <c r="A1251">
        <v>739</v>
      </c>
      <c r="B1251">
        <v>93</v>
      </c>
      <c t="s" r="C1251">
        <v>447</v>
      </c>
      <c r="D1251">
        <v>0.01</v>
      </c>
      <c r="E1251">
        <f>D1251*B1251</f>
        <v>0.93</v>
      </c>
      <c s="26" r="F1251">
        <f>G1251-E1251</f>
        <v>0.06045</v>
      </c>
      <c s="26" r="G1251">
        <f>E1251*H1251</f>
        <v>0.99045</v>
      </c>
      <c s="19" r="H1251">
        <v>1.065</v>
      </c>
    </row>
    <row r="1252">
      <c r="A1252">
        <v>739</v>
      </c>
      <c r="B1252">
        <v>5</v>
      </c>
      <c t="s" r="C1252">
        <v>383</v>
      </c>
      <c r="D1252">
        <v>0.4</v>
      </c>
      <c r="E1252">
        <f>D1252*B1252</f>
        <v>2</v>
      </c>
      <c s="26" r="F1252">
        <f>G1252-E1252</f>
        <v>6</v>
      </c>
      <c s="26" r="G1252">
        <f>E1252*H1252</f>
        <v>8</v>
      </c>
      <c s="19" r="H1252">
        <v>4</v>
      </c>
    </row>
    <row r="1253">
      <c r="A1253">
        <v>740</v>
      </c>
      <c r="B1253">
        <v>4686</v>
      </c>
      <c t="s" r="C1253">
        <v>384</v>
      </c>
      <c r="D1253">
        <v>0.01</v>
      </c>
      <c r="E1253">
        <f>D1253*B1253</f>
        <v>46.86</v>
      </c>
      <c s="26" r="F1253">
        <f>G1253-E1253</f>
        <v>3.0459</v>
      </c>
      <c s="26" r="G1253">
        <f>E1253*H1253</f>
        <v>49.9059</v>
      </c>
      <c s="19" r="H1253">
        <v>1.065</v>
      </c>
    </row>
    <row r="1254">
      <c r="A1254">
        <v>740</v>
      </c>
      <c r="B1254">
        <v>16</v>
      </c>
      <c t="s" r="C1254">
        <v>353</v>
      </c>
      <c r="D1254">
        <v>0.8</v>
      </c>
      <c r="E1254">
        <f>D1254*B1254</f>
        <v>12.8</v>
      </c>
      <c s="26" r="F1254">
        <f>G1254-E1254</f>
        <v>26.88</v>
      </c>
      <c s="26" r="G1254">
        <f>E1254*H1254</f>
        <v>39.68</v>
      </c>
      <c s="19" r="H1254">
        <v>3.1</v>
      </c>
    </row>
    <row r="1255">
      <c r="A1255">
        <v>741</v>
      </c>
      <c r="B1255">
        <v>685</v>
      </c>
      <c t="s" r="C1255">
        <v>56</v>
      </c>
      <c r="D1255">
        <v>0.3</v>
      </c>
      <c r="E1255">
        <f>D1255*B1255</f>
        <v>205.5</v>
      </c>
      <c s="26" r="F1255">
        <f>G1255-E1255</f>
        <v>9.24749999999997</v>
      </c>
      <c s="26" r="G1255">
        <f>E1255*H1255</f>
        <v>214.7475</v>
      </c>
      <c s="19" r="H1255">
        <v>1.045</v>
      </c>
    </row>
    <row r="1256">
      <c r="A1256">
        <v>742</v>
      </c>
      <c r="B1256">
        <v>4090</v>
      </c>
      <c t="s" r="C1256">
        <v>384</v>
      </c>
      <c r="D1256">
        <v>0.01</v>
      </c>
      <c r="E1256">
        <f>D1256*B1256</f>
        <v>40.9</v>
      </c>
      <c s="26" r="F1256">
        <f>G1256-E1256</f>
        <v>2.6585</v>
      </c>
      <c s="26" r="G1256">
        <f>E1256*H1256</f>
        <v>43.5585</v>
      </c>
      <c s="19" r="H1256">
        <v>1.065</v>
      </c>
    </row>
    <row r="1257">
      <c r="A1257">
        <v>743</v>
      </c>
      <c r="B1257">
        <v>617</v>
      </c>
      <c t="s" r="C1257">
        <v>68</v>
      </c>
      <c r="D1257">
        <v>0.5</v>
      </c>
      <c r="E1257">
        <f>D1257*B1257</f>
        <v>308.5</v>
      </c>
      <c s="26" r="F1257">
        <f>G1257-E1257</f>
        <v>20.0525</v>
      </c>
      <c s="26" r="G1257">
        <f>E1257*H1257</f>
        <v>328.5525</v>
      </c>
      <c s="19" r="H1257">
        <v>1.065</v>
      </c>
    </row>
    <row r="1258">
      <c r="A1258">
        <v>743</v>
      </c>
      <c r="B1258">
        <v>41484</v>
      </c>
      <c t="s" r="C1258">
        <v>513</v>
      </c>
      <c r="D1258">
        <v>0.01</v>
      </c>
      <c r="E1258">
        <f>D1258*B1258</f>
        <v>414.84</v>
      </c>
      <c s="26" r="F1258">
        <f>G1258-E1258</f>
        <v>1.24451999999997</v>
      </c>
      <c s="26" r="G1258">
        <f>E1258*H1258</f>
        <v>416.08452</v>
      </c>
      <c s="19" r="H1258">
        <v>1.003</v>
      </c>
      <c t="s" r="I1258">
        <v>429</v>
      </c>
    </row>
    <row r="1259">
      <c r="A1259">
        <v>745</v>
      </c>
      <c r="B1259">
        <v>7199</v>
      </c>
      <c t="s" r="C1259">
        <v>384</v>
      </c>
      <c r="D1259">
        <v>0.01</v>
      </c>
      <c r="E1259">
        <f>D1259*B1259</f>
        <v>71.99</v>
      </c>
      <c s="26" r="F1259">
        <f>G1259-E1259</f>
        <v>4.89532</v>
      </c>
      <c s="26" r="G1259">
        <f>E1259*H1259</f>
        <v>76.88532</v>
      </c>
      <c s="19" r="H1259">
        <v>1.068</v>
      </c>
    </row>
    <row r="1260">
      <c r="A1260">
        <v>745</v>
      </c>
      <c r="B1260">
        <f>1018+28117</f>
        <v>29135</v>
      </c>
      <c t="s" r="C1260">
        <v>447</v>
      </c>
      <c r="D1260">
        <v>0.01</v>
      </c>
      <c r="E1260">
        <f>D1260*B1260</f>
        <v>291.35</v>
      </c>
      <c s="26" r="F1260">
        <f>G1260-E1260</f>
        <v>18.93775</v>
      </c>
      <c s="26" r="G1260">
        <f>E1260*H1260</f>
        <v>310.28775</v>
      </c>
      <c s="19" r="H1260">
        <v>1.065</v>
      </c>
    </row>
    <row r="1261">
      <c r="A1261">
        <v>746</v>
      </c>
      <c r="B1261">
        <v>6284</v>
      </c>
      <c t="s" r="C1261">
        <v>384</v>
      </c>
      <c r="D1261">
        <v>0.01</v>
      </c>
      <c r="E1261">
        <f>D1261*B1261</f>
        <v>62.84</v>
      </c>
      <c s="26" r="F1261">
        <f>G1261-E1261</f>
        <v>4.27312000000001</v>
      </c>
      <c s="26" r="G1261">
        <f>E1261*H1261</f>
        <v>67.11312</v>
      </c>
      <c s="19" r="H1261">
        <v>1.068</v>
      </c>
    </row>
    <row r="1262">
      <c r="A1262">
        <v>747</v>
      </c>
      <c r="B1262">
        <v>79</v>
      </c>
      <c t="s" r="C1262">
        <v>384</v>
      </c>
      <c r="D1262">
        <v>0.01</v>
      </c>
      <c r="E1262">
        <f>D1262*B1262</f>
        <v>0.79</v>
      </c>
      <c s="26" r="F1262">
        <f>G1262-E1262</f>
        <v>0.05372</v>
      </c>
      <c s="26" r="G1262">
        <f>E1262*H1262</f>
        <v>0.84372</v>
      </c>
      <c s="19" r="H1262">
        <v>1.068</v>
      </c>
    </row>
    <row r="1263">
      <c r="A1263">
        <v>747</v>
      </c>
      <c r="B1263">
        <v>92</v>
      </c>
      <c t="s" r="C1263">
        <v>447</v>
      </c>
      <c r="D1263">
        <v>0.01</v>
      </c>
      <c r="E1263">
        <f>D1263*B1263</f>
        <v>0.92</v>
      </c>
      <c s="26" r="F1263">
        <f>G1263-E1263</f>
        <v>0.0598</v>
      </c>
      <c s="26" r="G1263">
        <f>E1263*H1263</f>
        <v>0.9798</v>
      </c>
      <c s="19" r="H1263">
        <v>1.065</v>
      </c>
    </row>
    <row r="1264">
      <c r="A1264">
        <v>748</v>
      </c>
      <c r="B1264">
        <v>524</v>
      </c>
      <c t="s" r="C1264">
        <v>447</v>
      </c>
      <c r="D1264">
        <v>0.01</v>
      </c>
      <c r="E1264">
        <f>D1264*B1264</f>
        <v>5.24</v>
      </c>
      <c s="26" r="F1264">
        <f>G1264-E1264</f>
        <v>0.340599999999999</v>
      </c>
      <c s="26" r="G1264">
        <f>E1264*H1264</f>
        <v>5.5806</v>
      </c>
      <c s="19" r="H1264">
        <v>1.065</v>
      </c>
    </row>
    <row r="1265">
      <c r="A1265">
        <v>748</v>
      </c>
      <c r="B1265">
        <v>381</v>
      </c>
      <c t="s" r="C1265">
        <v>384</v>
      </c>
      <c r="D1265">
        <v>0.01</v>
      </c>
      <c r="E1265">
        <f>D1265*B1265</f>
        <v>3.81</v>
      </c>
      <c s="26" r="F1265">
        <f>G1265-E1265</f>
        <v>0.24765</v>
      </c>
      <c s="26" r="G1265">
        <f>E1265*H1265</f>
        <v>4.05765</v>
      </c>
      <c s="19" r="H1265">
        <v>1.065</v>
      </c>
    </row>
    <row r="1266">
      <c r="A1266">
        <v>749</v>
      </c>
      <c r="B1266">
        <v>73</v>
      </c>
      <c t="s" r="C1266">
        <v>447</v>
      </c>
      <c r="D1266">
        <v>0.01</v>
      </c>
      <c r="E1266">
        <f>D1266*B1266</f>
        <v>0.73</v>
      </c>
      <c s="26" r="F1266">
        <f>G1266-E1266</f>
        <v>0.04745</v>
      </c>
      <c s="26" r="G1266">
        <f>E1266*H1266</f>
        <v>0.77745</v>
      </c>
      <c s="19" r="H1266">
        <v>1.065</v>
      </c>
    </row>
    <row r="1267">
      <c r="A1267">
        <v>749</v>
      </c>
      <c r="B1267">
        <v>16689</v>
      </c>
      <c t="s" r="C1267">
        <v>384</v>
      </c>
      <c r="D1267">
        <v>0.01</v>
      </c>
      <c r="E1267">
        <f>D1267*B1267</f>
        <v>166.89</v>
      </c>
      <c s="26" r="F1267">
        <f>G1267-E1267</f>
        <v>10.84785</v>
      </c>
      <c s="26" r="G1267">
        <f>E1267*H1267</f>
        <v>177.73785</v>
      </c>
      <c s="19" r="H1267">
        <v>1.065</v>
      </c>
    </row>
    <row r="1268">
      <c r="A1268">
        <v>749</v>
      </c>
      <c r="B1268">
        <v>11</v>
      </c>
      <c t="s" r="C1268">
        <v>675</v>
      </c>
      <c s="26" r="D1268">
        <f>688.22/11</f>
        <v>62.5654545454546</v>
      </c>
      <c r="E1268">
        <f>D1268*B1268</f>
        <v>688.22</v>
      </c>
      <c s="26" r="F1268">
        <f>G1268-E1268</f>
        <v>68.8220000000001</v>
      </c>
      <c s="26" r="G1268">
        <f>E1268*H1268</f>
        <v>757.042</v>
      </c>
      <c s="19" r="H1268">
        <v>1.1</v>
      </c>
    </row>
    <row r="1269">
      <c r="A1269">
        <v>750</v>
      </c>
      <c r="B1269">
        <v>248</v>
      </c>
      <c t="s" r="C1269">
        <v>384</v>
      </c>
      <c r="D1269">
        <v>0.01</v>
      </c>
      <c r="E1269">
        <f>D1269*B1269</f>
        <v>2.48</v>
      </c>
      <c s="26" r="F1269">
        <f>G1269-E1269</f>
        <v>0.1612</v>
      </c>
      <c s="26" r="G1269">
        <f>E1269*H1269</f>
        <v>2.6412</v>
      </c>
      <c s="19" r="H1269">
        <v>1.065</v>
      </c>
    </row>
    <row r="1270">
      <c r="A1270">
        <v>750</v>
      </c>
      <c r="B1270">
        <v>773</v>
      </c>
      <c t="s" r="C1270">
        <v>447</v>
      </c>
      <c r="D1270">
        <v>0.01</v>
      </c>
      <c r="E1270">
        <f>D1270*B1270</f>
        <v>7.73</v>
      </c>
      <c s="26" r="F1270">
        <f>G1270-E1270</f>
        <v>0.50245</v>
      </c>
      <c s="26" r="G1270">
        <f>E1270*H1270</f>
        <v>8.23245</v>
      </c>
      <c s="19" r="H1270">
        <v>1.065</v>
      </c>
    </row>
    <row r="1271">
      <c r="A1271">
        <v>752</v>
      </c>
      <c r="B1271">
        <v>28</v>
      </c>
      <c t="s" r="C1271">
        <v>431</v>
      </c>
      <c r="D1271">
        <v>0.2</v>
      </c>
      <c r="E1271">
        <f>D1271*B1271</f>
        <v>5.6</v>
      </c>
      <c s="26" r="F1271">
        <f>G1271-E1271</f>
        <v>1.232</v>
      </c>
      <c s="26" r="G1271">
        <f>E1271*H1271</f>
        <v>6.832</v>
      </c>
      <c s="19" r="H1271">
        <v>1.22</v>
      </c>
    </row>
    <row r="1272">
      <c r="A1272">
        <v>752</v>
      </c>
      <c r="B1272">
        <v>185</v>
      </c>
      <c t="s" r="C1272">
        <v>433</v>
      </c>
      <c r="D1272">
        <v>0.04</v>
      </c>
      <c r="E1272">
        <f>D1272*B1272</f>
        <v>7.4</v>
      </c>
      <c s="26" r="F1272">
        <f>G1272-E1272</f>
        <v>1.036</v>
      </c>
      <c s="26" r="G1272">
        <f>E1272*H1272</f>
        <v>8.436</v>
      </c>
      <c s="19" r="H1272">
        <v>1.14</v>
      </c>
    </row>
    <row r="1273">
      <c r="A1273">
        <v>752</v>
      </c>
      <c r="B1273">
        <v>2</v>
      </c>
      <c t="s" r="C1273">
        <v>432</v>
      </c>
      <c r="D1273">
        <v>0.8</v>
      </c>
      <c r="E1273">
        <f>D1273*B1273</f>
        <v>1.6</v>
      </c>
      <c s="26" r="F1273">
        <f>G1273-E1273</f>
        <v>0.24</v>
      </c>
      <c s="26" r="G1273">
        <f>E1273*H1273</f>
        <v>1.84</v>
      </c>
      <c s="19" r="H1273">
        <v>1.15</v>
      </c>
    </row>
    <row r="1274">
      <c r="A1274">
        <v>752</v>
      </c>
      <c r="B1274">
        <v>1</v>
      </c>
      <c t="s" r="C1274">
        <v>474</v>
      </c>
      <c r="D1274">
        <v>1.2</v>
      </c>
      <c r="E1274">
        <f>D1274*B1274</f>
        <v>1.2</v>
      </c>
      <c s="26" r="F1274">
        <f>G1274-E1274</f>
        <v>0.168</v>
      </c>
      <c s="26" r="G1274">
        <f>E1274*H1274</f>
        <v>1.368</v>
      </c>
      <c s="19" r="H1274">
        <v>1.14</v>
      </c>
    </row>
    <row r="1275">
      <c r="A1275">
        <v>752</v>
      </c>
      <c r="B1275">
        <v>6</v>
      </c>
      <c t="s" r="C1275">
        <v>434</v>
      </c>
      <c r="D1275">
        <v>0.17</v>
      </c>
      <c r="E1275">
        <f>D1275*B1275</f>
        <v>1.02</v>
      </c>
      <c s="26" r="F1275">
        <f>G1275-E1275</f>
        <v>0.1632</v>
      </c>
      <c s="26" r="G1275">
        <f>E1275*H1275</f>
        <v>1.1832</v>
      </c>
      <c s="19" r="H1275">
        <v>1.16</v>
      </c>
    </row>
    <row r="1276">
      <c r="A1276">
        <v>754</v>
      </c>
      <c r="B1276">
        <v>1</v>
      </c>
      <c t="s" r="C1276">
        <v>665</v>
      </c>
      <c r="D1276">
        <v>0.01</v>
      </c>
      <c r="E1276">
        <f>D1276*B1276</f>
        <v>0.01</v>
      </c>
      <c s="26" r="F1276">
        <f>G1276-E1276</f>
        <v>0</v>
      </c>
      <c s="26" r="G1276">
        <f>E1276*H1276</f>
        <v>0.01</v>
      </c>
      <c s="19" r="H1276">
        <v>1</v>
      </c>
    </row>
    <row r="1277">
      <c r="A1277">
        <v>755</v>
      </c>
      <c r="B1277">
        <v>1</v>
      </c>
      <c t="s" r="C1277">
        <v>638</v>
      </c>
      <c r="D1277">
        <v>67</v>
      </c>
      <c r="E1277">
        <f>D1277*B1277</f>
        <v>67</v>
      </c>
      <c s="26" r="F1277">
        <f>G1277-E1277</f>
        <v>16.75</v>
      </c>
      <c s="26" r="G1277">
        <f>E1277*H1277</f>
        <v>83.75</v>
      </c>
      <c s="19" r="H1277">
        <v>1.25</v>
      </c>
    </row>
    <row r="1278">
      <c r="A1278">
        <v>755</v>
      </c>
      <c r="B1278">
        <v>5</v>
      </c>
      <c t="s" r="C1278">
        <v>665</v>
      </c>
      <c r="D1278">
        <v>0.01</v>
      </c>
      <c r="E1278">
        <f>D1278*B1278</f>
        <v>0.05</v>
      </c>
      <c s="26" r="F1278">
        <f>G1278-E1278</f>
        <v>0</v>
      </c>
      <c s="26" r="G1278">
        <f>E1278*H1278</f>
        <v>0.05</v>
      </c>
      <c s="19" r="H1278">
        <v>1</v>
      </c>
    </row>
    <row r="1279">
      <c r="A1279">
        <v>756</v>
      </c>
      <c r="B1279">
        <v>1557</v>
      </c>
      <c t="s" r="C1279">
        <v>384</v>
      </c>
      <c r="D1279">
        <v>0.01</v>
      </c>
      <c r="E1279">
        <f>D1279*B1279</f>
        <v>15.57</v>
      </c>
      <c s="26" r="F1279">
        <f>G1279-E1279</f>
        <v>1.01205</v>
      </c>
      <c s="26" r="G1279">
        <f>E1279*H1279</f>
        <v>16.58205</v>
      </c>
      <c s="19" r="H1279">
        <v>1.065</v>
      </c>
    </row>
    <row r="1280">
      <c r="A1280">
        <v>756</v>
      </c>
      <c r="B1280">
        <v>5</v>
      </c>
      <c t="s" r="C1280">
        <v>387</v>
      </c>
      <c r="D1280">
        <v>0.8</v>
      </c>
      <c r="E1280">
        <f>D1280*B1280</f>
        <v>4</v>
      </c>
      <c s="26" r="F1280">
        <f>G1280-E1280</f>
        <v>9.4</v>
      </c>
      <c s="26" r="G1280">
        <f>E1280*H1280</f>
        <v>13.4</v>
      </c>
      <c s="19" r="H1280">
        <v>3.35</v>
      </c>
    </row>
    <row r="1281">
      <c r="A1281">
        <v>757</v>
      </c>
      <c r="B1281">
        <v>10445</v>
      </c>
      <c t="s" r="C1281">
        <v>384</v>
      </c>
      <c r="D1281">
        <v>0.01</v>
      </c>
      <c r="E1281">
        <f>D1281*B1281</f>
        <v>104.45</v>
      </c>
      <c s="26" r="F1281">
        <f>G1281-E1281</f>
        <v>6.78925</v>
      </c>
      <c s="26" r="G1281">
        <f>E1281*H1281</f>
        <v>111.23925</v>
      </c>
      <c s="19" r="H1281">
        <v>1.065</v>
      </c>
    </row>
    <row r="1282">
      <c r="A1282">
        <v>758</v>
      </c>
      <c r="B1282">
        <v>2</v>
      </c>
      <c t="s" r="C1282">
        <v>665</v>
      </c>
      <c r="D1282">
        <v>0.01</v>
      </c>
      <c r="E1282">
        <f>D1282*B1282</f>
        <v>0.02</v>
      </c>
      <c s="26" r="F1282">
        <f>G1282-E1282</f>
        <v>0</v>
      </c>
      <c s="26" r="G1282">
        <f>E1282*H1282</f>
        <v>0.02</v>
      </c>
      <c s="19" r="H1282">
        <v>1</v>
      </c>
    </row>
    <row r="1283">
      <c r="A1283">
        <v>759</v>
      </c>
      <c r="B1283">
        <v>16129</v>
      </c>
      <c t="s" r="C1283">
        <v>384</v>
      </c>
      <c r="D1283">
        <v>0.01</v>
      </c>
      <c r="E1283">
        <f>D1283*B1283</f>
        <v>161.29</v>
      </c>
      <c s="26" r="F1283">
        <f>G1283-E1283</f>
        <v>10.48385</v>
      </c>
      <c s="26" r="G1283">
        <f>E1283*H1283</f>
        <v>171.77385</v>
      </c>
      <c s="19" r="H1283">
        <v>1.065</v>
      </c>
    </row>
    <row r="1284">
      <c r="A1284">
        <v>759</v>
      </c>
      <c r="B1284">
        <v>10318</v>
      </c>
      <c t="s" r="C1284">
        <v>447</v>
      </c>
      <c r="D1284">
        <v>0.01</v>
      </c>
      <c r="E1284">
        <f>D1284*B1284</f>
        <v>103.18</v>
      </c>
      <c s="26" r="F1284">
        <f>G1284-E1284</f>
        <v>6.7067</v>
      </c>
      <c s="26" r="G1284">
        <f>E1284*H1284</f>
        <v>109.8867</v>
      </c>
      <c s="19" r="H1284">
        <v>1.065</v>
      </c>
    </row>
    <row r="1285">
      <c r="A1285">
        <v>760</v>
      </c>
      <c r="B1285">
        <v>15169</v>
      </c>
      <c t="s" r="C1285">
        <v>384</v>
      </c>
      <c r="D1285">
        <v>0.01</v>
      </c>
      <c r="E1285">
        <f>D1285*B1285</f>
        <v>151.69</v>
      </c>
      <c s="26" r="F1285">
        <f>G1285-E1285</f>
        <v>9.85985</v>
      </c>
      <c s="26" r="G1285">
        <f>E1285*H1285</f>
        <v>161.54985</v>
      </c>
      <c s="19" r="H1285">
        <v>1.065</v>
      </c>
    </row>
    <row r="1286">
      <c r="A1286">
        <v>760</v>
      </c>
      <c r="B1286">
        <v>1777</v>
      </c>
      <c t="s" r="C1286">
        <v>447</v>
      </c>
      <c r="D1286">
        <v>0.01</v>
      </c>
      <c r="E1286">
        <f>D1286*B1286</f>
        <v>17.77</v>
      </c>
      <c s="26" r="F1286">
        <f>G1286-E1286</f>
        <v>1.15505</v>
      </c>
      <c s="26" r="G1286">
        <f>E1286*H1286</f>
        <v>18.92505</v>
      </c>
      <c s="19" r="H1286">
        <v>1.065</v>
      </c>
    </row>
    <row r="1287">
      <c r="A1287">
        <v>760</v>
      </c>
      <c r="B1287">
        <v>8</v>
      </c>
      <c t="s" r="C1287">
        <v>675</v>
      </c>
      <c r="D1287">
        <f>531.11/8</f>
        <v>66.38875</v>
      </c>
      <c r="E1287">
        <f>D1287*B1287</f>
        <v>531.11</v>
      </c>
      <c s="26" r="F1287">
        <f>G1287-E1287</f>
        <v>37.1777000000001</v>
      </c>
      <c s="26" r="G1287">
        <f>E1287*H1287</f>
        <v>568.2877</v>
      </c>
      <c s="19" r="H1287">
        <v>1.07</v>
      </c>
    </row>
    <row r="1288">
      <c r="A1288">
        <v>761</v>
      </c>
      <c r="B1288">
        <v>8</v>
      </c>
      <c t="s" r="C1288">
        <v>665</v>
      </c>
      <c r="D1288">
        <v>0.01</v>
      </c>
      <c r="E1288">
        <f>D1288*B1288</f>
        <v>0.08</v>
      </c>
      <c s="26" r="F1288">
        <f>G1288-E1288</f>
        <v>0</v>
      </c>
      <c s="26" r="G1288">
        <f>E1288*H1288</f>
        <v>0.08</v>
      </c>
      <c s="19" r="H1288">
        <v>1</v>
      </c>
    </row>
    <row r="1289">
      <c r="A1289">
        <v>761</v>
      </c>
      <c r="B1289">
        <v>1</v>
      </c>
      <c t="s" r="C1289">
        <v>658</v>
      </c>
      <c r="D1289">
        <v>201</v>
      </c>
      <c r="E1289">
        <f>D1289*B1289</f>
        <v>201</v>
      </c>
      <c s="26" r="F1289">
        <f>G1289-E1289</f>
        <v>19.9995</v>
      </c>
      <c s="26" r="G1289">
        <f>E1289*H1289</f>
        <v>220.9995</v>
      </c>
      <c s="19" r="H1289">
        <v>1.0995</v>
      </c>
    </row>
    <row r="1290">
      <c r="A1290">
        <v>762</v>
      </c>
      <c r="B1290">
        <v>517</v>
      </c>
      <c t="s" r="C1290">
        <v>56</v>
      </c>
      <c r="D1290">
        <v>0.3</v>
      </c>
      <c r="E1290">
        <f>D1290*B1290</f>
        <v>155.1</v>
      </c>
      <c s="26" r="F1290">
        <f>G1290-E1290</f>
        <v>9.07335</v>
      </c>
      <c s="26" r="G1290">
        <f>E1290*H1290</f>
        <v>164.17335</v>
      </c>
      <c s="19" r="H1290">
        <v>1.0585</v>
      </c>
    </row>
    <row r="1291">
      <c r="A1291">
        <v>763</v>
      </c>
      <c r="B1291">
        <v>2</v>
      </c>
      <c t="s" r="C1291">
        <v>672</v>
      </c>
      <c r="D1291">
        <v>160</v>
      </c>
      <c r="E1291">
        <f>D1291*B1291</f>
        <v>320</v>
      </c>
      <c s="26" r="F1291">
        <f>G1291-E1291</f>
        <v>37.984</v>
      </c>
      <c s="26" r="G1291">
        <f>E1291*H1291</f>
        <v>357.984</v>
      </c>
      <c s="19" r="H1291">
        <v>1.1187</v>
      </c>
    </row>
    <row r="1292">
      <c r="A1292">
        <v>765</v>
      </c>
      <c r="B1292">
        <v>37</v>
      </c>
      <c t="s" r="C1292">
        <v>660</v>
      </c>
      <c r="D1292">
        <v>5</v>
      </c>
      <c r="E1292">
        <f>D1292*B1292</f>
        <v>185</v>
      </c>
      <c s="26" r="F1292">
        <f>G1292-E1292</f>
        <v>23.125</v>
      </c>
      <c s="26" r="G1292">
        <f>E1292*H1292</f>
        <v>208.125</v>
      </c>
      <c s="19" r="H1292">
        <v>1.125</v>
      </c>
    </row>
    <row r="1293">
      <c r="A1293">
        <v>765</v>
      </c>
      <c r="B1293">
        <v>1</v>
      </c>
      <c t="s" r="C1293">
        <v>676</v>
      </c>
      <c r="D1293">
        <v>0.05</v>
      </c>
      <c r="E1293">
        <f>D1293*B1293</f>
        <v>0.05</v>
      </c>
      <c s="26" r="F1293">
        <f>G1293-E1293</f>
        <v>0.575</v>
      </c>
      <c s="26" r="G1293">
        <f>E1293*H1293</f>
        <v>0.625</v>
      </c>
      <c s="19" r="H1293">
        <v>12.5</v>
      </c>
    </row>
    <row r="1294">
      <c r="A1294">
        <v>765</v>
      </c>
      <c r="B1294">
        <v>6</v>
      </c>
      <c t="s" r="C1294">
        <v>524</v>
      </c>
      <c r="D1294">
        <v>2</v>
      </c>
      <c r="E1294">
        <f>D1294*B1294</f>
        <v>12</v>
      </c>
      <c s="26" r="F1294">
        <f>G1294-E1294</f>
        <v>0.600000000000001</v>
      </c>
      <c s="26" r="G1294">
        <f>E1294*H1294</f>
        <v>12.6</v>
      </c>
      <c s="19" r="H1294">
        <v>1.05</v>
      </c>
    </row>
    <row r="1295">
      <c r="A1295">
        <v>765</v>
      </c>
      <c r="B1295">
        <v>2</v>
      </c>
      <c t="s" r="C1295">
        <v>556</v>
      </c>
      <c r="D1295">
        <v>14</v>
      </c>
      <c r="E1295">
        <f>D1295*B1295</f>
        <v>28</v>
      </c>
      <c s="26" r="F1295">
        <f>G1295-E1295</f>
        <v>16.24</v>
      </c>
      <c s="26" r="G1295">
        <f>E1295*H1295</f>
        <v>44.24</v>
      </c>
      <c s="19" r="H1295">
        <v>1.58</v>
      </c>
    </row>
    <row r="1296">
      <c r="A1296">
        <v>765</v>
      </c>
      <c r="B1296">
        <v>56</v>
      </c>
      <c t="s" r="C1296">
        <v>437</v>
      </c>
      <c r="D1296">
        <f>2.80/56</f>
        <v>0.05</v>
      </c>
      <c r="E1296">
        <f>D1296*B1296</f>
        <v>2.8</v>
      </c>
      <c s="26" r="F1296">
        <f>G1296-E1296</f>
        <v>0.252</v>
      </c>
      <c s="26" r="G1296">
        <f>E1296*H1296</f>
        <v>3.052</v>
      </c>
      <c s="19" r="H1296">
        <v>1.09</v>
      </c>
    </row>
    <row r="1297">
      <c r="A1297">
        <v>765</v>
      </c>
      <c r="B1297">
        <v>7</v>
      </c>
      <c t="s" r="C1297">
        <v>677</v>
      </c>
      <c r="D1297">
        <v>0.02</v>
      </c>
      <c r="E1297">
        <f>D1297*B1297</f>
        <v>0.14</v>
      </c>
      <c s="26" r="F1297">
        <f>G1297-E1297</f>
        <v>0</v>
      </c>
      <c s="26" r="G1297">
        <f>E1297*H1297</f>
        <v>0.14</v>
      </c>
      <c s="19" r="H1297">
        <v>1</v>
      </c>
    </row>
    <row r="1298">
      <c r="A1298">
        <v>765</v>
      </c>
      <c r="B1298">
        <v>4</v>
      </c>
      <c t="s" r="C1298">
        <v>678</v>
      </c>
      <c r="D1298">
        <v>0.06</v>
      </c>
      <c r="E1298">
        <f>D1298*B1298</f>
        <v>0.24</v>
      </c>
      <c s="26" r="F1298">
        <f>G1298-E1298</f>
        <v>0.06</v>
      </c>
      <c s="26" r="G1298">
        <f>E1298*H1298</f>
        <v>0.3</v>
      </c>
      <c s="19" r="H1298">
        <v>1.25</v>
      </c>
    </row>
    <row r="1299">
      <c r="A1299">
        <v>765</v>
      </c>
      <c r="B1299">
        <v>10</v>
      </c>
      <c t="s" r="C1299">
        <v>679</v>
      </c>
      <c r="D1299">
        <v>0.1</v>
      </c>
      <c r="E1299">
        <f>D1299*B1299</f>
        <v>1</v>
      </c>
      <c s="26" r="F1299">
        <f>G1299-E1299</f>
        <v>0.3</v>
      </c>
      <c s="26" r="G1299">
        <f>E1299*H1299</f>
        <v>1.3</v>
      </c>
      <c s="19" r="H1299">
        <v>1.3</v>
      </c>
    </row>
    <row r="1300">
      <c r="A1300">
        <v>765</v>
      </c>
      <c r="B1300">
        <v>10</v>
      </c>
      <c t="s" r="C1300">
        <v>680</v>
      </c>
      <c r="D1300">
        <v>0.02</v>
      </c>
      <c r="E1300">
        <f>D1300*B1300</f>
        <v>0.2</v>
      </c>
      <c s="26" r="F1300">
        <f>G1300-E1300</f>
        <v>0.056</v>
      </c>
      <c s="26" r="G1300">
        <f>E1300*H1300</f>
        <v>0.256</v>
      </c>
      <c s="19" r="H1300">
        <v>1.28</v>
      </c>
    </row>
    <row r="1301">
      <c r="A1301">
        <v>765</v>
      </c>
      <c r="B1301">
        <v>4</v>
      </c>
      <c t="s" r="C1301">
        <v>681</v>
      </c>
      <c r="D1301">
        <v>0.04</v>
      </c>
      <c r="E1301">
        <f>D1301*B1301</f>
        <v>0.16</v>
      </c>
      <c s="26" r="F1301">
        <f>G1301-E1301</f>
        <v>0.0048</v>
      </c>
      <c s="26" r="G1301">
        <f>E1301*H1301</f>
        <v>0.1648</v>
      </c>
      <c s="19" r="H1301">
        <v>1.03</v>
      </c>
    </row>
    <row r="1302">
      <c r="A1302">
        <v>765</v>
      </c>
      <c r="B1302">
        <v>5</v>
      </c>
      <c t="s" r="C1302">
        <v>682</v>
      </c>
      <c r="D1302">
        <v>0.02</v>
      </c>
      <c r="E1302">
        <f>D1302*B1302</f>
        <v>0.1</v>
      </c>
      <c s="26" r="F1302">
        <f>G1302-E1302</f>
        <v>0.013</v>
      </c>
      <c s="26" r="G1302">
        <f>E1302*H1302</f>
        <v>0.113</v>
      </c>
      <c s="19" r="H1302">
        <v>1.13</v>
      </c>
      <c s="26" r="I1302"/>
    </row>
    <row r="1303">
      <c r="A1303">
        <v>765</v>
      </c>
      <c r="B1303">
        <v>7</v>
      </c>
      <c t="s" r="C1303">
        <v>683</v>
      </c>
      <c r="D1303">
        <v>0.06</v>
      </c>
      <c r="E1303">
        <f>D1303*B1303</f>
        <v>0.42</v>
      </c>
      <c s="26" r="F1303">
        <f>G1303-E1303</f>
        <v>0.0714</v>
      </c>
      <c s="26" r="G1303">
        <f>E1303*H1303</f>
        <v>0.4914</v>
      </c>
      <c s="19" r="H1303">
        <v>1.17</v>
      </c>
    </row>
    <row r="1304">
      <c r="A1304">
        <v>765</v>
      </c>
      <c r="B1304">
        <v>1</v>
      </c>
      <c t="s" r="C1304">
        <v>547</v>
      </c>
      <c r="D1304">
        <v>10</v>
      </c>
      <c r="E1304">
        <f>D1304*B1304</f>
        <v>10</v>
      </c>
      <c s="26" r="F1304">
        <f>G1304-E1304</f>
        <v>2.6</v>
      </c>
      <c s="26" r="G1304">
        <f>E1304*H1304</f>
        <v>12.6</v>
      </c>
      <c s="19" r="H1304">
        <v>1.26</v>
      </c>
    </row>
    <row r="1305">
      <c r="A1305">
        <v>766</v>
      </c>
      <c r="B1305">
        <v>4</v>
      </c>
      <c t="s" r="C1305">
        <v>684</v>
      </c>
      <c r="D1305">
        <v>1</v>
      </c>
      <c r="E1305">
        <f>D1305*B1305</f>
        <v>4</v>
      </c>
      <c s="26" r="F1305">
        <f>G1305-E1305</f>
        <v>0.68</v>
      </c>
      <c s="26" r="G1305">
        <f>E1305*H1305</f>
        <v>4.68</v>
      </c>
      <c s="19" r="H1305">
        <v>1.17</v>
      </c>
    </row>
    <row r="1306">
      <c r="A1306">
        <v>766</v>
      </c>
      <c r="B1306">
        <v>1</v>
      </c>
      <c t="s" r="C1306">
        <v>685</v>
      </c>
      <c r="D1306">
        <v>0.57</v>
      </c>
      <c r="E1306">
        <f>D1306*B1306</f>
        <v>0.57</v>
      </c>
      <c s="26" r="F1306">
        <f>G1306-E1306</f>
        <v>10.26</v>
      </c>
      <c s="26" r="G1306">
        <f>E1306*H1306</f>
        <v>10.83</v>
      </c>
      <c s="19" r="H1306">
        <v>19</v>
      </c>
    </row>
    <row r="1307">
      <c r="A1307">
        <v>766</v>
      </c>
      <c r="B1307">
        <v>8</v>
      </c>
      <c t="s" r="C1307">
        <v>600</v>
      </c>
      <c r="D1307">
        <v>1</v>
      </c>
      <c r="E1307">
        <f>D1307*B1307</f>
        <v>8</v>
      </c>
      <c s="26" r="F1307">
        <f>G1307-E1307</f>
        <v>1.6</v>
      </c>
      <c s="26" r="G1307">
        <f>E1307*H1307</f>
        <v>9.6</v>
      </c>
      <c s="19" r="H1307">
        <v>1.2</v>
      </c>
    </row>
    <row r="1308">
      <c r="A1308">
        <v>766</v>
      </c>
      <c r="B1308">
        <v>84</v>
      </c>
      <c t="s" r="C1308">
        <v>686</v>
      </c>
      <c r="D1308">
        <v>0.1</v>
      </c>
      <c r="E1308">
        <f>D1308*B1308</f>
        <v>8.4</v>
      </c>
      <c s="26" r="F1308">
        <f>G1308-E1308</f>
        <v>0.672000000000001</v>
      </c>
      <c s="26" r="G1308">
        <f>E1308*H1308</f>
        <v>9.072</v>
      </c>
      <c s="19" r="H1308">
        <v>1.08</v>
      </c>
    </row>
    <row r="1309">
      <c r="A1309">
        <v>766</v>
      </c>
      <c r="B1309">
        <v>20</v>
      </c>
      <c t="s" r="C1309">
        <v>576</v>
      </c>
      <c r="D1309">
        <v>0.15</v>
      </c>
      <c r="E1309">
        <f>D1309*B1309</f>
        <v>3</v>
      </c>
      <c s="26" r="F1309">
        <f>G1309-E1309</f>
        <v>0.75</v>
      </c>
      <c s="26" r="G1309">
        <f>E1309*H1309</f>
        <v>3.75</v>
      </c>
      <c s="19" r="H1309">
        <v>1.25</v>
      </c>
    </row>
    <row r="1310">
      <c r="A1310">
        <v>766</v>
      </c>
      <c r="B1310">
        <v>85</v>
      </c>
      <c t="s" r="C1310">
        <v>434</v>
      </c>
      <c r="D1310">
        <v>0.17</v>
      </c>
      <c r="E1310">
        <f>D1310*B1310</f>
        <v>14.45</v>
      </c>
      <c s="26" r="F1310">
        <f>G1310-E1310</f>
        <v>2.89</v>
      </c>
      <c s="26" r="G1310">
        <f>E1310*H1310</f>
        <v>17.34</v>
      </c>
      <c s="19" r="H1310">
        <v>1.2</v>
      </c>
    </row>
    <row r="1311">
      <c r="A1311">
        <v>766</v>
      </c>
      <c r="B1311">
        <v>26</v>
      </c>
      <c t="s" r="C1311">
        <v>687</v>
      </c>
      <c r="D1311">
        <f>15.60/24</f>
        <v>0.65</v>
      </c>
      <c r="E1311">
        <f>D1311*B1311</f>
        <v>16.9</v>
      </c>
      <c s="26" r="F1311">
        <f>G1311-E1311</f>
        <v>3.887</v>
      </c>
      <c s="26" r="G1311">
        <f>E1311*H1311</f>
        <v>20.787</v>
      </c>
      <c s="19" r="H1311">
        <v>1.23</v>
      </c>
    </row>
    <row r="1312">
      <c r="A1312">
        <v>766</v>
      </c>
      <c r="B1312">
        <v>504</v>
      </c>
      <c t="s" r="C1312">
        <v>680</v>
      </c>
      <c r="D1312">
        <f>15.12/504</f>
        <v>0.03</v>
      </c>
      <c r="E1312">
        <f>D1312*B1312</f>
        <v>15.12</v>
      </c>
      <c s="26" r="F1312">
        <f>G1312-E1312</f>
        <v>1.9656</v>
      </c>
      <c s="26" r="G1312">
        <f>E1312*H1312</f>
        <v>17.0856</v>
      </c>
      <c s="19" r="H1312">
        <v>1.13</v>
      </c>
    </row>
    <row r="1313">
      <c r="A1313">
        <v>766</v>
      </c>
      <c r="B1313">
        <f>1388*2</f>
        <v>2776</v>
      </c>
      <c t="s" r="C1313">
        <v>538</v>
      </c>
      <c r="D1313">
        <v>0.01</v>
      </c>
      <c r="E1313">
        <f>D1313*B1313</f>
        <v>27.76</v>
      </c>
      <c s="26" r="F1313">
        <f>G1313-E1313</f>
        <v>0.832800000000002</v>
      </c>
      <c s="26" r="G1313">
        <f>E1313*H1313</f>
        <v>28.5928</v>
      </c>
      <c s="19" r="H1313">
        <v>1.03</v>
      </c>
    </row>
    <row r="1314">
      <c r="A1314">
        <v>766</v>
      </c>
      <c r="B1314">
        <v>14</v>
      </c>
      <c t="s" r="C1314">
        <v>688</v>
      </c>
      <c r="D1314">
        <f>3.50/14</f>
        <v>0.25</v>
      </c>
      <c r="E1314">
        <f>D1314*B1314</f>
        <v>3.5</v>
      </c>
      <c s="26" r="F1314">
        <f>G1314-E1314</f>
        <v>1.05</v>
      </c>
      <c s="26" r="G1314">
        <f>E1314*H1314</f>
        <v>4.55</v>
      </c>
      <c s="19" r="H1314">
        <v>1.3</v>
      </c>
    </row>
    <row r="1315">
      <c r="A1315">
        <v>766</v>
      </c>
      <c r="B1315">
        <v>20</v>
      </c>
      <c t="s" r="C1315">
        <v>689</v>
      </c>
      <c r="D1315">
        <v>0.3</v>
      </c>
      <c r="E1315">
        <f>D1315*B1315</f>
        <v>6</v>
      </c>
      <c s="26" r="F1315">
        <f>G1315-E1315</f>
        <v>3.78</v>
      </c>
      <c s="26" r="G1315">
        <f>E1315*H1315</f>
        <v>9.78</v>
      </c>
      <c s="19" r="H1315">
        <v>1.63</v>
      </c>
    </row>
    <row r="1316">
      <c r="A1316">
        <v>766</v>
      </c>
      <c r="B1316">
        <v>13</v>
      </c>
      <c t="s" r="C1316">
        <v>690</v>
      </c>
      <c r="D1316">
        <f>2.28/12</f>
        <v>0.19</v>
      </c>
      <c r="E1316">
        <f>D1316*B1316</f>
        <v>2.47</v>
      </c>
      <c s="26" r="F1316">
        <f>G1316-E1316</f>
        <v>0.0988</v>
      </c>
      <c s="26" r="G1316">
        <f>E1316*H1316</f>
        <v>2.5688</v>
      </c>
      <c s="19" r="H1316">
        <v>1.04</v>
      </c>
    </row>
    <row r="1317">
      <c r="A1317">
        <v>766</v>
      </c>
      <c r="B1317">
        <v>6.3</v>
      </c>
      <c t="s" r="C1317">
        <v>691</v>
      </c>
      <c r="D1317">
        <f>5.40/6</f>
        <v>0.9</v>
      </c>
      <c r="E1317">
        <f>D1317*B1317</f>
        <v>5.67</v>
      </c>
      <c s="26" r="F1317">
        <f>G1317-E1317</f>
        <v>0.6237</v>
      </c>
      <c s="26" r="G1317">
        <f>E1317*H1317</f>
        <v>6.2937</v>
      </c>
      <c s="19" r="H1317">
        <v>1.11</v>
      </c>
    </row>
    <row r="1318">
      <c r="A1318">
        <v>766</v>
      </c>
      <c r="B1318">
        <v>100</v>
      </c>
      <c t="s" r="C1318">
        <v>692</v>
      </c>
      <c r="D1318">
        <f>29.40/98</f>
        <v>0.3</v>
      </c>
      <c r="E1318">
        <f>D1318*B1318</f>
        <v>30</v>
      </c>
      <c s="26" r="F1318">
        <f>G1318-E1318</f>
        <v>1.5</v>
      </c>
      <c s="26" r="G1318">
        <f>E1318*H1318</f>
        <v>31.5</v>
      </c>
      <c s="19" r="H1318">
        <v>1.05</v>
      </c>
    </row>
    <row r="1319">
      <c r="A1319">
        <v>766</v>
      </c>
      <c r="B1319">
        <f>(432*3)+1</f>
        <v>1297</v>
      </c>
      <c t="s" r="C1319">
        <v>693</v>
      </c>
      <c r="D1319">
        <v>0.02</v>
      </c>
      <c r="E1319">
        <f>D1319*B1319</f>
        <v>25.94</v>
      </c>
      <c s="26" r="F1319">
        <f>G1319-E1319</f>
        <v>2.8534</v>
      </c>
      <c s="26" r="G1319">
        <f>E1319*H1319</f>
        <v>28.7934</v>
      </c>
      <c s="19" r="H1319">
        <v>1.11</v>
      </c>
    </row>
    <row r="1320">
      <c r="A1320">
        <v>766</v>
      </c>
      <c r="B1320">
        <v>394</v>
      </c>
      <c t="s" r="C1320">
        <v>694</v>
      </c>
      <c r="D1320">
        <v>0.06</v>
      </c>
      <c r="E1320">
        <f>D1320*B1320</f>
        <v>23.64</v>
      </c>
      <c s="26" r="F1320">
        <f>G1320-E1320</f>
        <v>3.0732</v>
      </c>
      <c s="26" r="G1320">
        <f>E1320*H1320</f>
        <v>26.7132</v>
      </c>
      <c s="19" r="H1320">
        <v>1.13</v>
      </c>
    </row>
    <row r="1321">
      <c r="A1321">
        <v>766</v>
      </c>
      <c r="B1321">
        <f>(149*3)+1</f>
        <v>448</v>
      </c>
      <c t="s" r="C1321">
        <v>695</v>
      </c>
      <c r="D1321">
        <v>0.08</v>
      </c>
      <c r="E1321">
        <f>D1321*B1321</f>
        <v>35.84</v>
      </c>
      <c s="26" r="F1321">
        <f>G1321-E1321</f>
        <v>3.584</v>
      </c>
      <c s="26" r="G1321">
        <f>E1321*H1321</f>
        <v>39.424</v>
      </c>
      <c s="19" r="H1321">
        <v>1.1</v>
      </c>
    </row>
    <row r="1322">
      <c r="A1322">
        <v>766</v>
      </c>
      <c r="B1322">
        <v>74</v>
      </c>
      <c t="s" r="C1322">
        <v>696</v>
      </c>
      <c r="D1322">
        <v>0.25</v>
      </c>
      <c r="E1322">
        <f>D1322*B1322</f>
        <v>18.5</v>
      </c>
      <c s="26" r="F1322">
        <f>G1322-E1322</f>
        <v>4.44</v>
      </c>
      <c s="26" r="G1322">
        <f>E1322*H1322</f>
        <v>22.94</v>
      </c>
      <c s="19" r="H1322">
        <v>1.24</v>
      </c>
    </row>
    <row r="1323">
      <c r="A1323">
        <v>766</v>
      </c>
      <c r="B1323">
        <v>18</v>
      </c>
      <c t="s" r="C1323">
        <v>697</v>
      </c>
      <c r="D1323">
        <v>0.3</v>
      </c>
      <c r="E1323">
        <f>D1323*B1323</f>
        <v>5.4</v>
      </c>
      <c s="26" r="F1323">
        <f>G1323-E1323</f>
        <v>0.27</v>
      </c>
      <c s="26" r="G1323">
        <f>E1323*H1323</f>
        <v>5.67</v>
      </c>
      <c s="19" r="H1323">
        <v>1.05</v>
      </c>
    </row>
    <row r="1324">
      <c r="A1324">
        <v>766</v>
      </c>
      <c r="B1324">
        <v>14</v>
      </c>
      <c t="s" r="C1324">
        <v>698</v>
      </c>
      <c r="D1324">
        <f>5.04/14</f>
        <v>0.36</v>
      </c>
      <c r="E1324">
        <f>D1324*B1324</f>
        <v>5.04</v>
      </c>
      <c s="26" r="F1324">
        <f>G1324-E1324</f>
        <v>0.252000000000001</v>
      </c>
      <c s="26" r="G1324">
        <f>E1324*H1324</f>
        <v>5.292</v>
      </c>
      <c s="19" r="H1324">
        <v>1.05</v>
      </c>
    </row>
    <row r="1325">
      <c r="A1325">
        <v>766</v>
      </c>
      <c r="B1325">
        <v>126</v>
      </c>
      <c t="s" r="C1325">
        <v>699</v>
      </c>
      <c r="D1325">
        <f>22.68/126</f>
        <v>0.18</v>
      </c>
      <c r="E1325">
        <f>D1325*B1325</f>
        <v>22.68</v>
      </c>
      <c s="26" r="F1325">
        <f>G1325-E1325</f>
        <v>1.3608</v>
      </c>
      <c s="26" r="G1325">
        <f>E1325*H1325</f>
        <v>24.0408</v>
      </c>
      <c s="19" r="H1325">
        <v>1.06</v>
      </c>
    </row>
    <row r="1326">
      <c r="A1326">
        <v>767</v>
      </c>
      <c r="B1326">
        <v>2098</v>
      </c>
      <c t="s" r="C1326">
        <v>447</v>
      </c>
      <c r="D1326">
        <v>0.01</v>
      </c>
      <c r="E1326">
        <f>D1326*B1326</f>
        <v>20.98</v>
      </c>
      <c s="26" r="F1326">
        <f>G1326-E1326</f>
        <v>1.3637</v>
      </c>
      <c s="26" r="G1326">
        <f>E1326*H1326</f>
        <v>22.3437</v>
      </c>
      <c s="19" r="H1326">
        <v>1.065</v>
      </c>
    </row>
    <row r="1327">
      <c r="A1327">
        <v>767</v>
      </c>
      <c r="B1327">
        <v>1263</v>
      </c>
      <c t="s" r="C1327">
        <v>384</v>
      </c>
      <c r="D1327">
        <v>0.01</v>
      </c>
      <c r="E1327">
        <f>D1327*B1327</f>
        <v>12.63</v>
      </c>
      <c s="26" r="F1327">
        <f>G1327-E1327</f>
        <v>0.82095</v>
      </c>
      <c s="26" r="G1327">
        <f>E1327*H1327</f>
        <v>13.45095</v>
      </c>
      <c s="19" r="H1327">
        <v>1.065</v>
      </c>
    </row>
    <row r="1328">
      <c r="A1328">
        <v>767</v>
      </c>
      <c r="B1328">
        <v>1</v>
      </c>
      <c t="s" r="C1328">
        <v>700</v>
      </c>
      <c r="D1328">
        <v>0.05</v>
      </c>
      <c r="E1328">
        <f>D1328*B1328</f>
        <v>0.05</v>
      </c>
      <c s="26" r="F1328">
        <f>G1328-E1328</f>
        <v>4.95</v>
      </c>
      <c s="26" r="G1328">
        <f>E1328*H1328</f>
        <v>5</v>
      </c>
      <c s="19" r="H1328">
        <v>100</v>
      </c>
    </row>
    <row r="1329">
      <c r="A1329">
        <v>767</v>
      </c>
      <c r="B1329">
        <v>1</v>
      </c>
      <c t="s" r="C1329">
        <v>701</v>
      </c>
      <c r="D1329">
        <v>0.01</v>
      </c>
      <c r="E1329">
        <f>D1329*B1329</f>
        <v>0.01</v>
      </c>
      <c s="26" r="F1329">
        <f>G1329-E1329</f>
        <v>3.9899</v>
      </c>
      <c s="26" r="G1329">
        <f>E1329*H1329</f>
        <v>3.9999</v>
      </c>
      <c s="19" r="H1329">
        <v>399.99</v>
      </c>
    </row>
    <row r="1330">
      <c r="A1330">
        <v>767</v>
      </c>
      <c r="B1330">
        <v>1</v>
      </c>
      <c t="s" r="C1330">
        <v>702</v>
      </c>
      <c r="D1330">
        <v>0.01</v>
      </c>
      <c r="E1330">
        <f>D1330*B1330</f>
        <v>0.01</v>
      </c>
      <c s="26" r="F1330">
        <f>G1330-E1330</f>
        <v>6.9899</v>
      </c>
      <c s="26" r="G1330">
        <f>E1330*H1330</f>
        <v>6.9999</v>
      </c>
      <c s="19" r="H1330">
        <v>699.99</v>
      </c>
    </row>
    <row r="1331">
      <c r="A1331">
        <v>767</v>
      </c>
      <c r="B1331">
        <v>1</v>
      </c>
      <c t="s" r="C1331">
        <v>703</v>
      </c>
      <c r="D1331">
        <v>0.44</v>
      </c>
      <c r="E1331">
        <f>D1331*B1331</f>
        <v>0.44</v>
      </c>
      <c s="26" r="F1331">
        <f>G1331-E1331</f>
        <v>6.336</v>
      </c>
      <c s="26" r="G1331">
        <f>E1331*H1331</f>
        <v>6.776</v>
      </c>
      <c s="19" r="H1331">
        <v>15.4</v>
      </c>
    </row>
    <row r="1332">
      <c r="A1332">
        <v>768</v>
      </c>
      <c r="B1332">
        <v>19299</v>
      </c>
      <c t="s" r="C1332">
        <v>704</v>
      </c>
      <c r="D1332">
        <v>0.01</v>
      </c>
      <c r="E1332">
        <f>D1332*B1332</f>
        <v>192.99</v>
      </c>
      <c s="26" r="F1332">
        <f>G1332-E1332</f>
        <v>0</v>
      </c>
      <c s="26" r="G1332">
        <f>E1332*H1332</f>
        <v>192.99</v>
      </c>
      <c s="19" r="H1332">
        <v>1</v>
      </c>
    </row>
    <row r="1333">
      <c r="A1333">
        <v>768</v>
      </c>
      <c r="B1333">
        <v>1</v>
      </c>
      <c t="s" r="C1333">
        <v>705</v>
      </c>
      <c r="D1333">
        <v>30</v>
      </c>
      <c r="E1333">
        <f>D1333*B1333</f>
        <v>30</v>
      </c>
      <c s="26" r="F1333">
        <f>G1333-E1333</f>
        <v>470.001</v>
      </c>
      <c s="26" r="G1333">
        <f>E1333*H1333</f>
        <v>500.001</v>
      </c>
      <c s="19" r="H1333">
        <v>16.666700000000002</v>
      </c>
    </row>
    <row r="1334">
      <c r="A1334">
        <v>764</v>
      </c>
      <c r="B1334">
        <v>6</v>
      </c>
      <c t="s" r="C1334">
        <v>665</v>
      </c>
      <c r="D1334">
        <v>0.01</v>
      </c>
      <c r="E1334">
        <f>D1334*B1334</f>
        <v>0.06</v>
      </c>
      <c s="26" r="F1334">
        <f>G1334-E1334</f>
        <v>0</v>
      </c>
      <c s="26" r="G1334">
        <f>E1334*H1334</f>
        <v>0.06</v>
      </c>
      <c s="19" r="H1334">
        <v>1</v>
      </c>
    </row>
    <row r="1335">
      <c r="A1335">
        <v>769</v>
      </c>
      <c r="B1335">
        <v>1</v>
      </c>
      <c t="s" r="C1335">
        <v>705</v>
      </c>
      <c r="D1335">
        <v>30</v>
      </c>
      <c r="E1335">
        <f>D1335*B1335</f>
        <v>30</v>
      </c>
      <c s="26" r="F1335">
        <f>G1335-E1335</f>
        <v>470.001</v>
      </c>
      <c s="26" r="G1335">
        <f>E1335*H1335</f>
        <v>500.001</v>
      </c>
      <c s="19" r="H1335">
        <v>16.666700000000002</v>
      </c>
    </row>
    <row r="1336">
      <c r="A1336">
        <v>769</v>
      </c>
      <c r="B1336">
        <v>15017</v>
      </c>
      <c t="s" r="C1336">
        <v>704</v>
      </c>
      <c r="D1336">
        <v>0.01</v>
      </c>
      <c r="E1336">
        <f>D1336*B1336</f>
        <v>150.17</v>
      </c>
      <c s="26" r="F1336">
        <f>G1336-E1336</f>
        <v>0</v>
      </c>
      <c s="26" r="G1336">
        <f>E1336*H1336</f>
        <v>150.17</v>
      </c>
      <c s="19" r="H1336">
        <v>1</v>
      </c>
    </row>
    <row r="1337">
      <c r="A1337">
        <v>769</v>
      </c>
      <c r="B1337">
        <v>45</v>
      </c>
      <c t="s" r="C1337">
        <v>660</v>
      </c>
      <c r="D1337">
        <v>5</v>
      </c>
      <c r="E1337">
        <f>D1337*B1337</f>
        <v>225</v>
      </c>
      <c s="26" r="F1337">
        <f>G1337-E1337</f>
        <v>27.45</v>
      </c>
      <c s="26" r="G1337">
        <f>E1337*H1337</f>
        <v>252.45</v>
      </c>
      <c s="19" r="H1337">
        <v>1.122</v>
      </c>
    </row>
    <row r="1338">
      <c r="A1338">
        <v>770</v>
      </c>
      <c r="B1338">
        <v>11</v>
      </c>
      <c t="s" r="C1338">
        <v>665</v>
      </c>
      <c r="D1338">
        <v>0.01</v>
      </c>
      <c r="E1338">
        <f>D1338*B1338</f>
        <v>0.11</v>
      </c>
      <c s="26" r="F1338">
        <f>G1338-E1338</f>
        <v>0</v>
      </c>
      <c s="26" r="G1338">
        <f>E1338*H1338</f>
        <v>0.11</v>
      </c>
      <c s="19" r="H1338">
        <v>1</v>
      </c>
    </row>
    <row r="1339">
      <c r="A1339">
        <v>770</v>
      </c>
      <c r="B1339">
        <v>1</v>
      </c>
      <c t="s" r="C1339">
        <v>666</v>
      </c>
      <c r="D1339">
        <v>18.91</v>
      </c>
      <c r="E1339">
        <f>D1339*B1339</f>
        <v>18.91</v>
      </c>
      <c s="26" r="F1339">
        <f>G1339-E1339</f>
        <v>3.08233</v>
      </c>
      <c s="26" r="G1339">
        <f>E1339*H1339</f>
        <v>21.99233</v>
      </c>
      <c s="19" r="H1339">
        <v>1.163</v>
      </c>
    </row>
    <row r="1340">
      <c r="A1340">
        <v>770</v>
      </c>
      <c r="B1340">
        <v>1</v>
      </c>
      <c t="s" r="C1340">
        <v>706</v>
      </c>
      <c r="D1340">
        <v>21.21</v>
      </c>
      <c r="E1340">
        <f>D1340*B1340</f>
        <v>21.21</v>
      </c>
      <c s="26" r="F1340">
        <f>G1340-E1340</f>
        <v>10.605</v>
      </c>
      <c s="26" r="G1340">
        <f>E1340*H1340</f>
        <v>31.815</v>
      </c>
      <c s="19" r="H1340">
        <v>1.5</v>
      </c>
    </row>
    <row r="1341">
      <c r="A1341">
        <v>771</v>
      </c>
      <c r="B1341">
        <v>1129</v>
      </c>
      <c t="s" r="C1341">
        <v>56</v>
      </c>
      <c r="D1341">
        <v>0.3</v>
      </c>
      <c r="E1341">
        <f>D1341*B1341</f>
        <v>338.7</v>
      </c>
      <c s="26" r="F1341">
        <f>G1341-E1341</f>
        <v>12.29481</v>
      </c>
      <c s="26" r="G1341">
        <f>E1341*H1341</f>
        <v>350.99481</v>
      </c>
      <c s="19" r="H1341">
        <v>1.0363</v>
      </c>
    </row>
    <row r="1342">
      <c r="A1342">
        <v>772</v>
      </c>
      <c r="B1342">
        <v>24</v>
      </c>
      <c t="s" r="C1342">
        <v>362</v>
      </c>
      <c r="D1342">
        <v>0.8</v>
      </c>
      <c r="E1342">
        <f>D1342*B1342</f>
        <v>19.2</v>
      </c>
      <c s="26" r="F1342">
        <f>G1342-E1342</f>
        <v>39.36</v>
      </c>
      <c s="26" r="G1342">
        <f>E1342*H1342</f>
        <v>58.56</v>
      </c>
      <c s="19" r="H1342">
        <v>3.05</v>
      </c>
    </row>
    <row r="1343">
      <c r="A1343">
        <v>772</v>
      </c>
      <c r="B1343">
        <f>2290+9256</f>
        <v>11546</v>
      </c>
      <c t="s" r="C1343">
        <v>384</v>
      </c>
      <c r="D1343">
        <v>0.01</v>
      </c>
      <c r="E1343">
        <f>D1343*B1343</f>
        <v>115.46</v>
      </c>
      <c s="26" r="F1343">
        <f>G1343-E1343</f>
        <v>7.50489999999999</v>
      </c>
      <c s="26" r="G1343">
        <f>E1343*H1343</f>
        <v>122.9649</v>
      </c>
      <c s="19" r="H1343">
        <v>1.065</v>
      </c>
    </row>
    <row r="1344">
      <c r="A1344">
        <v>773</v>
      </c>
      <c r="B1344">
        <v>25</v>
      </c>
      <c t="s" r="C1344">
        <v>387</v>
      </c>
      <c r="D1344">
        <v>0.8</v>
      </c>
      <c r="E1344">
        <f>D1344*B1344</f>
        <v>20</v>
      </c>
      <c s="26" r="F1344">
        <f>G1344-E1344</f>
        <v>43</v>
      </c>
      <c s="26" r="G1344">
        <f>E1344*H1344</f>
        <v>63</v>
      </c>
      <c s="19" r="H1344">
        <v>3.15</v>
      </c>
    </row>
    <row r="1345">
      <c r="A1345">
        <v>773</v>
      </c>
      <c r="B1345">
        <v>8042</v>
      </c>
      <c t="s" r="C1345">
        <v>384</v>
      </c>
      <c r="D1345">
        <v>0.01</v>
      </c>
      <c r="E1345">
        <f>D1345*B1345</f>
        <v>80.42</v>
      </c>
      <c s="26" r="F1345">
        <f>G1345-E1345</f>
        <v>5.2273</v>
      </c>
      <c s="26" r="G1345">
        <f>E1345*H1345</f>
        <v>85.6473</v>
      </c>
      <c s="19" r="H1345">
        <v>1.065</v>
      </c>
    </row>
    <row r="1346">
      <c r="A1346">
        <v>774</v>
      </c>
      <c r="B1346">
        <v>15</v>
      </c>
      <c t="s" r="C1346">
        <v>387</v>
      </c>
      <c r="D1346">
        <v>0.8</v>
      </c>
      <c r="E1346">
        <f>D1346*B1346</f>
        <v>12</v>
      </c>
      <c s="26" r="F1346">
        <f>G1346-E1346</f>
        <v>25.2</v>
      </c>
      <c s="26" r="G1346">
        <f>E1346*H1346</f>
        <v>37.2</v>
      </c>
      <c s="19" r="H1346">
        <v>3.1</v>
      </c>
    </row>
    <row r="1347">
      <c r="A1347">
        <v>774</v>
      </c>
      <c r="B1347">
        <v>4365</v>
      </c>
      <c t="s" r="C1347">
        <v>384</v>
      </c>
      <c r="D1347">
        <v>0.01</v>
      </c>
      <c r="E1347">
        <f>D1347*B1347</f>
        <v>43.65</v>
      </c>
      <c s="26" r="F1347">
        <f>G1347-E1347</f>
        <v>2.83725</v>
      </c>
      <c s="26" r="G1347">
        <f>E1347*H1347</f>
        <v>46.48725</v>
      </c>
      <c s="19" r="H1347">
        <v>1.065</v>
      </c>
    </row>
    <row r="1348">
      <c r="A1348">
        <v>775</v>
      </c>
      <c r="B1348">
        <v>1</v>
      </c>
      <c t="s" r="C1348">
        <v>666</v>
      </c>
      <c r="D1348">
        <v>22.7</v>
      </c>
      <c r="E1348">
        <f>D1348*B1348</f>
        <v>22.7</v>
      </c>
      <c s="26" r="F1348">
        <f>G1348-E1348</f>
        <v>3.30058</v>
      </c>
      <c s="26" r="G1348">
        <f>E1348*H1348</f>
        <v>26.00058</v>
      </c>
      <c s="19" r="H1348">
        <v>1.1454</v>
      </c>
    </row>
    <row r="1349">
      <c r="A1349">
        <v>775</v>
      </c>
      <c r="B1349">
        <v>1</v>
      </c>
      <c t="s" r="C1349">
        <v>551</v>
      </c>
      <c r="D1349">
        <v>22.7</v>
      </c>
      <c r="E1349">
        <f>D1349*B1349</f>
        <v>22.7</v>
      </c>
      <c s="26" r="F1349">
        <f>G1349-E1349</f>
        <v>4.29938</v>
      </c>
      <c s="26" r="G1349">
        <f>E1349*H1349</f>
        <v>26.99938</v>
      </c>
      <c s="19" r="H1349">
        <v>1.1894</v>
      </c>
    </row>
    <row r="1350">
      <c r="A1350">
        <v>775</v>
      </c>
      <c r="B1350">
        <v>1</v>
      </c>
      <c t="s" r="C1350">
        <v>707</v>
      </c>
      <c r="D1350">
        <v>19.4</v>
      </c>
      <c r="E1350">
        <f>D1350*B1350</f>
        <v>19.4</v>
      </c>
      <c s="26" r="F1350">
        <f>G1350-E1350</f>
        <v>2.5996</v>
      </c>
      <c s="26" r="G1350">
        <f>E1350*H1350</f>
        <v>21.9996</v>
      </c>
      <c s="19" r="H1350">
        <v>1.134</v>
      </c>
    </row>
    <row r="1351">
      <c r="A1351">
        <v>775</v>
      </c>
      <c r="B1351">
        <v>4</v>
      </c>
      <c t="s" r="C1351">
        <v>665</v>
      </c>
      <c r="D1351">
        <v>0.01</v>
      </c>
      <c r="E1351">
        <f>D1351*B1351</f>
        <v>0.04</v>
      </c>
      <c s="26" r="F1351">
        <f>G1351-E1351</f>
        <v>0</v>
      </c>
      <c s="26" r="G1351">
        <f>E1351*H1351</f>
        <v>0.04</v>
      </c>
      <c s="19" r="H1351">
        <v>1</v>
      </c>
    </row>
    <row r="1352">
      <c r="A1352">
        <v>776</v>
      </c>
      <c r="B1352">
        <v>1</v>
      </c>
      <c t="s" r="C1352">
        <v>708</v>
      </c>
      <c r="D1352">
        <v>32.54</v>
      </c>
      <c r="E1352">
        <f>D1352*B1352</f>
        <v>32.54</v>
      </c>
      <c s="26" r="F1352">
        <f>G1352-E1352</f>
        <v>5.8572</v>
      </c>
      <c s="26" r="G1352">
        <f>E1352*H1352</f>
        <v>38.3972</v>
      </c>
      <c s="19" r="H1352">
        <v>1.18</v>
      </c>
    </row>
    <row r="1353">
      <c r="A1353">
        <v>776</v>
      </c>
      <c r="B1353">
        <v>1</v>
      </c>
      <c t="s" r="C1353">
        <v>709</v>
      </c>
      <c r="D1353">
        <v>25.6</v>
      </c>
      <c r="E1353">
        <f>D1353*B1353</f>
        <v>25.6</v>
      </c>
      <c s="26" r="F1353">
        <f>G1353-E1353</f>
        <v>4.352</v>
      </c>
      <c s="26" r="G1353">
        <f>E1353*H1353</f>
        <v>29.952</v>
      </c>
      <c s="19" r="H1353">
        <v>1.17</v>
      </c>
    </row>
    <row r="1354">
      <c r="A1354">
        <v>776</v>
      </c>
      <c r="B1354">
        <v>1</v>
      </c>
      <c t="s" r="C1354">
        <v>639</v>
      </c>
      <c r="D1354">
        <v>25.6</v>
      </c>
      <c r="E1354">
        <f>D1354*B1354</f>
        <v>25.6</v>
      </c>
      <c s="26" r="F1354">
        <f>G1354-E1354</f>
        <v>4.40064</v>
      </c>
      <c s="26" r="G1354">
        <f>E1354*H1354</f>
        <v>30.00064</v>
      </c>
      <c s="19" r="H1354">
        <v>1.1719</v>
      </c>
    </row>
    <row r="1355">
      <c r="A1355">
        <v>776</v>
      </c>
      <c r="B1355">
        <v>5</v>
      </c>
      <c t="s" r="C1355">
        <v>665</v>
      </c>
      <c r="D1355">
        <v>0.01</v>
      </c>
      <c r="E1355">
        <f>D1355*B1355</f>
        <v>0.05</v>
      </c>
      <c s="26" r="F1355">
        <f>G1355-E1355</f>
        <v>0</v>
      </c>
      <c s="26" r="G1355">
        <f>E1355*H1355</f>
        <v>0.05</v>
      </c>
      <c s="19" r="H1355">
        <v>1</v>
      </c>
    </row>
    <row r="1356">
      <c r="A1356">
        <v>777</v>
      </c>
      <c r="B1356">
        <v>1</v>
      </c>
      <c t="s" r="C1356">
        <v>640</v>
      </c>
      <c r="D1356">
        <v>28.9</v>
      </c>
      <c r="E1356">
        <f>D1356*B1356</f>
        <v>28.9</v>
      </c>
      <c s="26" r="F1356">
        <f>G1356-E1356</f>
        <v>4.10091</v>
      </c>
      <c s="26" r="G1356">
        <f>E1356*H1356</f>
        <v>33.00091</v>
      </c>
      <c s="19" r="H1356">
        <v>1.1419</v>
      </c>
    </row>
    <row r="1357">
      <c r="A1357">
        <v>777</v>
      </c>
      <c r="B1357">
        <v>6</v>
      </c>
      <c t="s" r="C1357">
        <v>665</v>
      </c>
      <c r="D1357">
        <v>0.01</v>
      </c>
      <c r="E1357">
        <f>D1357*B1357</f>
        <v>0.06</v>
      </c>
      <c s="26" r="F1357">
        <f>G1357-E1357</f>
        <v>0</v>
      </c>
      <c s="26" r="G1357">
        <f>E1357*H1357</f>
        <v>0.06</v>
      </c>
      <c s="19" r="H1357">
        <v>1</v>
      </c>
    </row>
    <row r="1358">
      <c r="A1358">
        <v>778</v>
      </c>
      <c r="B1358">
        <v>1390</v>
      </c>
      <c t="s" r="C1358">
        <v>139</v>
      </c>
      <c r="D1358">
        <f>556/1390</f>
        <v>0.4</v>
      </c>
      <c r="E1358">
        <f>D1358*B1358</f>
        <v>556</v>
      </c>
      <c s="26" r="F1358">
        <f>G1358-E1358</f>
        <v>11.0088000000001</v>
      </c>
      <c s="26" r="G1358">
        <f>E1358*H1358</f>
        <v>567.0088</v>
      </c>
      <c s="19" r="H1358">
        <v>1.0198</v>
      </c>
    </row>
    <row r="1359">
      <c r="A1359">
        <v>779</v>
      </c>
      <c r="B1359">
        <v>11</v>
      </c>
      <c t="s" r="C1359">
        <v>665</v>
      </c>
      <c r="D1359">
        <v>0.01</v>
      </c>
      <c r="E1359">
        <f>D1359*B1359</f>
        <v>0.11</v>
      </c>
      <c s="26" r="F1359">
        <f>G1359-E1359</f>
        <v>0</v>
      </c>
      <c s="26" r="G1359">
        <f>E1359*H1359</f>
        <v>0.11</v>
      </c>
      <c s="19" r="H1359">
        <v>1</v>
      </c>
    </row>
    <row r="1360">
      <c r="A1360">
        <v>779</v>
      </c>
      <c r="B1360">
        <v>1</v>
      </c>
      <c t="s" r="C1360">
        <v>640</v>
      </c>
      <c r="D1360">
        <v>28.9</v>
      </c>
      <c r="E1360">
        <f>D1360*B1360</f>
        <v>28.9</v>
      </c>
      <c s="26" r="F1360">
        <f>G1360-E1360</f>
        <v>10.10055</v>
      </c>
      <c s="26" r="G1360">
        <f>E1360*H1360</f>
        <v>39.00055</v>
      </c>
      <c s="19" r="H1360">
        <v>1.3495</v>
      </c>
    </row>
    <row r="1361">
      <c r="A1361">
        <v>779</v>
      </c>
      <c r="B1361">
        <v>1</v>
      </c>
      <c t="s" r="C1361">
        <v>707</v>
      </c>
      <c r="D1361">
        <v>19.4</v>
      </c>
      <c r="E1361">
        <f>D1361*B1361</f>
        <v>19.4</v>
      </c>
      <c s="26" r="F1361">
        <f>G1361-E1361</f>
        <v>2.5996</v>
      </c>
      <c s="26" r="G1361">
        <f>E1361*H1361</f>
        <v>21.9996</v>
      </c>
      <c s="19" r="H1361">
        <v>1.134</v>
      </c>
    </row>
    <row r="1362">
      <c r="A1362">
        <v>779</v>
      </c>
      <c r="B1362">
        <v>1</v>
      </c>
      <c t="s" r="C1362">
        <v>666</v>
      </c>
      <c r="D1362">
        <v>19.82</v>
      </c>
      <c r="E1362">
        <f>D1362*B1362</f>
        <v>19.82</v>
      </c>
      <c s="26" r="F1362">
        <f>G1362-E1362</f>
        <v>3.179128</v>
      </c>
      <c s="26" r="G1362">
        <f>E1362*H1362</f>
        <v>22.999128</v>
      </c>
      <c s="19" r="H1362">
        <v>1.1604</v>
      </c>
    </row>
    <row r="1363">
      <c r="A1363">
        <v>780</v>
      </c>
      <c r="B1363">
        <v>26514</v>
      </c>
      <c t="s" r="C1363">
        <v>384</v>
      </c>
      <c r="D1363">
        <v>0.01</v>
      </c>
      <c r="E1363">
        <f>D1363*B1363</f>
        <v>265.14</v>
      </c>
      <c s="26" r="F1363">
        <f>G1363-E1363</f>
        <v>17.2341</v>
      </c>
      <c s="26" r="G1363">
        <f>E1363*H1363</f>
        <v>282.3741</v>
      </c>
      <c s="19" r="H1363">
        <v>1.065</v>
      </c>
    </row>
    <row r="1364">
      <c r="A1364">
        <v>781</v>
      </c>
      <c r="B1364">
        <v>3029</v>
      </c>
      <c t="s" r="C1364">
        <v>384</v>
      </c>
      <c r="D1364">
        <v>0.01</v>
      </c>
      <c r="E1364">
        <f>D1364*B1364</f>
        <v>30.29</v>
      </c>
      <c s="26" r="F1364">
        <f>G1364-E1364</f>
        <v>1.96885</v>
      </c>
      <c s="26" r="G1364">
        <f>E1364*H1364</f>
        <v>32.25885</v>
      </c>
      <c s="19" r="H1364">
        <v>1.065</v>
      </c>
    </row>
    <row r="1365">
      <c r="A1365">
        <v>783</v>
      </c>
      <c r="B1365">
        <v>11081</v>
      </c>
      <c t="s" r="C1365">
        <v>384</v>
      </c>
      <c r="D1365">
        <v>0.01</v>
      </c>
      <c r="E1365">
        <f>D1365*B1365</f>
        <v>110.81</v>
      </c>
      <c s="26" r="F1365">
        <f>G1365-E1365</f>
        <v>7.53508000000001</v>
      </c>
      <c s="26" r="G1365">
        <f>E1365*H1365</f>
        <v>118.34508</v>
      </c>
      <c s="19" r="H1365">
        <v>1.068</v>
      </c>
    </row>
    <row r="1366">
      <c r="A1366">
        <v>783</v>
      </c>
      <c r="B1366">
        <v>6690</v>
      </c>
      <c t="s" r="C1366">
        <v>384</v>
      </c>
      <c r="D1366">
        <v>0.01</v>
      </c>
      <c r="E1366">
        <f>D1366*B1366</f>
        <v>66.9</v>
      </c>
      <c s="26" r="F1366">
        <f>G1366-E1366</f>
        <v>4.5492</v>
      </c>
      <c s="26" r="G1366">
        <f>E1366*H1366</f>
        <v>71.4492</v>
      </c>
      <c s="19" r="H1366">
        <v>1.068</v>
      </c>
    </row>
    <row r="1367">
      <c r="A1367">
        <v>784</v>
      </c>
      <c r="B1367">
        <v>490</v>
      </c>
      <c t="s" r="C1367">
        <v>56</v>
      </c>
      <c r="D1367">
        <v>0.3</v>
      </c>
      <c r="E1367">
        <f>D1367*B1367</f>
        <v>147</v>
      </c>
      <c s="26" r="F1367">
        <f>G1367-E1367</f>
        <v>10.6281</v>
      </c>
      <c s="26" r="G1367">
        <f>E1367*H1367</f>
        <v>157.6281</v>
      </c>
      <c s="19" r="H1367">
        <v>1.0723</v>
      </c>
    </row>
    <row r="1368">
      <c r="A1368">
        <v>785</v>
      </c>
      <c r="B1368">
        <v>1</v>
      </c>
      <c t="s" r="C1368">
        <v>551</v>
      </c>
      <c r="D1368">
        <v>19.19</v>
      </c>
      <c r="E1368">
        <f>D1368*B1368</f>
        <v>19.19</v>
      </c>
      <c s="26" r="F1368">
        <f>G1368-E1368</f>
        <v>2.80174</v>
      </c>
      <c s="26" r="G1368">
        <f>E1368*H1368</f>
        <v>21.99174</v>
      </c>
      <c s="19" r="H1368">
        <v>1.146</v>
      </c>
    </row>
    <row r="1369">
      <c r="A1369">
        <v>782</v>
      </c>
      <c r="B1369">
        <v>3</v>
      </c>
      <c t="s" r="C1369">
        <v>665</v>
      </c>
      <c r="D1369">
        <v>0.01</v>
      </c>
      <c r="E1369">
        <f>D1369*B1369</f>
        <v>0.03</v>
      </c>
      <c s="26" r="F1369">
        <f>G1369-E1369</f>
        <v>0</v>
      </c>
      <c s="26" r="G1369">
        <f>E1369*H1369</f>
        <v>0.03</v>
      </c>
      <c s="19" r="H1369">
        <v>1</v>
      </c>
    </row>
    <row r="1370">
      <c r="A1370">
        <v>785</v>
      </c>
      <c r="B1370">
        <v>6</v>
      </c>
      <c t="s" r="C1370">
        <v>665</v>
      </c>
      <c r="D1370">
        <v>0.01</v>
      </c>
      <c r="E1370">
        <f>D1370*B1370</f>
        <v>0.06</v>
      </c>
      <c s="26" r="F1370">
        <f>G1370-E1370</f>
        <v>0</v>
      </c>
      <c s="26" r="G1370">
        <f>E1370*H1370</f>
        <v>0.06</v>
      </c>
      <c s="19" r="H1370">
        <v>1</v>
      </c>
    </row>
    <row r="1371">
      <c r="A1371">
        <v>786</v>
      </c>
      <c r="B1371">
        <v>3</v>
      </c>
      <c t="s" r="C1371">
        <v>665</v>
      </c>
      <c r="D1371">
        <v>0.01</v>
      </c>
      <c r="E1371">
        <f>D1371*B1371</f>
        <v>0.03</v>
      </c>
      <c s="26" r="F1371">
        <f>G1371-E1371</f>
        <v>0</v>
      </c>
      <c s="26" r="G1371">
        <f>E1371*H1371</f>
        <v>0.03</v>
      </c>
      <c s="19" r="H1371">
        <v>1</v>
      </c>
    </row>
    <row r="1372">
      <c r="A1372">
        <v>786</v>
      </c>
      <c r="B1372">
        <v>1</v>
      </c>
      <c t="s" r="C1372">
        <v>638</v>
      </c>
      <c r="D1372">
        <v>59.84</v>
      </c>
      <c r="E1372">
        <f>D1372*B1372</f>
        <v>59.84</v>
      </c>
      <c s="26" r="F1372">
        <f>G1372-E1372</f>
        <v>14.158144</v>
      </c>
      <c s="26" r="G1372">
        <f>E1372*H1372</f>
        <v>73.998144</v>
      </c>
      <c s="19" r="H1372">
        <v>1.2366</v>
      </c>
    </row>
    <row r="1373">
      <c r="A1373">
        <v>787</v>
      </c>
      <c r="B1373">
        <v>2</v>
      </c>
      <c t="s" r="C1373">
        <v>524</v>
      </c>
      <c r="D1373">
        <v>2</v>
      </c>
      <c r="E1373">
        <f>D1373*B1373</f>
        <v>4</v>
      </c>
      <c s="26" r="F1373">
        <f>G1373-E1373</f>
        <v>0.2</v>
      </c>
      <c s="26" r="G1373">
        <f>E1373*H1373</f>
        <v>4.2</v>
      </c>
      <c s="19" r="H1373">
        <v>1.05</v>
      </c>
    </row>
    <row r="1374">
      <c r="A1374">
        <v>788</v>
      </c>
      <c r="B1374">
        <v>2365</v>
      </c>
      <c t="s" r="C1374">
        <v>384</v>
      </c>
      <c r="D1374">
        <v>0.01</v>
      </c>
      <c r="E1374">
        <f>D1374*B1374</f>
        <v>23.65</v>
      </c>
      <c s="26" r="F1374">
        <f>G1374-E1374</f>
        <v>1.6082</v>
      </c>
      <c s="26" r="G1374">
        <f>E1374*H1374</f>
        <v>25.2582</v>
      </c>
      <c s="19" r="H1374">
        <v>1.068</v>
      </c>
    </row>
    <row r="1375">
      <c r="A1375">
        <v>788</v>
      </c>
      <c r="B1375">
        <v>1</v>
      </c>
      <c t="s" r="C1375">
        <v>710</v>
      </c>
      <c r="D1375">
        <v>0.01</v>
      </c>
      <c r="E1375">
        <v>0.01</v>
      </c>
      <c s="26" r="F1375">
        <f>G1375-E1375</f>
        <v>349.99</v>
      </c>
      <c s="26" r="G1375">
        <f>E1375*H1375</f>
        <v>350</v>
      </c>
      <c s="19" r="H1375">
        <v>35000</v>
      </c>
    </row>
    <row r="1376">
      <c r="A1376">
        <v>788</v>
      </c>
      <c r="B1376">
        <v>14</v>
      </c>
      <c t="s" r="C1376">
        <v>388</v>
      </c>
      <c r="D1376">
        <v>30.8</v>
      </c>
      <c r="E1376">
        <f>D1376*B1376</f>
        <v>431.2</v>
      </c>
      <c s="26" r="F1376">
        <f>G1376-E1376</f>
        <v>364</v>
      </c>
      <c s="26" r="G1376">
        <f>E1376+(26*B1376)</f>
        <v>795.2</v>
      </c>
      <c s="19" r="H1376"/>
    </row>
    <row r="1377">
      <c r="A1377">
        <v>789</v>
      </c>
      <c r="B1377">
        <v>1</v>
      </c>
      <c t="s" r="C1377">
        <v>389</v>
      </c>
      <c r="D1377">
        <v>27.76</v>
      </c>
      <c r="E1377">
        <f>D1377*B1377</f>
        <v>27.76</v>
      </c>
      <c s="26" r="F1377">
        <f>G1377-E1377</f>
        <v>12</v>
      </c>
      <c s="26" r="G1377">
        <f>E1377+(12*B1377)</f>
        <v>39.76</v>
      </c>
      <c s="19" r="H1377"/>
    </row>
    <row r="1378">
      <c r="A1378">
        <v>789</v>
      </c>
      <c r="B1378">
        <v>350</v>
      </c>
      <c t="s" r="C1378">
        <v>384</v>
      </c>
      <c r="D1378">
        <v>0.01</v>
      </c>
      <c r="E1378">
        <f>D1378*B1378</f>
        <v>3.5</v>
      </c>
      <c s="26" r="F1378">
        <f>G1378-E1378</f>
        <v>0.238</v>
      </c>
      <c s="26" r="G1378">
        <f>E1378*H1378</f>
        <v>3.738</v>
      </c>
      <c s="19" r="H1378">
        <v>1.068</v>
      </c>
    </row>
    <row r="1379">
      <c r="A1379">
        <v>790</v>
      </c>
      <c r="B1379">
        <v>18</v>
      </c>
      <c t="s" r="C1379">
        <v>447</v>
      </c>
      <c r="D1379">
        <v>0.01</v>
      </c>
      <c r="E1379">
        <f>D1379*B1379</f>
        <v>0.18</v>
      </c>
      <c s="26" r="F1379">
        <f>G1379-E1379</f>
        <v>0.0117</v>
      </c>
      <c s="26" r="G1379">
        <f>E1379*H1379</f>
        <v>0.1917</v>
      </c>
      <c s="19" r="H1379">
        <v>1.065</v>
      </c>
    </row>
    <row r="1380">
      <c r="A1380">
        <v>790</v>
      </c>
      <c r="B1380">
        <v>101</v>
      </c>
      <c t="s" r="C1380">
        <v>384</v>
      </c>
      <c r="D1380">
        <v>0.01</v>
      </c>
      <c r="E1380">
        <f>D1380*B1380</f>
        <v>1.01</v>
      </c>
      <c s="26" r="F1380">
        <f>G1380-E1380</f>
        <v>0.06868</v>
      </c>
      <c s="26" r="G1380">
        <f>E1380*H1380</f>
        <v>1.07868</v>
      </c>
      <c s="19" r="H1380">
        <v>1.068</v>
      </c>
    </row>
    <row r="1381">
      <c r="A1381">
        <v>790</v>
      </c>
      <c r="B1381">
        <v>49851</v>
      </c>
      <c t="s" r="C1381">
        <v>272</v>
      </c>
      <c r="D1381">
        <v>0.0001</v>
      </c>
      <c r="E1381">
        <f>D1381*B1381</f>
        <v>4.9851</v>
      </c>
      <c s="26" r="F1381">
        <f>G1381-E1381</f>
        <v>3.888378</v>
      </c>
      <c s="26" r="G1381">
        <f>E1381*H1381</f>
        <v>8.873478</v>
      </c>
      <c s="19" r="H1381">
        <v>1.78</v>
      </c>
    </row>
    <row r="1382">
      <c r="A1382">
        <v>792</v>
      </c>
      <c r="B1382">
        <v>556</v>
      </c>
      <c t="s" r="C1382">
        <v>56</v>
      </c>
      <c r="D1382">
        <v>0.3</v>
      </c>
      <c r="E1382">
        <f>D1382*B1382</f>
        <v>166.8</v>
      </c>
      <c s="26" r="F1382">
        <f>G1382-E1382</f>
        <v>8.34</v>
      </c>
      <c s="26" r="G1382">
        <f>E1382*H1382</f>
        <v>175.14</v>
      </c>
      <c s="19" r="H1382">
        <v>1.05</v>
      </c>
    </row>
    <row r="1383">
      <c r="A1383">
        <v>793</v>
      </c>
      <c r="B1383">
        <v>713327</v>
      </c>
      <c t="s" r="C1383">
        <v>272</v>
      </c>
      <c r="D1383">
        <v>0.0001</v>
      </c>
      <c r="E1383">
        <f>D1383*B1383</f>
        <v>71.3327</v>
      </c>
      <c s="26" r="F1383">
        <f>G1383-E1383</f>
        <v>49.93289</v>
      </c>
      <c s="26" r="G1383">
        <f>E1383*H1383</f>
        <v>121.26559</v>
      </c>
      <c s="19" r="H1383">
        <v>1.7</v>
      </c>
    </row>
    <row r="1384">
      <c r="A1384">
        <v>793</v>
      </c>
      <c r="B1384">
        <v>2926</v>
      </c>
      <c t="s" r="C1384">
        <v>384</v>
      </c>
      <c r="D1384">
        <v>0.01</v>
      </c>
      <c r="E1384">
        <f>D1384*B1384</f>
        <v>29.26</v>
      </c>
      <c s="26" r="F1384">
        <f>G1384-E1384</f>
        <v>1.98968</v>
      </c>
      <c s="26" r="G1384">
        <f>E1384*H1384</f>
        <v>31.24968</v>
      </c>
      <c s="19" r="H1384">
        <v>1.068</v>
      </c>
    </row>
    <row r="1385">
      <c r="A1385">
        <v>793</v>
      </c>
      <c r="B1385">
        <v>1888</v>
      </c>
      <c t="s" r="C1385">
        <v>447</v>
      </c>
      <c r="D1385">
        <v>0.01</v>
      </c>
      <c r="E1385">
        <f>D1385*B1385</f>
        <v>18.88</v>
      </c>
      <c s="26" r="F1385">
        <f>G1385-E1385</f>
        <v>1.2272</v>
      </c>
      <c s="26" r="G1385">
        <f>E1385*H1385</f>
        <v>20.1072</v>
      </c>
      <c s="19" r="H1385">
        <v>1.065</v>
      </c>
    </row>
    <row r="1386">
      <c r="A1386">
        <v>794</v>
      </c>
      <c r="B1386">
        <v>9469</v>
      </c>
      <c t="s" r="C1386">
        <v>384</v>
      </c>
      <c r="D1386">
        <v>0.01</v>
      </c>
      <c r="E1386">
        <f>D1386*B1386</f>
        <v>94.69</v>
      </c>
      <c s="26" r="F1386">
        <f>G1386-E1386</f>
        <v>6.43892000000001</v>
      </c>
      <c s="26" r="G1386">
        <f>E1386*H1386</f>
        <v>101.12892</v>
      </c>
      <c s="19" r="H1386">
        <v>1.068</v>
      </c>
    </row>
    <row r="1387">
      <c r="A1387">
        <v>794</v>
      </c>
      <c r="B1387">
        <v>1</v>
      </c>
      <c t="s" r="C1387">
        <v>711</v>
      </c>
      <c r="D1387">
        <v>0.01</v>
      </c>
      <c r="E1387">
        <f>D1387*B1387</f>
        <v>0.01</v>
      </c>
      <c s="26" r="F1387">
        <f>G1387-E1387</f>
        <v>159.99</v>
      </c>
      <c s="26" r="G1387">
        <f>E1387*H1387</f>
        <v>160</v>
      </c>
      <c s="19" r="H1387">
        <v>16000</v>
      </c>
    </row>
    <row r="1388">
      <c r="A1388">
        <v>795</v>
      </c>
      <c r="B1388">
        <v>2</v>
      </c>
      <c t="s" r="C1388">
        <v>392</v>
      </c>
      <c r="D1388">
        <f>65.40/2</f>
        <v>32.7</v>
      </c>
      <c r="E1388">
        <f>D1388*B1388</f>
        <v>65.4</v>
      </c>
      <c s="26" r="F1388">
        <f>G1388-E1388</f>
        <v>11.118</v>
      </c>
      <c s="26" r="G1388">
        <f>E1388*H1388</f>
        <v>76.518</v>
      </c>
      <c s="19" r="H1388">
        <v>1.17</v>
      </c>
    </row>
    <row r="1389">
      <c r="A1389">
        <v>795</v>
      </c>
      <c r="B1389">
        <v>363</v>
      </c>
      <c t="s" r="C1389">
        <v>384</v>
      </c>
      <c r="D1389">
        <v>0.01</v>
      </c>
      <c r="E1389">
        <f>D1389*B1389</f>
        <v>3.63</v>
      </c>
      <c s="26" r="F1389">
        <f>G1389-E1389</f>
        <v>0.24684</v>
      </c>
      <c s="26" r="G1389">
        <f>E1389*H1389</f>
        <v>3.87684</v>
      </c>
      <c s="19" r="H1389">
        <v>1.068</v>
      </c>
    </row>
    <row r="1390">
      <c r="A1390">
        <v>795</v>
      </c>
      <c r="B1390">
        <v>9051</v>
      </c>
      <c t="s" r="C1390">
        <v>447</v>
      </c>
      <c r="D1390">
        <v>0.01</v>
      </c>
      <c r="E1390">
        <f>D1390*B1390</f>
        <v>90.51</v>
      </c>
      <c s="26" r="F1390">
        <f>G1390-E1390</f>
        <v>5.88315</v>
      </c>
      <c s="26" r="G1390">
        <f>E1390*H1390</f>
        <v>96.39315</v>
      </c>
      <c s="19" r="H1390">
        <v>1.065</v>
      </c>
    </row>
    <row r="1391">
      <c r="A1391">
        <v>795</v>
      </c>
      <c r="B1391">
        <v>1</v>
      </c>
      <c t="s" r="C1391">
        <v>712</v>
      </c>
      <c r="D1391">
        <v>0.9</v>
      </c>
      <c r="E1391">
        <f>D1391*B1391</f>
        <v>0.9</v>
      </c>
      <c s="26" r="F1391">
        <f>G1391-E1391</f>
        <v>12.825</v>
      </c>
      <c s="26" r="G1391">
        <f>E1391*H1391</f>
        <v>13.725</v>
      </c>
      <c s="19" r="H1391">
        <v>15.25</v>
      </c>
    </row>
    <row r="1392">
      <c r="A1392">
        <v>796</v>
      </c>
      <c r="B1392">
        <v>8768</v>
      </c>
      <c t="s" r="C1392">
        <v>384</v>
      </c>
      <c r="D1392">
        <v>0.01</v>
      </c>
      <c r="E1392">
        <f>D1392*B1392</f>
        <v>87.68</v>
      </c>
      <c s="26" r="F1392">
        <f>G1392-E1392</f>
        <v>5.96224000000001</v>
      </c>
      <c s="26" r="G1392">
        <f>E1392*H1392</f>
        <v>93.64224</v>
      </c>
      <c s="19" r="H1392">
        <v>1.068</v>
      </c>
    </row>
    <row r="1393">
      <c r="A1393">
        <v>797</v>
      </c>
      <c r="B1393">
        <v>840</v>
      </c>
      <c t="s" r="C1393">
        <v>327</v>
      </c>
      <c r="D1393">
        <f>33.60/840</f>
        <v>0.04</v>
      </c>
      <c r="E1393">
        <f>D1393*B1393</f>
        <v>33.6</v>
      </c>
      <c s="26" r="F1393">
        <f>G1393-E1393</f>
        <v>11.424</v>
      </c>
      <c s="26" r="G1393">
        <f>E1393*H1393</f>
        <v>45.024</v>
      </c>
      <c s="19" r="H1393">
        <v>1.34</v>
      </c>
    </row>
    <row r="1394">
      <c r="A1394">
        <v>797</v>
      </c>
      <c r="B1394">
        <v>2356</v>
      </c>
      <c t="s" r="C1394">
        <v>384</v>
      </c>
      <c r="D1394">
        <v>0.01</v>
      </c>
      <c r="E1394">
        <f>D1394*B1394</f>
        <v>23.56</v>
      </c>
      <c s="26" r="F1394">
        <f>G1394-E1394</f>
        <v>1.60208</v>
      </c>
      <c s="26" r="G1394">
        <f>E1394*H1394</f>
        <v>25.16208</v>
      </c>
      <c s="19" r="H1394">
        <v>1.068</v>
      </c>
    </row>
    <row r="1395">
      <c r="A1395">
        <v>798</v>
      </c>
      <c r="B1395">
        <v>827</v>
      </c>
      <c t="s" r="C1395">
        <v>384</v>
      </c>
      <c r="D1395">
        <v>0.01</v>
      </c>
      <c r="E1395">
        <f>D1395*B1395</f>
        <v>8.27</v>
      </c>
      <c s="26" r="F1395">
        <f>G1395-E1395</f>
        <v>0.56236</v>
      </c>
      <c s="26" r="G1395">
        <f>E1395*H1395</f>
        <v>8.83236</v>
      </c>
      <c s="19" r="H1395">
        <v>1.068</v>
      </c>
    </row>
    <row r="1396">
      <c r="A1396">
        <v>798</v>
      </c>
      <c r="B1396">
        <v>674</v>
      </c>
      <c t="s" r="C1396">
        <v>447</v>
      </c>
      <c r="D1396">
        <v>0.01</v>
      </c>
      <c r="E1396">
        <f>D1396*B1396</f>
        <v>6.74</v>
      </c>
      <c s="26" r="F1396">
        <f>G1396-E1396</f>
        <v>0.4381</v>
      </c>
      <c s="26" r="G1396">
        <f>E1396*H1396</f>
        <v>7.1781</v>
      </c>
      <c s="19" r="H1396">
        <v>1.065</v>
      </c>
    </row>
    <row r="1397">
      <c r="A1397">
        <v>799</v>
      </c>
      <c r="B1397">
        <v>1</v>
      </c>
      <c t="s" r="C1397">
        <v>713</v>
      </c>
      <c r="D1397">
        <v>7.37</v>
      </c>
      <c r="E1397">
        <f>D1397*B1397</f>
        <v>7.37</v>
      </c>
      <c s="26" r="F1397">
        <f>G1397-E1397</f>
        <v>3.685</v>
      </c>
      <c s="26" r="G1397">
        <f>E1397*H1397</f>
        <v>11.055</v>
      </c>
      <c s="19" r="H1397">
        <v>1.5</v>
      </c>
    </row>
    <row r="1398">
      <c r="A1398">
        <v>799</v>
      </c>
      <c r="B1398">
        <f>(254*3)+81</f>
        <v>843</v>
      </c>
      <c t="s" r="C1398">
        <v>686</v>
      </c>
      <c r="D1398">
        <v>0.1</v>
      </c>
      <c r="E1398">
        <f>D1398*B1398</f>
        <v>84.3</v>
      </c>
      <c s="26" r="F1398">
        <f>G1398-E1398</f>
        <v>6.74400000000001</v>
      </c>
      <c s="26" r="G1398">
        <f>E1398*H1398</f>
        <v>91.044</v>
      </c>
      <c s="19" r="H1398">
        <v>1.08</v>
      </c>
    </row>
    <row r="1399">
      <c r="A1399">
        <v>799</v>
      </c>
      <c r="B1399">
        <v>158</v>
      </c>
      <c t="s" r="C1399">
        <v>578</v>
      </c>
      <c r="D1399">
        <v>0.25</v>
      </c>
      <c r="E1399">
        <f>D1399*B1399</f>
        <v>39.5</v>
      </c>
      <c s="26" r="F1399">
        <f>G1399-E1399</f>
        <v>28.49925</v>
      </c>
      <c s="26" r="G1399">
        <f>E1399*H1399</f>
        <v>67.99925</v>
      </c>
      <c s="19" r="H1399">
        <v>1.7215</v>
      </c>
    </row>
    <row r="1400">
      <c r="A1400">
        <v>799</v>
      </c>
      <c r="B1400">
        <v>143</v>
      </c>
      <c t="s" r="C1400">
        <v>714</v>
      </c>
      <c r="D1400">
        <f>11.44/143</f>
        <v>0.08</v>
      </c>
      <c r="E1400">
        <f>D1400*B1400</f>
        <v>11.44</v>
      </c>
      <c s="26" r="F1400">
        <f>G1400-E1400</f>
        <v>0.3432</v>
      </c>
      <c s="26" r="G1400">
        <f>E1400*H1400</f>
        <v>11.7832</v>
      </c>
      <c s="19" r="H1400">
        <v>1.03</v>
      </c>
    </row>
    <row r="1401">
      <c r="A1401">
        <v>799</v>
      </c>
      <c r="B1401">
        <f>(68*3)+16</f>
        <v>220</v>
      </c>
      <c t="s" r="C1401">
        <v>593</v>
      </c>
      <c r="D1401">
        <f>4/16</f>
        <v>0.25</v>
      </c>
      <c r="E1401">
        <f>D1401*B1401</f>
        <v>55</v>
      </c>
      <c s="26" r="F1401">
        <f>G1401-E1401</f>
        <v>12.694</v>
      </c>
      <c s="26" r="G1401">
        <f>E1401*H1401</f>
        <v>67.694</v>
      </c>
      <c s="19" r="H1401">
        <v>1.2308</v>
      </c>
    </row>
    <row r="1402">
      <c r="A1402">
        <v>799</v>
      </c>
      <c r="B1402">
        <v>24</v>
      </c>
      <c t="s" r="C1402">
        <v>459</v>
      </c>
      <c r="D1402">
        <f>11.28/24</f>
        <v>0.47</v>
      </c>
      <c r="E1402">
        <f>D1402*B1402</f>
        <v>11.28</v>
      </c>
      <c s="26" r="F1402">
        <f>G1402-E1402</f>
        <v>0</v>
      </c>
      <c s="26" r="G1402">
        <f>E1402*H1402</f>
        <v>11.28</v>
      </c>
      <c s="19" r="H1402">
        <v>1</v>
      </c>
    </row>
    <row r="1403">
      <c r="A1403">
        <v>799</v>
      </c>
      <c r="B1403">
        <v>2</v>
      </c>
      <c t="s" r="C1403">
        <v>715</v>
      </c>
      <c r="D1403">
        <v>0.96</v>
      </c>
      <c r="E1403">
        <f>D1403*B1403</f>
        <v>1.92</v>
      </c>
      <c s="26" r="F1403">
        <f>G1403-E1403</f>
        <v>0.4224</v>
      </c>
      <c s="26" r="G1403">
        <f>E1403*H1403</f>
        <v>2.3424</v>
      </c>
      <c s="19" r="H1403">
        <v>1.22</v>
      </c>
    </row>
    <row r="1404">
      <c r="A1404">
        <v>799</v>
      </c>
      <c r="B1404">
        <f>(52*3)+1</f>
        <v>157</v>
      </c>
      <c t="s" r="C1404">
        <v>716</v>
      </c>
      <c r="D1404">
        <v>0.25</v>
      </c>
      <c r="E1404">
        <f>D1404*B1404</f>
        <v>39.25</v>
      </c>
      <c s="26" r="F1404">
        <f>G1404-E1404</f>
        <v>0.392499999999998</v>
      </c>
      <c s="26" r="G1404">
        <f>E1404*H1404</f>
        <v>39.6425</v>
      </c>
      <c s="19" r="H1404">
        <v>1.01</v>
      </c>
    </row>
    <row r="1405">
      <c r="A1405">
        <v>799</v>
      </c>
      <c r="B1405">
        <v>38</v>
      </c>
      <c t="s" r="C1405">
        <v>717</v>
      </c>
      <c r="D1405">
        <f>24.32/38</f>
        <v>0.64</v>
      </c>
      <c r="E1405">
        <f>D1405*B1405</f>
        <v>24.32</v>
      </c>
      <c s="26" r="F1405">
        <f>G1405-E1405</f>
        <v>3.648</v>
      </c>
      <c s="26" r="G1405">
        <f>E1405*H1405</f>
        <v>27.968</v>
      </c>
      <c s="19" r="H1405">
        <v>1.15</v>
      </c>
    </row>
    <row r="1406">
      <c r="A1406">
        <v>799</v>
      </c>
      <c r="B1406">
        <v>6</v>
      </c>
      <c t="s" r="C1406">
        <v>461</v>
      </c>
      <c r="D1406">
        <f>2.82/6</f>
        <v>0.47</v>
      </c>
      <c r="E1406">
        <f>D1406*B1406</f>
        <v>2.82</v>
      </c>
      <c s="26" r="F1406">
        <f>G1406-E1406</f>
        <v>5.6964</v>
      </c>
      <c s="26" r="G1406">
        <f>E1406*H1406</f>
        <v>8.5164</v>
      </c>
      <c s="19" r="H1406">
        <v>3.02</v>
      </c>
    </row>
    <row r="1407">
      <c r="A1407">
        <v>799</v>
      </c>
      <c r="B1407">
        <v>2008</v>
      </c>
      <c t="s" r="C1407">
        <v>718</v>
      </c>
      <c r="D1407">
        <f>40.16/2008</f>
        <v>0.02</v>
      </c>
      <c r="E1407">
        <f>D1407*B1407</f>
        <v>40.16</v>
      </c>
      <c s="26" r="F1407">
        <f>G1407-E1407</f>
        <v>3.6144</v>
      </c>
      <c s="26" r="G1407">
        <f>E1407*H1407</f>
        <v>43.7744</v>
      </c>
      <c s="19" r="H1407">
        <v>1.09</v>
      </c>
    </row>
    <row r="1408">
      <c r="A1408">
        <v>799</v>
      </c>
      <c r="B1408">
        <v>100</v>
      </c>
      <c t="s" r="C1408">
        <v>692</v>
      </c>
      <c r="D1408">
        <f>29.40/98</f>
        <v>0.3</v>
      </c>
      <c r="E1408">
        <f>D1408*B1408</f>
        <v>30</v>
      </c>
      <c s="26" r="F1408">
        <f>G1408-E1408</f>
        <v>1.5</v>
      </c>
      <c s="26" r="G1408">
        <f>E1408*H1408</f>
        <v>31.5</v>
      </c>
      <c s="19" r="H1408">
        <v>1.05</v>
      </c>
    </row>
    <row r="1409">
      <c r="A1409">
        <v>799</v>
      </c>
      <c r="B1409">
        <v>2380</v>
      </c>
      <c t="s" r="C1409">
        <v>693</v>
      </c>
      <c r="D1409">
        <v>0.02</v>
      </c>
      <c r="E1409">
        <f>D1409*B1409</f>
        <v>47.6</v>
      </c>
      <c s="26" r="F1409">
        <f>G1409-E1409</f>
        <v>3.332</v>
      </c>
      <c s="26" r="G1409">
        <f>E1409*H1409</f>
        <v>50.932</v>
      </c>
      <c s="19" r="H1409">
        <v>1.07</v>
      </c>
    </row>
    <row r="1410">
      <c r="A1410">
        <v>799</v>
      </c>
      <c r="B1410">
        <v>213</v>
      </c>
      <c t="s" r="C1410">
        <v>696</v>
      </c>
      <c r="D1410">
        <v>0.25</v>
      </c>
      <c r="E1410">
        <f>D1410*B1410</f>
        <v>53.25</v>
      </c>
      <c s="26" r="F1410">
        <f>G1410-E1410</f>
        <v>12.78</v>
      </c>
      <c s="26" r="G1410">
        <f>E1410*H1410</f>
        <v>66.03</v>
      </c>
      <c s="19" r="H1410">
        <v>1.24</v>
      </c>
    </row>
    <row r="1411">
      <c r="A1411">
        <v>799</v>
      </c>
      <c r="B1411">
        <v>144</v>
      </c>
      <c t="s" r="C1411">
        <v>698</v>
      </c>
      <c r="D1411">
        <v>0.12</v>
      </c>
      <c r="E1411">
        <f>D1411*B1411</f>
        <v>17.28</v>
      </c>
      <c s="26" r="F1411">
        <f>G1411-E1411</f>
        <v>0.864000000000001</v>
      </c>
      <c s="26" r="G1411">
        <f>E1411*H1411</f>
        <v>18.144</v>
      </c>
      <c s="19" r="H1411">
        <v>1.05</v>
      </c>
    </row>
    <row r="1412">
      <c r="A1412">
        <v>799</v>
      </c>
      <c r="B1412">
        <v>415</v>
      </c>
      <c t="s" r="C1412">
        <v>719</v>
      </c>
      <c r="D1412">
        <v>0.06</v>
      </c>
      <c r="E1412">
        <f>D1412*B1412</f>
        <v>24.9</v>
      </c>
      <c s="26" r="F1412">
        <f>G1412-E1412</f>
        <v>1.494</v>
      </c>
      <c s="26" r="G1412">
        <f>E1412*H1412</f>
        <v>26.394</v>
      </c>
      <c s="19" r="H1412">
        <v>1.06</v>
      </c>
    </row>
    <row r="1413">
      <c r="A1413">
        <v>800</v>
      </c>
      <c r="B1413">
        <v>21127</v>
      </c>
      <c t="s" r="C1413">
        <v>704</v>
      </c>
      <c r="D1413">
        <v>0.01</v>
      </c>
      <c r="E1413">
        <f>D1413*B1413</f>
        <v>211.27</v>
      </c>
      <c s="26" r="F1413">
        <f>G1413-E1413</f>
        <v>0</v>
      </c>
      <c s="26" r="G1413">
        <f>E1413*H1413</f>
        <v>211.27</v>
      </c>
      <c s="19" r="H1413">
        <v>1</v>
      </c>
    </row>
    <row r="1414">
      <c r="A1414">
        <v>801</v>
      </c>
      <c r="B1414">
        <v>1308</v>
      </c>
      <c t="s" r="C1414">
        <v>384</v>
      </c>
      <c r="D1414">
        <v>0.01</v>
      </c>
      <c r="E1414">
        <f>D1414*B1414</f>
        <v>13.08</v>
      </c>
      <c s="26" r="F1414">
        <f>G1414-E1414</f>
        <v>0.88944</v>
      </c>
      <c s="26" r="G1414">
        <f>E1414*H1414</f>
        <v>13.96944</v>
      </c>
      <c s="19" r="H1414">
        <v>1.068</v>
      </c>
    </row>
    <row r="1415">
      <c r="A1415">
        <v>801</v>
      </c>
      <c r="B1415">
        <v>7</v>
      </c>
      <c t="s" r="C1415">
        <v>393</v>
      </c>
      <c r="D1415">
        <f>16.10/7</f>
        <v>2.3</v>
      </c>
      <c r="E1415">
        <f>D1415*B1415</f>
        <v>16.1</v>
      </c>
      <c s="26" r="F1415">
        <f>G1415-E1415</f>
        <v>4.669</v>
      </c>
      <c s="26" r="G1415">
        <f>E1415*H1415</f>
        <v>20.769</v>
      </c>
      <c s="19" r="H1415">
        <v>1.29</v>
      </c>
    </row>
    <row r="1416">
      <c r="A1416">
        <v>802</v>
      </c>
      <c r="B1416">
        <v>17408</v>
      </c>
      <c t="s" r="C1416">
        <v>704</v>
      </c>
      <c r="D1416">
        <v>0.01</v>
      </c>
      <c r="E1416">
        <f>D1416*B1416</f>
        <v>174.08</v>
      </c>
      <c s="26" r="F1416">
        <f>G1416-E1416</f>
        <v>17.408</v>
      </c>
      <c s="26" r="G1416">
        <f>E1416*H1416</f>
        <v>191.488</v>
      </c>
      <c s="19" r="H1416">
        <v>1.1</v>
      </c>
    </row>
    <row r="1417">
      <c r="A1417">
        <v>802</v>
      </c>
      <c r="B1417">
        <v>40</v>
      </c>
      <c t="s" r="C1417">
        <v>660</v>
      </c>
      <c r="D1417">
        <v>5</v>
      </c>
      <c r="E1417">
        <f>D1417*B1417</f>
        <v>200</v>
      </c>
      <c s="26" r="F1417">
        <f>G1417-E1417</f>
        <v>16</v>
      </c>
      <c s="26" r="G1417">
        <f>E1417*H1417</f>
        <v>216</v>
      </c>
      <c s="19" r="H1417">
        <v>1.08</v>
      </c>
    </row>
    <row r="1418">
      <c r="A1418">
        <v>802</v>
      </c>
      <c r="B1418">
        <v>1</v>
      </c>
      <c t="s" r="C1418">
        <v>720</v>
      </c>
      <c r="D1418">
        <v>22.34</v>
      </c>
      <c r="E1418">
        <f>D1418*B1418</f>
        <v>22.34</v>
      </c>
      <c s="26" r="F1418">
        <f>G1418-E1418</f>
        <v>12.287</v>
      </c>
      <c s="26" r="G1418">
        <f>E1418*H1418</f>
        <v>34.627</v>
      </c>
      <c s="19" r="H1418">
        <v>1.55</v>
      </c>
    </row>
    <row r="1419">
      <c r="A1419">
        <v>802</v>
      </c>
      <c r="B1419">
        <v>1</v>
      </c>
      <c t="s" r="C1419">
        <v>721</v>
      </c>
      <c r="D1419">
        <v>94.5</v>
      </c>
      <c r="E1419">
        <f>D1419*B1419</f>
        <v>94.5</v>
      </c>
      <c s="26" r="F1419">
        <f>G1419-E1419</f>
        <v>6.1425</v>
      </c>
      <c s="26" r="G1419">
        <f>E1419*H1419</f>
        <v>100.6425</v>
      </c>
      <c s="19" r="H1419">
        <v>1.065</v>
      </c>
    </row>
    <row r="1420">
      <c r="A1420">
        <v>803</v>
      </c>
      <c r="B1420">
        <v>14</v>
      </c>
      <c t="s" r="C1420">
        <v>388</v>
      </c>
      <c r="D1420">
        <v>30.8</v>
      </c>
      <c r="E1420">
        <f>D1420*B1420</f>
        <v>431.2</v>
      </c>
      <c s="26" r="F1420">
        <f>G1420-E1420</f>
        <v>364</v>
      </c>
      <c s="26" r="G1420">
        <f>E1420+(26*B1420)</f>
        <v>795.2</v>
      </c>
      <c s="19" r="H1420"/>
    </row>
    <row r="1421">
      <c r="A1421">
        <v>803</v>
      </c>
      <c r="B1421">
        <v>7001</v>
      </c>
      <c t="s" r="C1421">
        <v>384</v>
      </c>
      <c r="D1421">
        <v>0.01</v>
      </c>
      <c r="E1421">
        <f>D1421*B1421</f>
        <v>70.01</v>
      </c>
      <c s="26" r="F1421">
        <f>G1421-E1421</f>
        <v>4.76068000000001</v>
      </c>
      <c s="26" r="G1421">
        <f>E1421*H1421</f>
        <v>74.77068</v>
      </c>
      <c s="19" r="H1421">
        <v>1.068</v>
      </c>
    </row>
    <row r="1422">
      <c r="A1422">
        <v>804</v>
      </c>
      <c r="B1422">
        <v>1</v>
      </c>
      <c t="s" r="C1422">
        <v>705</v>
      </c>
      <c r="D1422">
        <v>30</v>
      </c>
      <c r="E1422">
        <f>D1422*B1422</f>
        <v>30</v>
      </c>
      <c s="26" r="F1422">
        <f>G1422-E1422</f>
        <v>470.001</v>
      </c>
      <c s="26" r="G1422">
        <f>E1422*H1422</f>
        <v>500.001</v>
      </c>
      <c s="19" r="H1422">
        <v>16.666700000000002</v>
      </c>
    </row>
    <row r="1423">
      <c r="A1423">
        <v>804</v>
      </c>
      <c r="B1423">
        <v>17887</v>
      </c>
      <c t="s" r="C1423">
        <v>704</v>
      </c>
      <c r="D1423">
        <v>0.01</v>
      </c>
      <c r="E1423">
        <f>D1423*B1423</f>
        <v>178.87</v>
      </c>
      <c s="26" r="F1423">
        <f>G1423-E1423</f>
        <v>0</v>
      </c>
      <c s="26" r="G1423">
        <f>E1423*H1423</f>
        <v>178.87</v>
      </c>
      <c s="19" r="H1423">
        <v>1</v>
      </c>
    </row>
    <row r="1424">
      <c r="A1424">
        <v>804</v>
      </c>
      <c r="B1424">
        <v>1</v>
      </c>
      <c t="s" r="C1424">
        <v>722</v>
      </c>
      <c r="D1424">
        <v>126.62</v>
      </c>
      <c r="E1424">
        <f>D1424*B1424</f>
        <v>126.62</v>
      </c>
      <c s="26" r="F1424">
        <f>G1424-E1424</f>
        <v>0</v>
      </c>
      <c s="26" r="G1424">
        <f>E1424*H1424</f>
        <v>126.62</v>
      </c>
      <c s="19" r="H1424">
        <v>1</v>
      </c>
    </row>
    <row r="1425">
      <c r="A1425">
        <v>804</v>
      </c>
      <c r="B1425">
        <v>30</v>
      </c>
      <c t="s" r="C1425">
        <v>660</v>
      </c>
      <c r="D1425">
        <v>5</v>
      </c>
      <c r="E1425">
        <f>D1425*B1425</f>
        <v>150</v>
      </c>
      <c s="26" r="F1425">
        <f>G1425-E1425</f>
        <v>12</v>
      </c>
      <c s="26" r="G1425">
        <f>E1425*H1425</f>
        <v>162</v>
      </c>
      <c s="19" r="H1425">
        <v>1.08</v>
      </c>
    </row>
    <row r="1426">
      <c r="A1426">
        <v>805</v>
      </c>
      <c r="B1426">
        <v>26</v>
      </c>
      <c t="s" r="C1426">
        <v>660</v>
      </c>
      <c r="D1426">
        <v>5</v>
      </c>
      <c r="E1426">
        <f>D1426*B1426</f>
        <v>130</v>
      </c>
      <c s="26" r="F1426">
        <f>G1426-E1426</f>
        <v>10.4</v>
      </c>
      <c s="26" r="G1426">
        <f>E1426*H1426</f>
        <v>140.4</v>
      </c>
      <c s="19" r="H1426">
        <v>1.08</v>
      </c>
    </row>
    <row r="1427">
      <c r="A1427">
        <v>805</v>
      </c>
      <c r="B1427">
        <v>25656</v>
      </c>
      <c t="s" r="C1427">
        <v>704</v>
      </c>
      <c r="D1427">
        <v>0.01</v>
      </c>
      <c r="E1427">
        <f>D1427*B1427</f>
        <v>256.56</v>
      </c>
      <c s="26" r="F1427">
        <f>G1427-E1427</f>
        <v>0</v>
      </c>
      <c s="26" r="G1427">
        <f>E1427*H1427</f>
        <v>256.56</v>
      </c>
      <c s="19" r="H1427">
        <v>1</v>
      </c>
    </row>
    <row r="1428">
      <c r="A1428">
        <v>806</v>
      </c>
      <c r="B1428">
        <v>1386</v>
      </c>
      <c t="s" r="C1428">
        <v>384</v>
      </c>
      <c r="D1428">
        <v>0.01</v>
      </c>
      <c r="E1428">
        <f>D1428*B1428</f>
        <v>13.86</v>
      </c>
      <c s="26" r="F1428">
        <f>G1428-E1428</f>
        <v>0.942480000000002</v>
      </c>
      <c s="26" r="G1428">
        <f>E1428*H1428</f>
        <v>14.80248</v>
      </c>
      <c s="19" r="H1428">
        <v>1.068</v>
      </c>
    </row>
    <row r="1429">
      <c r="A1429">
        <v>806</v>
      </c>
      <c r="B1429">
        <v>308</v>
      </c>
      <c t="s" r="C1429">
        <v>447</v>
      </c>
      <c r="D1429">
        <v>0.01</v>
      </c>
      <c r="E1429">
        <f>D1429*B1429</f>
        <v>3.08</v>
      </c>
      <c s="26" r="F1429">
        <f>G1429-E1429</f>
        <v>0.2002</v>
      </c>
      <c s="26" r="G1429">
        <f>E1429*H1429</f>
        <v>3.2802</v>
      </c>
      <c s="19" r="H1429">
        <v>1.065</v>
      </c>
    </row>
    <row r="1430">
      <c r="A1430">
        <v>807</v>
      </c>
      <c r="B1430">
        <v>308</v>
      </c>
      <c t="s" r="C1430">
        <v>56</v>
      </c>
      <c r="D1430">
        <v>0.3</v>
      </c>
      <c r="E1430">
        <f>D1430*B1430</f>
        <v>92.4</v>
      </c>
      <c s="26" r="F1430">
        <f>G1430-E1430</f>
        <v>6.59736</v>
      </c>
      <c s="26" r="G1430">
        <f>E1430*H1430</f>
        <v>98.99736</v>
      </c>
      <c s="19" r="H1430">
        <v>1.0714</v>
      </c>
    </row>
    <row r="1431">
      <c r="A1431">
        <v>808</v>
      </c>
      <c r="B1431">
        <v>20968</v>
      </c>
      <c t="s" r="C1431">
        <v>704</v>
      </c>
      <c r="D1431">
        <v>0.01</v>
      </c>
      <c r="E1431">
        <f>D1431*B1431</f>
        <v>209.68</v>
      </c>
      <c s="26" r="F1431">
        <f>G1431-E1431</f>
        <v>0</v>
      </c>
      <c s="26" r="G1431">
        <f>E1431*H1431</f>
        <v>209.68</v>
      </c>
      <c s="19" r="H1431">
        <v>1</v>
      </c>
    </row>
    <row r="1432">
      <c r="A1432">
        <v>809</v>
      </c>
      <c r="B1432">
        <v>518</v>
      </c>
      <c t="s" r="C1432">
        <v>385</v>
      </c>
      <c r="D1432">
        <f>0.025</f>
        <v>0.025</v>
      </c>
      <c r="E1432">
        <f>D1432*B1432</f>
        <v>12.95</v>
      </c>
      <c s="26" r="F1432">
        <f>G1432-E1432</f>
        <v>8.4175</v>
      </c>
      <c s="26" r="G1432">
        <f>E1432*H1432</f>
        <v>21.3675</v>
      </c>
      <c s="19" r="H1432">
        <v>1.65</v>
      </c>
    </row>
    <row r="1433">
      <c r="A1433">
        <v>809</v>
      </c>
      <c r="B1433">
        <v>490</v>
      </c>
      <c t="s" r="C1433">
        <v>384</v>
      </c>
      <c r="D1433">
        <v>0.01</v>
      </c>
      <c r="E1433">
        <f>D1433*B1433</f>
        <v>4.9</v>
      </c>
      <c s="26" r="F1433">
        <f>G1433-E1433</f>
        <v>0.333200000000001</v>
      </c>
      <c s="26" r="G1433">
        <f>E1433*H1433</f>
        <v>5.2332</v>
      </c>
      <c s="19" r="H1433">
        <v>1.068</v>
      </c>
    </row>
    <row r="1434">
      <c r="A1434">
        <v>809</v>
      </c>
      <c r="B1434">
        <v>283</v>
      </c>
      <c t="s" r="C1434">
        <v>447</v>
      </c>
      <c r="D1434">
        <v>0.01</v>
      </c>
      <c r="E1434">
        <f>D1434*B1434</f>
        <v>2.83</v>
      </c>
      <c s="26" r="F1434">
        <f>G1434-E1434</f>
        <v>0.18395</v>
      </c>
      <c s="26" r="G1434">
        <f>E1434*H1434</f>
        <v>3.01395</v>
      </c>
      <c s="19" r="H1434">
        <v>1.065</v>
      </c>
    </row>
    <row r="1435">
      <c r="A1435">
        <v>810</v>
      </c>
      <c r="B1435">
        <v>394</v>
      </c>
      <c t="s" r="C1435">
        <v>384</v>
      </c>
      <c r="D1435">
        <v>0.01</v>
      </c>
      <c r="E1435">
        <f>D1435*B1435</f>
        <v>3.94</v>
      </c>
      <c s="26" r="F1435">
        <f>G1435-E1435</f>
        <v>0.267920000000001</v>
      </c>
      <c s="26" r="G1435">
        <f>E1435*H1435</f>
        <v>4.20792</v>
      </c>
      <c s="19" r="H1435">
        <v>1.068</v>
      </c>
    </row>
    <row r="1436">
      <c r="A1436">
        <v>810</v>
      </c>
      <c r="B1436">
        <v>585</v>
      </c>
      <c t="s" r="C1436">
        <v>447</v>
      </c>
      <c r="D1436">
        <v>0.01</v>
      </c>
      <c r="E1436">
        <f>D1436*B1436</f>
        <v>5.85</v>
      </c>
      <c s="26" r="F1436">
        <f>G1436-E1436</f>
        <v>0.380249999999999</v>
      </c>
      <c s="26" r="G1436">
        <f>E1436*H1436</f>
        <v>6.23025</v>
      </c>
      <c s="19" r="H1436">
        <v>1.065</v>
      </c>
    </row>
    <row r="1437">
      <c r="A1437">
        <v>813</v>
      </c>
      <c r="B1437">
        <f>287+307</f>
        <v>594</v>
      </c>
      <c t="s" r="C1437">
        <v>56</v>
      </c>
      <c r="D1437">
        <v>0.3</v>
      </c>
      <c r="E1437">
        <f>D1437*B1437</f>
        <v>178.2</v>
      </c>
      <c s="26" r="F1437">
        <f>G1437-E1437</f>
        <v>13.24026</v>
      </c>
      <c s="26" r="G1437">
        <f>E1437*H1437</f>
        <v>191.44026</v>
      </c>
      <c s="19" r="H1437">
        <v>1.0743</v>
      </c>
    </row>
    <row r="1438">
      <c r="A1438">
        <v>813</v>
      </c>
      <c r="B1438">
        <v>1</v>
      </c>
      <c t="s" r="C1438">
        <v>723</v>
      </c>
      <c r="D1438">
        <v>0.01</v>
      </c>
      <c r="E1438">
        <f>D1438*B1438</f>
        <v>0.01</v>
      </c>
      <c s="26" r="F1438">
        <f>G1438-E1438</f>
        <v>20.84</v>
      </c>
      <c s="26" r="G1438">
        <f>E1438*H1438</f>
        <v>20.85</v>
      </c>
      <c s="19" r="H1438">
        <v>2085</v>
      </c>
    </row>
    <row r="1439">
      <c r="A1439">
        <v>814</v>
      </c>
      <c r="B1439">
        <v>527197</v>
      </c>
      <c t="s" r="C1439">
        <v>272</v>
      </c>
      <c r="D1439">
        <v>0.0001</v>
      </c>
      <c r="E1439">
        <f>D1439*B1439</f>
        <v>52.7197</v>
      </c>
      <c s="26" r="F1439">
        <f>G1439-E1439</f>
        <v>36.90379</v>
      </c>
      <c s="26" r="G1439">
        <f>E1439*H1439</f>
        <v>89.62349</v>
      </c>
      <c s="19" r="H1439">
        <v>1.7</v>
      </c>
    </row>
    <row r="1440">
      <c r="A1440">
        <v>814</v>
      </c>
      <c r="B1440">
        <v>2073</v>
      </c>
      <c t="s" r="C1440">
        <v>384</v>
      </c>
      <c r="D1440">
        <v>0.01</v>
      </c>
      <c r="E1440">
        <f>D1440*B1440</f>
        <v>20.73</v>
      </c>
      <c s="26" r="F1440">
        <f>G1440-E1440</f>
        <v>1.40964</v>
      </c>
      <c s="26" r="G1440">
        <f>E1440*H1440</f>
        <v>22.13964</v>
      </c>
      <c s="19" r="H1440">
        <v>1.068</v>
      </c>
    </row>
    <row r="1441">
      <c r="A1441">
        <v>814</v>
      </c>
      <c r="B1441">
        <v>816</v>
      </c>
      <c t="s" r="C1441">
        <v>447</v>
      </c>
      <c r="D1441">
        <v>0.01</v>
      </c>
      <c r="E1441">
        <f>D1441*B1441</f>
        <v>8.16</v>
      </c>
      <c s="26" r="F1441">
        <f>G1441-E1441</f>
        <v>0.5304</v>
      </c>
      <c s="26" r="G1441">
        <f>E1441*H1441</f>
        <v>8.6904</v>
      </c>
      <c s="19" r="H1441">
        <v>1.065</v>
      </c>
    </row>
    <row r="1442">
      <c r="A1442">
        <v>815</v>
      </c>
      <c r="B1442">
        <v>26476</v>
      </c>
      <c t="s" r="C1442">
        <v>704</v>
      </c>
      <c r="D1442">
        <v>0.01</v>
      </c>
      <c r="E1442">
        <f>D1442*B1442</f>
        <v>264.76</v>
      </c>
      <c s="26" r="F1442">
        <f>G1442-E1442</f>
        <v>0</v>
      </c>
      <c s="26" r="G1442">
        <f>E1442*H1442</f>
        <v>264.76</v>
      </c>
      <c s="19" r="H1442">
        <v>1</v>
      </c>
    </row>
    <row r="1443">
      <c r="A1443">
        <v>816</v>
      </c>
      <c r="B1443">
        <v>24114</v>
      </c>
      <c t="s" r="C1443">
        <v>704</v>
      </c>
      <c r="D1443">
        <v>0.01</v>
      </c>
      <c r="E1443">
        <f>D1443*B1443</f>
        <v>241.14</v>
      </c>
      <c s="26" r="F1443">
        <f>G1443-E1443</f>
        <v>0</v>
      </c>
      <c s="26" r="G1443">
        <f>E1443*H1443</f>
        <v>241.14</v>
      </c>
      <c s="19" r="H1443">
        <v>1</v>
      </c>
    </row>
    <row r="1444">
      <c r="A1444">
        <v>816</v>
      </c>
      <c r="B1444">
        <v>1</v>
      </c>
      <c t="s" r="C1444">
        <v>724</v>
      </c>
      <c r="D1444">
        <v>161</v>
      </c>
      <c r="E1444">
        <f>D1444*B1444</f>
        <v>161</v>
      </c>
      <c s="26" r="F1444">
        <f>G1444-E1444</f>
        <v>0</v>
      </c>
      <c s="26" r="G1444">
        <f>E1444*H1444</f>
        <v>161</v>
      </c>
      <c s="19" r="H1444">
        <v>1</v>
      </c>
    </row>
    <row r="1445">
      <c r="A1445">
        <v>817</v>
      </c>
      <c r="B1445">
        <v>355</v>
      </c>
      <c t="s" r="C1445">
        <v>686</v>
      </c>
      <c r="D1445">
        <v>0.1</v>
      </c>
      <c r="E1445">
        <f>D1445*B1445</f>
        <v>35.5</v>
      </c>
      <c s="26" r="F1445">
        <f>G1445-E1445</f>
        <v>2.84</v>
      </c>
      <c s="26" r="G1445">
        <f>E1445*H1445</f>
        <v>38.34</v>
      </c>
      <c s="19" r="H1445">
        <v>1.08</v>
      </c>
    </row>
    <row r="1446">
      <c r="A1446">
        <v>817</v>
      </c>
      <c r="B1446">
        <v>12</v>
      </c>
      <c t="s" r="C1446">
        <v>578</v>
      </c>
      <c r="D1446">
        <v>0.25</v>
      </c>
      <c r="E1446">
        <f>D1446*B1446</f>
        <v>3</v>
      </c>
      <c s="26" r="F1446">
        <f>G1446-E1446</f>
        <v>2.1645</v>
      </c>
      <c s="26" r="G1446">
        <f>E1446*H1446</f>
        <v>5.1645</v>
      </c>
      <c s="19" r="H1446">
        <v>1.7215</v>
      </c>
    </row>
    <row r="1447">
      <c r="A1447">
        <v>817</v>
      </c>
      <c r="B1447">
        <v>317</v>
      </c>
      <c t="s" r="C1447">
        <v>714</v>
      </c>
      <c r="D1447">
        <f>11.44/143</f>
        <v>0.08</v>
      </c>
      <c r="E1447">
        <f>D1447*B1447</f>
        <v>25.36</v>
      </c>
      <c s="26" r="F1447">
        <f>G1447-E1447</f>
        <v>0.7608</v>
      </c>
      <c s="26" r="G1447">
        <f>E1447*H1447</f>
        <v>26.1208</v>
      </c>
      <c s="19" r="H1447">
        <v>1.03</v>
      </c>
    </row>
    <row r="1448">
      <c r="A1448">
        <v>817</v>
      </c>
      <c r="B1448">
        <v>151</v>
      </c>
      <c t="s" r="C1448">
        <v>593</v>
      </c>
      <c r="D1448">
        <f>4/16</f>
        <v>0.25</v>
      </c>
      <c r="E1448">
        <f>D1448*B1448</f>
        <v>37.75</v>
      </c>
      <c s="26" r="F1448">
        <f>G1448-E1448</f>
        <v>8.7127</v>
      </c>
      <c s="26" r="G1448">
        <f>E1448*H1448</f>
        <v>46.4627</v>
      </c>
      <c s="19" r="H1448">
        <v>1.2308</v>
      </c>
    </row>
    <row r="1449">
      <c r="A1449">
        <v>817</v>
      </c>
      <c r="B1449">
        <v>32</v>
      </c>
      <c t="s" r="C1449">
        <v>459</v>
      </c>
      <c r="D1449">
        <f>11.28/24</f>
        <v>0.47</v>
      </c>
      <c r="E1449">
        <f>D1449*B1449</f>
        <v>15.04</v>
      </c>
      <c s="26" r="F1449">
        <f>G1449-E1449</f>
        <v>0</v>
      </c>
      <c s="26" r="G1449">
        <f>E1449*H1449</f>
        <v>15.04</v>
      </c>
      <c s="19" r="H1449">
        <v>1</v>
      </c>
    </row>
    <row r="1450">
      <c r="A1450">
        <v>817</v>
      </c>
      <c r="B1450">
        <v>118</v>
      </c>
      <c t="s" r="C1450">
        <v>716</v>
      </c>
      <c r="D1450">
        <v>0.25</v>
      </c>
      <c r="E1450">
        <f>D1450*B1450</f>
        <v>29.5</v>
      </c>
      <c s="26" r="F1450">
        <f>G1450-E1450</f>
        <v>0.295000000000002</v>
      </c>
      <c s="26" r="G1450">
        <f>E1450*H1450</f>
        <v>29.795</v>
      </c>
      <c s="19" r="H1450">
        <v>1.01</v>
      </c>
    </row>
    <row r="1451">
      <c r="A1451">
        <v>817</v>
      </c>
      <c r="B1451">
        <v>41</v>
      </c>
      <c t="s" r="C1451">
        <v>725</v>
      </c>
      <c r="D1451">
        <f>13.12/41</f>
        <v>0.32</v>
      </c>
      <c r="E1451">
        <f>D1451*B1451</f>
        <v>13.12</v>
      </c>
      <c s="26" r="F1451">
        <f>G1451-E1451</f>
        <v>1.968</v>
      </c>
      <c s="26" r="G1451">
        <f>E1451*H1451</f>
        <v>15.088</v>
      </c>
      <c s="19" r="H1451">
        <v>1.15</v>
      </c>
    </row>
    <row r="1452">
      <c r="A1452">
        <v>817</v>
      </c>
      <c r="B1452">
        <v>1395</v>
      </c>
      <c t="s" r="C1452">
        <v>718</v>
      </c>
      <c r="D1452">
        <f>40.16/2008</f>
        <v>0.02</v>
      </c>
      <c r="E1452">
        <f>D1452*B1452</f>
        <v>27.9</v>
      </c>
      <c s="26" r="F1452">
        <f>G1452-E1452</f>
        <v>2.511</v>
      </c>
      <c s="26" r="G1452">
        <f>E1452*H1452</f>
        <v>30.411</v>
      </c>
      <c s="19" r="H1452">
        <v>1.09</v>
      </c>
    </row>
    <row r="1453">
      <c r="A1453">
        <v>817</v>
      </c>
      <c r="B1453">
        <v>910</v>
      </c>
      <c t="s" r="C1453">
        <v>693</v>
      </c>
      <c r="D1453">
        <v>0.02</v>
      </c>
      <c r="E1453">
        <f>D1453*B1453</f>
        <v>18.2</v>
      </c>
      <c s="26" r="F1453">
        <f>G1453-E1453</f>
        <v>1.274</v>
      </c>
      <c s="26" r="G1453">
        <f>E1453*H1453</f>
        <v>19.474</v>
      </c>
      <c s="19" r="H1453">
        <v>1.07</v>
      </c>
    </row>
    <row r="1454">
      <c r="A1454">
        <v>817</v>
      </c>
      <c r="B1454">
        <v>223</v>
      </c>
      <c t="s" r="C1454">
        <v>696</v>
      </c>
      <c r="D1454">
        <v>0.25</v>
      </c>
      <c r="E1454">
        <f>D1454*B1454</f>
        <v>55.75</v>
      </c>
      <c s="26" r="F1454">
        <f>G1454-E1454</f>
        <v>13.38</v>
      </c>
      <c s="26" r="G1454">
        <f>E1454*H1454</f>
        <v>69.13</v>
      </c>
      <c s="19" r="H1454">
        <v>1.24</v>
      </c>
    </row>
    <row r="1455">
      <c r="A1455">
        <v>817</v>
      </c>
      <c r="B1455">
        <v>486</v>
      </c>
      <c t="s" r="C1455">
        <v>719</v>
      </c>
      <c r="D1455">
        <v>0.06</v>
      </c>
      <c r="E1455">
        <f>D1455*B1455</f>
        <v>29.16</v>
      </c>
      <c s="26" r="F1455">
        <f>G1455-E1455</f>
        <v>1.7496</v>
      </c>
      <c s="26" r="G1455">
        <f>E1455*H1455</f>
        <v>30.9096</v>
      </c>
      <c s="19" r="H1455">
        <v>1.06</v>
      </c>
    </row>
    <row r="1456">
      <c r="A1456">
        <v>818</v>
      </c>
      <c r="B1456">
        <v>53</v>
      </c>
      <c t="s" r="C1456">
        <v>445</v>
      </c>
      <c r="D1456">
        <v>1</v>
      </c>
      <c r="E1456">
        <f>D1456*B1456</f>
        <v>53</v>
      </c>
      <c s="26" r="F1456">
        <f>G1456-E1456</f>
        <v>36.9993</v>
      </c>
      <c s="26" r="G1456">
        <f>E1456*H1456</f>
        <v>89.9993</v>
      </c>
      <c s="19" r="H1456">
        <v>1.6981</v>
      </c>
    </row>
    <row r="1457">
      <c r="A1457">
        <v>818</v>
      </c>
      <c r="B1457">
        <v>114</v>
      </c>
      <c t="s" r="C1457">
        <v>524</v>
      </c>
      <c r="D1457">
        <v>2</v>
      </c>
      <c r="E1457">
        <f>D1457*B1457</f>
        <v>228</v>
      </c>
      <c s="26" r="F1457">
        <f>G1457-E1457</f>
        <v>16.0056</v>
      </c>
      <c s="26" r="G1457">
        <f>E1457*H1457</f>
        <v>244.0056</v>
      </c>
      <c s="19" r="H1457">
        <v>1.0702</v>
      </c>
    </row>
    <row r="1458">
      <c r="A1458">
        <v>818</v>
      </c>
      <c r="B1458">
        <v>4</v>
      </c>
      <c t="s" r="C1458">
        <v>670</v>
      </c>
      <c r="D1458">
        <v>0.5</v>
      </c>
      <c r="E1458">
        <f>D1458*B1458</f>
        <v>2</v>
      </c>
      <c s="26" r="F1458">
        <f>G1458-E1458</f>
        <v>0</v>
      </c>
      <c s="26" r="G1458">
        <f>E1458*H1458</f>
        <v>2</v>
      </c>
      <c s="19" r="H1458">
        <v>1</v>
      </c>
    </row>
    <row r="1459">
      <c r="A1459">
        <v>818</v>
      </c>
      <c r="B1459">
        <v>1</v>
      </c>
      <c t="s" r="C1459">
        <v>726</v>
      </c>
      <c r="D1459">
        <v>72.68</v>
      </c>
      <c r="E1459">
        <f>D1459*B1459</f>
        <v>72.68</v>
      </c>
      <c s="26" r="F1459">
        <f>G1459-E1459</f>
        <v>28.30886</v>
      </c>
      <c s="26" r="G1459">
        <f>E1459*H1459</f>
        <v>100.98886</v>
      </c>
      <c s="19" r="H1459">
        <v>1.3895</v>
      </c>
    </row>
    <row r="1460">
      <c r="A1460">
        <v>818</v>
      </c>
      <c r="B1460">
        <v>1</v>
      </c>
      <c t="s" r="C1460">
        <v>727</v>
      </c>
      <c r="D1460">
        <f>33.74/2</f>
        <v>16.87</v>
      </c>
      <c r="E1460">
        <f>D1460*B1460</f>
        <v>16.87</v>
      </c>
      <c s="26" r="F1460">
        <f>G1460-E1460</f>
        <v>3.7114</v>
      </c>
      <c s="26" r="G1460">
        <f>E1460*H1460</f>
        <v>20.5814</v>
      </c>
      <c s="19" r="H1460">
        <v>1.22</v>
      </c>
    </row>
    <row r="1461">
      <c r="A1461">
        <v>818</v>
      </c>
      <c r="B1461">
        <v>1</v>
      </c>
      <c t="s" r="C1461">
        <v>728</v>
      </c>
      <c r="D1461">
        <f>43/2</f>
        <v>21.5</v>
      </c>
      <c r="E1461">
        <f>D1461*B1461</f>
        <v>21.5</v>
      </c>
      <c s="26" r="F1461">
        <f>G1461-E1461</f>
        <v>18.50075</v>
      </c>
      <c s="26" r="G1461">
        <f>E1461*H1461</f>
        <v>40.00075</v>
      </c>
      <c s="19" r="H1461">
        <v>1.8605</v>
      </c>
    </row>
    <row r="1462">
      <c r="A1462">
        <v>819</v>
      </c>
      <c r="B1462">
        <v>1</v>
      </c>
      <c t="s" r="C1462">
        <v>729</v>
      </c>
      <c r="D1462">
        <v>33.86</v>
      </c>
      <c r="E1462">
        <f>D1462*B1462</f>
        <v>33.86</v>
      </c>
      <c s="26" r="F1462">
        <f>G1462-E1462</f>
        <v>10.130912</v>
      </c>
      <c s="26" r="G1462">
        <f>E1462*H1462</f>
        <v>43.990912</v>
      </c>
      <c s="19" r="H1462">
        <v>1.2992</v>
      </c>
    </row>
    <row r="1463">
      <c r="A1463">
        <v>820</v>
      </c>
      <c r="B1463">
        <v>19748</v>
      </c>
      <c t="s" r="C1463">
        <v>704</v>
      </c>
      <c r="D1463">
        <v>0.01</v>
      </c>
      <c r="E1463">
        <f>D1463*B1463</f>
        <v>197.48</v>
      </c>
      <c s="26" r="F1463">
        <f>G1463-E1463</f>
        <v>0</v>
      </c>
      <c s="26" r="G1463">
        <f>E1463*H1463</f>
        <v>197.48</v>
      </c>
      <c s="19" r="H1463">
        <v>1</v>
      </c>
    </row>
    <row r="1464">
      <c r="A1464">
        <v>820</v>
      </c>
      <c r="B1464">
        <v>99</v>
      </c>
      <c t="s" r="C1464">
        <v>524</v>
      </c>
      <c r="D1464">
        <v>2</v>
      </c>
      <c r="E1464">
        <f>D1464*B1464</f>
        <v>198</v>
      </c>
      <c s="26" r="F1464">
        <f>G1464-E1464</f>
        <v>9.90000000000001</v>
      </c>
      <c s="26" r="G1464">
        <f>E1464*H1464</f>
        <v>207.9</v>
      </c>
      <c s="19" r="H1464">
        <v>1.05</v>
      </c>
    </row>
    <row r="1465">
      <c r="A1465">
        <v>821</v>
      </c>
      <c r="B1465">
        <v>869</v>
      </c>
      <c t="s" r="C1465">
        <v>56</v>
      </c>
      <c r="D1465">
        <v>0.3</v>
      </c>
      <c r="E1465">
        <f>D1465*B1465</f>
        <v>260.7</v>
      </c>
      <c s="26" r="F1465">
        <f>G1465-E1465</f>
        <v>0</v>
      </c>
      <c s="26" r="G1465">
        <f>E1465*H1465</f>
        <v>260.7</v>
      </c>
      <c s="19" r="H1465">
        <v>1</v>
      </c>
    </row>
    <row r="1466">
      <c r="A1466">
        <v>823</v>
      </c>
      <c r="B1466">
        <v>10238</v>
      </c>
      <c t="s" r="C1466">
        <v>704</v>
      </c>
      <c r="D1466">
        <v>0.01</v>
      </c>
      <c r="E1466">
        <f>D1466*B1466</f>
        <v>102.38</v>
      </c>
      <c s="26" r="F1466">
        <f>G1466-E1466</f>
        <v>0</v>
      </c>
      <c s="26" r="G1466">
        <f>E1466*H1466</f>
        <v>102.38</v>
      </c>
      <c s="19" r="H1466">
        <v>1</v>
      </c>
    </row>
    <row r="1467">
      <c r="A1467">
        <v>824</v>
      </c>
      <c r="B1467">
        <v>490</v>
      </c>
      <c t="s" r="C1467">
        <v>56</v>
      </c>
      <c r="D1467">
        <v>0.3</v>
      </c>
      <c r="E1467">
        <f>D1467*B1467</f>
        <v>147</v>
      </c>
      <c s="26" r="F1467">
        <f>G1467-E1467</f>
        <v>9.99600000000001</v>
      </c>
      <c s="26" r="G1467">
        <f>E1467*H1467</f>
        <v>156.996</v>
      </c>
      <c s="19" r="H1467">
        <v>1.068</v>
      </c>
    </row>
    <row r="1468">
      <c r="A1468">
        <v>826</v>
      </c>
      <c r="B1468">
        <v>1186</v>
      </c>
      <c t="s" r="C1468">
        <v>384</v>
      </c>
      <c r="D1468">
        <v>0.01</v>
      </c>
      <c r="E1468">
        <f>D1468*B1468</f>
        <v>11.86</v>
      </c>
      <c s="26" r="F1468">
        <f>G1468-E1468</f>
        <v>0.80648</v>
      </c>
      <c s="26" r="G1468">
        <f>E1468*H1468</f>
        <v>12.66648</v>
      </c>
      <c s="19" r="H1468">
        <v>1.068</v>
      </c>
    </row>
    <row r="1469">
      <c r="A1469">
        <v>827</v>
      </c>
      <c r="B1469">
        <v>1</v>
      </c>
      <c t="s" r="C1469">
        <v>705</v>
      </c>
      <c r="D1469">
        <v>30</v>
      </c>
      <c r="E1469">
        <f>D1469*B1469</f>
        <v>30</v>
      </c>
      <c s="26" r="F1469">
        <f>G1469-E1469</f>
        <v>470.001</v>
      </c>
      <c s="26" r="G1469">
        <f>E1469*H1469</f>
        <v>500.001</v>
      </c>
      <c s="19" r="H1469">
        <v>16.666700000000002</v>
      </c>
    </row>
    <row r="1470">
      <c r="A1470">
        <v>827</v>
      </c>
      <c r="B1470">
        <v>25330</v>
      </c>
      <c t="s" r="C1470">
        <v>704</v>
      </c>
      <c r="D1470">
        <v>0.01</v>
      </c>
      <c r="E1470">
        <f>D1470*B1470</f>
        <v>253.3</v>
      </c>
      <c s="26" r="F1470">
        <f>G1470-E1470</f>
        <v>0</v>
      </c>
      <c s="26" r="G1470">
        <f>E1470*H1470</f>
        <v>253.3</v>
      </c>
      <c s="19" r="H1470">
        <v>1</v>
      </c>
    </row>
    <row r="1471">
      <c r="A1471">
        <v>827</v>
      </c>
      <c r="B1471">
        <v>1</v>
      </c>
      <c t="s" r="C1471">
        <v>524</v>
      </c>
      <c r="D1471">
        <v>2</v>
      </c>
      <c r="E1471">
        <f>D1471*B1471</f>
        <v>2</v>
      </c>
      <c s="26" r="F1471">
        <f>G1471-E1471</f>
        <v>0.1</v>
      </c>
      <c s="26" r="G1471">
        <f>E1471*H1471</f>
        <v>2.1</v>
      </c>
      <c s="19" r="H1471">
        <v>1.05</v>
      </c>
    </row>
    <row r="1472">
      <c r="A1472">
        <v>827</v>
      </c>
      <c r="B1472">
        <v>19</v>
      </c>
      <c t="s" r="C1472">
        <v>660</v>
      </c>
      <c r="D1472">
        <v>5</v>
      </c>
      <c r="E1472">
        <f>D1472*B1472</f>
        <v>95</v>
      </c>
      <c s="26" r="F1472">
        <f>G1472-E1472</f>
        <v>7.60000000000001</v>
      </c>
      <c s="26" r="G1472">
        <f>E1472*H1472</f>
        <v>102.6</v>
      </c>
      <c s="19" r="H1472">
        <v>1.08</v>
      </c>
    </row>
    <row r="1473">
      <c r="A1473">
        <v>827</v>
      </c>
      <c r="B1473">
        <v>1</v>
      </c>
      <c t="s" r="C1473">
        <v>730</v>
      </c>
      <c r="D1473">
        <v>42.5</v>
      </c>
      <c r="E1473">
        <f>D1473*B1473</f>
        <v>42.5</v>
      </c>
      <c s="26" r="F1473">
        <f>G1473-E1473</f>
        <v>3.40000000000001</v>
      </c>
      <c s="26" r="G1473">
        <f>E1473*H1473</f>
        <v>45.9</v>
      </c>
      <c s="19" r="H1473">
        <v>1.08</v>
      </c>
    </row>
    <row r="1474">
      <c r="A1474">
        <v>828</v>
      </c>
      <c r="B1474">
        <v>14976</v>
      </c>
      <c t="s" r="C1474">
        <v>704</v>
      </c>
      <c r="D1474">
        <v>0.01</v>
      </c>
      <c r="E1474">
        <f>D1474*B1474</f>
        <v>149.76</v>
      </c>
      <c s="26" r="F1474">
        <f>G1474-E1474</f>
        <v>0</v>
      </c>
      <c s="26" r="G1474">
        <f>E1474*H1474</f>
        <v>149.76</v>
      </c>
      <c s="19" r="H1474">
        <v>1</v>
      </c>
    </row>
    <row r="1475">
      <c r="A1475">
        <v>828</v>
      </c>
      <c r="B1475">
        <v>136</v>
      </c>
      <c t="s" r="C1475">
        <v>524</v>
      </c>
      <c r="D1475">
        <v>2</v>
      </c>
      <c r="E1475">
        <f>D1475*B1475</f>
        <v>272</v>
      </c>
      <c s="26" r="F1475">
        <f>G1475-E1475</f>
        <v>13.6</v>
      </c>
      <c s="26" r="G1475">
        <f>E1475*H1475</f>
        <v>285.6</v>
      </c>
      <c s="19" r="H1475">
        <v>1.05</v>
      </c>
    </row>
    <row r="1476">
      <c r="A1476">
        <v>829</v>
      </c>
      <c r="B1476">
        <v>650</v>
      </c>
      <c t="s" r="C1476">
        <v>447</v>
      </c>
      <c r="D1476">
        <v>0.01</v>
      </c>
      <c r="E1476">
        <f>D1476*B1476</f>
        <v>6.5</v>
      </c>
      <c s="26" r="F1476">
        <f>G1476-E1476</f>
        <v>0.442</v>
      </c>
      <c s="26" r="G1476">
        <f>E1476*H1476</f>
        <v>6.942</v>
      </c>
      <c s="19" r="H1476">
        <v>1.068</v>
      </c>
    </row>
    <row r="1477">
      <c r="A1477">
        <v>829</v>
      </c>
      <c r="B1477">
        <v>1024</v>
      </c>
      <c t="s" r="C1477">
        <v>384</v>
      </c>
      <c r="D1477">
        <v>0.01</v>
      </c>
      <c r="E1477">
        <f>D1477*B1477</f>
        <v>10.24</v>
      </c>
      <c s="26" r="F1477">
        <f>G1477-E1477</f>
        <v>0.69632</v>
      </c>
      <c s="26" r="G1477">
        <f>E1477*H1477</f>
        <v>10.93632</v>
      </c>
      <c s="19" r="H1477">
        <v>1.068</v>
      </c>
    </row>
    <row r="1478">
      <c r="A1478">
        <v>829</v>
      </c>
      <c r="B1478">
        <v>740</v>
      </c>
      <c t="s" r="C1478">
        <v>628</v>
      </c>
      <c r="D1478">
        <v>0.01</v>
      </c>
      <c r="E1478">
        <f>D1478*B1478</f>
        <v>7.4</v>
      </c>
      <c s="26" r="F1478">
        <f>G1478-E1478</f>
        <v>0.503200000000001</v>
      </c>
      <c s="26" r="G1478">
        <f>E1478*H1478</f>
        <v>7.9032</v>
      </c>
      <c s="19" r="H1478">
        <v>1.068</v>
      </c>
    </row>
    <row r="1479">
      <c r="A1479">
        <v>830</v>
      </c>
      <c r="B1479">
        <v>12</v>
      </c>
      <c t="s" r="C1479">
        <v>731</v>
      </c>
      <c r="D1479">
        <v>2</v>
      </c>
      <c r="E1479">
        <f>D1479*B1479</f>
        <v>24</v>
      </c>
      <c s="26" r="F1479">
        <f>G1479-E1479</f>
        <v>39.12</v>
      </c>
      <c s="26" r="G1479">
        <f>E1479*H1479</f>
        <v>63.12</v>
      </c>
      <c s="19" r="H1479">
        <v>2.63</v>
      </c>
    </row>
    <row r="1480">
      <c r="A1480">
        <v>830</v>
      </c>
      <c r="B1480">
        <v>2269</v>
      </c>
      <c t="s" r="C1480">
        <v>704</v>
      </c>
      <c r="D1480">
        <v>0.01</v>
      </c>
      <c r="E1480">
        <f>D1480*B1480</f>
        <v>22.69</v>
      </c>
      <c s="26" r="F1480">
        <f>G1480-E1480</f>
        <v>0</v>
      </c>
      <c s="26" r="G1480">
        <f>E1480*H1480</f>
        <v>22.69</v>
      </c>
      <c s="19" r="H1480">
        <v>1</v>
      </c>
    </row>
    <row r="1481">
      <c r="A1481">
        <v>830</v>
      </c>
      <c r="B1481">
        <v>1</v>
      </c>
      <c t="s" r="C1481">
        <v>732</v>
      </c>
      <c r="D1481">
        <v>8</v>
      </c>
      <c r="E1481">
        <f>D1481*B1481</f>
        <v>8</v>
      </c>
      <c s="26" r="F1481">
        <f>G1481-E1481</f>
        <v>1.6</v>
      </c>
      <c s="26" r="G1481">
        <f>E1481*H1481</f>
        <v>9.6</v>
      </c>
      <c s="19" r="H1481">
        <v>1.2</v>
      </c>
    </row>
    <row r="1482">
      <c r="A1482">
        <v>831</v>
      </c>
      <c r="B1482">
        <v>3356</v>
      </c>
      <c t="s" r="C1482">
        <v>704</v>
      </c>
      <c r="D1482">
        <v>0.01</v>
      </c>
      <c r="E1482">
        <f>D1482*B1482</f>
        <v>33.56</v>
      </c>
      <c s="26" r="F1482">
        <f>G1482-E1482</f>
        <v>0</v>
      </c>
      <c s="26" r="G1482">
        <f>E1482*H1482</f>
        <v>33.56</v>
      </c>
      <c s="19" r="H1482">
        <v>1</v>
      </c>
    </row>
    <row r="1483">
      <c r="A1483">
        <v>832</v>
      </c>
      <c r="B1483">
        <v>6656</v>
      </c>
      <c t="s" r="C1483">
        <v>447</v>
      </c>
      <c r="D1483">
        <v>0.01</v>
      </c>
      <c r="E1483">
        <f>D1483*B1483</f>
        <v>66.56</v>
      </c>
      <c s="26" r="F1483">
        <f>G1483-E1483</f>
        <v>4.52608000000001</v>
      </c>
      <c s="26" r="G1483">
        <f>E1483*H1483</f>
        <v>71.08608</v>
      </c>
      <c s="19" r="H1483">
        <v>1.068</v>
      </c>
    </row>
    <row r="1484">
      <c r="A1484">
        <v>832</v>
      </c>
      <c r="B1484">
        <v>984</v>
      </c>
      <c t="s" r="C1484">
        <v>384</v>
      </c>
      <c r="D1484">
        <v>0.01</v>
      </c>
      <c r="E1484">
        <f>D1484*B1484</f>
        <v>9.84</v>
      </c>
      <c s="26" r="F1484">
        <f>G1484-E1484</f>
        <v>0.669120000000001</v>
      </c>
      <c s="26" r="G1484">
        <f>E1484*H1484</f>
        <v>10.50912</v>
      </c>
      <c s="19" r="H1484">
        <v>1.068</v>
      </c>
    </row>
    <row r="1485">
      <c r="A1485">
        <v>832</v>
      </c>
      <c r="B1485">
        <v>1</v>
      </c>
      <c t="s" r="C1485">
        <v>733</v>
      </c>
      <c r="D1485">
        <v>0.19</v>
      </c>
      <c r="E1485">
        <f>D1485*B1485</f>
        <v>0.19</v>
      </c>
      <c s="26" r="F1485">
        <f>G1485-E1485</f>
        <v>0</v>
      </c>
      <c s="26" r="G1485">
        <f>E1485*H1485</f>
        <v>0.19</v>
      </c>
      <c s="19" r="H1485">
        <v>1</v>
      </c>
    </row>
    <row r="1486">
      <c r="A1486">
        <v>833</v>
      </c>
      <c r="B1486">
        <v>176</v>
      </c>
      <c t="s" r="C1486">
        <v>447</v>
      </c>
      <c r="D1486">
        <v>0.01</v>
      </c>
      <c r="E1486">
        <f>D1486*B1486</f>
        <v>1.76</v>
      </c>
      <c s="26" r="F1486">
        <f>G1486-E1486</f>
        <v>0.11968</v>
      </c>
      <c s="26" r="G1486">
        <f>E1486*H1486</f>
        <v>1.87968</v>
      </c>
      <c s="19" r="H1486">
        <v>1.068</v>
      </c>
    </row>
    <row r="1487">
      <c r="A1487">
        <v>833</v>
      </c>
      <c r="B1487">
        <v>438</v>
      </c>
      <c t="s" r="C1487">
        <v>384</v>
      </c>
      <c r="D1487">
        <v>0.01</v>
      </c>
      <c r="E1487">
        <f>D1487*B1487</f>
        <v>4.38</v>
      </c>
      <c s="26" r="F1487">
        <f>G1487-E1487</f>
        <v>0.29784</v>
      </c>
      <c s="26" r="G1487">
        <f>E1487*H1487</f>
        <v>4.67784</v>
      </c>
      <c s="19" r="H1487">
        <v>1.068</v>
      </c>
    </row>
    <row r="1488">
      <c r="A1488">
        <v>833</v>
      </c>
      <c r="B1488">
        <v>1</v>
      </c>
      <c t="s" r="C1488">
        <v>734</v>
      </c>
      <c r="D1488">
        <v>0.01</v>
      </c>
      <c r="E1488">
        <f>D1488*B1488</f>
        <v>0.01</v>
      </c>
      <c s="26" r="F1488">
        <f>G1488-E1488</f>
        <v>0</v>
      </c>
      <c s="26" r="G1488">
        <f>E1488*H1488</f>
        <v>0.01</v>
      </c>
      <c s="19" r="H1488">
        <v>1</v>
      </c>
    </row>
    <row r="1489">
      <c r="A1489">
        <v>833</v>
      </c>
      <c r="B1489">
        <v>2</v>
      </c>
      <c t="s" r="C1489">
        <v>377</v>
      </c>
      <c r="D1489">
        <v>1</v>
      </c>
      <c r="E1489">
        <f>D1489*B1489</f>
        <v>2</v>
      </c>
      <c s="26" r="F1489">
        <f>G1489-E1489</f>
        <v>25</v>
      </c>
      <c s="26" r="G1489">
        <f>E1489*H1489</f>
        <v>27</v>
      </c>
      <c s="19" r="H1489">
        <v>13.5</v>
      </c>
    </row>
    <row r="1490">
      <c r="A1490">
        <v>836</v>
      </c>
      <c r="B1490">
        <v>15</v>
      </c>
      <c t="s" r="C1490">
        <v>735</v>
      </c>
      <c r="D1490">
        <v>0.2</v>
      </c>
      <c r="E1490">
        <f>D1490*B1490</f>
        <v>3</v>
      </c>
      <c s="26" r="F1490">
        <f>G1490-E1490</f>
        <v>0.63</v>
      </c>
      <c s="26" r="G1490">
        <f>E1490*H1490</f>
        <v>3.63</v>
      </c>
      <c s="19" r="H1490">
        <v>1.21</v>
      </c>
    </row>
    <row r="1491">
      <c r="A1491">
        <v>835</v>
      </c>
      <c r="B1491">
        <f>1427*2</f>
        <v>2854</v>
      </c>
      <c t="s" r="C1491">
        <v>718</v>
      </c>
      <c r="D1491">
        <f>40.16/2008</f>
        <v>0.02</v>
      </c>
      <c r="E1491">
        <f>D1491*B1491</f>
        <v>57.08</v>
      </c>
      <c s="26" r="F1491">
        <f>G1491-E1491</f>
        <v>5.13720000000001</v>
      </c>
      <c s="26" r="G1491">
        <f>E1491*H1491</f>
        <v>62.2172</v>
      </c>
      <c s="19" r="H1491">
        <v>1.09</v>
      </c>
    </row>
    <row r="1492">
      <c r="A1492">
        <v>835</v>
      </c>
      <c r="B1492">
        <f>(492*3)+2</f>
        <v>1478</v>
      </c>
      <c t="s" r="C1492">
        <v>736</v>
      </c>
      <c r="D1492">
        <v>0.08</v>
      </c>
      <c r="E1492">
        <f>D1492*B1492</f>
        <v>118.24</v>
      </c>
      <c s="26" r="F1492">
        <f>G1492-E1492</f>
        <v>4.7296</v>
      </c>
      <c s="26" r="G1492">
        <f>E1492*H1492</f>
        <v>122.9696</v>
      </c>
      <c s="19" r="H1492">
        <v>1.04</v>
      </c>
    </row>
    <row r="1493">
      <c r="A1493">
        <v>835</v>
      </c>
      <c r="B1493">
        <v>2630</v>
      </c>
      <c t="s" r="C1493">
        <v>693</v>
      </c>
      <c r="D1493">
        <v>0.02</v>
      </c>
      <c r="E1493">
        <f>D1493*B1493</f>
        <v>52.6</v>
      </c>
      <c s="26" r="F1493">
        <f>G1493-E1493</f>
        <v>4.20800000000001</v>
      </c>
      <c s="26" r="G1493">
        <f>E1493*H1493</f>
        <v>56.808</v>
      </c>
      <c s="19" r="H1493">
        <v>1.08</v>
      </c>
    </row>
    <row r="1494">
      <c r="A1494">
        <v>835</v>
      </c>
      <c r="B1494">
        <v>128</v>
      </c>
      <c t="s" r="C1494">
        <v>698</v>
      </c>
      <c r="D1494">
        <v>0.12</v>
      </c>
      <c r="E1494">
        <f>D1494*B1494</f>
        <v>15.36</v>
      </c>
      <c s="26" r="F1494">
        <f>G1494-E1494</f>
        <v>0.768000000000001</v>
      </c>
      <c s="26" r="G1494">
        <f>E1494*H1494</f>
        <v>16.128</v>
      </c>
      <c s="19" r="H1494">
        <v>1.05</v>
      </c>
    </row>
    <row r="1495">
      <c r="A1495">
        <v>835</v>
      </c>
      <c r="B1495">
        <f>125*3</f>
        <v>375</v>
      </c>
      <c t="s" r="C1495">
        <v>719</v>
      </c>
      <c r="D1495">
        <v>0.06</v>
      </c>
      <c r="E1495">
        <f>D1495*B1495</f>
        <v>22.5</v>
      </c>
      <c s="26" r="F1495">
        <f>G1495-E1495</f>
        <v>0</v>
      </c>
      <c s="26" r="G1495">
        <f>E1495*H1495</f>
        <v>22.5</v>
      </c>
      <c s="19" r="H1495">
        <v>1</v>
      </c>
    </row>
    <row r="1496">
      <c r="A1496">
        <v>835</v>
      </c>
      <c r="B1496">
        <f>156</f>
        <v>156</v>
      </c>
      <c t="s" r="C1496">
        <v>737</v>
      </c>
      <c r="D1496">
        <f>46.80/156</f>
        <v>0.3</v>
      </c>
      <c r="E1496">
        <f>D1496*B1496</f>
        <v>46.8</v>
      </c>
      <c s="26" r="F1496">
        <f>G1496-E1496</f>
        <v>5.148</v>
      </c>
      <c s="26" r="G1496">
        <f>E1496*H1496</f>
        <v>51.948</v>
      </c>
      <c s="19" r="H1496">
        <v>1.11</v>
      </c>
    </row>
    <row r="1497">
      <c r="A1497">
        <v>835</v>
      </c>
      <c r="B1497">
        <v>52</v>
      </c>
      <c t="s" r="C1497">
        <v>738</v>
      </c>
      <c r="D1497">
        <v>1.5</v>
      </c>
      <c r="E1497">
        <f>D1497*B1497</f>
        <v>78</v>
      </c>
      <c s="26" r="F1497">
        <f>G1497-E1497</f>
        <v>39.78</v>
      </c>
      <c s="26" r="G1497">
        <f>E1497*H1497</f>
        <v>117.78</v>
      </c>
      <c s="19" r="H1497">
        <v>1.51</v>
      </c>
    </row>
    <row r="1498">
      <c r="A1498">
        <v>835</v>
      </c>
      <c r="B1498">
        <v>1256</v>
      </c>
      <c t="s" r="C1498">
        <v>681</v>
      </c>
      <c r="D1498">
        <v>0.04</v>
      </c>
      <c r="E1498">
        <f>D1498*B1498</f>
        <v>50.24</v>
      </c>
      <c s="26" r="F1498">
        <f>G1498-E1498</f>
        <v>1.5072</v>
      </c>
      <c s="26" r="G1498">
        <f>E1498*H1498</f>
        <v>51.7472</v>
      </c>
      <c s="19" r="H1498">
        <v>1.03</v>
      </c>
    </row>
    <row r="1499">
      <c r="A1499">
        <v>835</v>
      </c>
      <c r="B1499">
        <v>61</v>
      </c>
      <c t="s" r="C1499">
        <v>739</v>
      </c>
      <c r="D1499">
        <v>1.2</v>
      </c>
      <c r="E1499">
        <f>D1499*B1499</f>
        <v>73.2</v>
      </c>
      <c s="26" r="F1499">
        <f>G1499-E1499</f>
        <v>10.248</v>
      </c>
      <c s="26" r="G1499">
        <f>E1499*H1499</f>
        <v>83.448</v>
      </c>
      <c s="19" r="H1499">
        <v>1.14</v>
      </c>
    </row>
    <row r="1500">
      <c r="A1500">
        <v>835</v>
      </c>
      <c r="B1500">
        <f>540*2</f>
        <v>1080</v>
      </c>
      <c t="s" r="C1500">
        <v>491</v>
      </c>
      <c r="D1500">
        <v>0.02</v>
      </c>
      <c r="E1500">
        <f>D1500*B1500</f>
        <v>21.6</v>
      </c>
      <c s="26" r="F1500">
        <f>G1500-E1500</f>
        <v>0.648</v>
      </c>
      <c s="26" r="G1500">
        <f>E1500*H1500</f>
        <v>22.248</v>
      </c>
      <c s="19" r="H1500">
        <v>1.03</v>
      </c>
    </row>
    <row r="1501">
      <c r="A1501">
        <v>835</v>
      </c>
      <c r="B1501">
        <f>(199*2)+128</f>
        <v>526</v>
      </c>
      <c t="s" r="C1501">
        <v>485</v>
      </c>
      <c r="D1501">
        <v>0.1</v>
      </c>
      <c r="E1501">
        <f>D1501*B1501</f>
        <v>52.6</v>
      </c>
      <c s="26" r="F1501">
        <f>G1501-E1501</f>
        <v>4.82342000000001</v>
      </c>
      <c s="26" r="G1501">
        <f>E1501*H1501</f>
        <v>57.42342</v>
      </c>
      <c s="19" r="H1501">
        <v>1.0917</v>
      </c>
    </row>
    <row r="1502">
      <c r="A1502">
        <v>835</v>
      </c>
      <c r="B1502">
        <v>301</v>
      </c>
      <c t="s" r="C1502">
        <v>740</v>
      </c>
      <c r="D1502">
        <v>0.13</v>
      </c>
      <c r="E1502">
        <f>D1502*B1502</f>
        <v>39.13</v>
      </c>
      <c s="26" r="F1502">
        <f>G1502-E1502</f>
        <v>4.69560000000001</v>
      </c>
      <c s="26" r="G1502">
        <f>E1502*H1502</f>
        <v>43.8256</v>
      </c>
      <c s="19" r="H1502">
        <v>1.12</v>
      </c>
    </row>
    <row r="1503">
      <c r="A1503">
        <v>835</v>
      </c>
      <c r="B1503">
        <v>147</v>
      </c>
      <c t="s" r="C1503">
        <v>741</v>
      </c>
      <c r="D1503">
        <v>0.39</v>
      </c>
      <c r="E1503">
        <f>D1503*B1503</f>
        <v>57.33</v>
      </c>
      <c s="26" r="F1503">
        <f>G1503-E1503</f>
        <v>4.5864</v>
      </c>
      <c s="26" r="G1503">
        <f>E1503*H1503</f>
        <v>61.9164</v>
      </c>
      <c s="19" r="H1503">
        <v>1.08</v>
      </c>
    </row>
    <row r="1504">
      <c r="A1504">
        <v>837</v>
      </c>
      <c r="B1504">
        <v>12414</v>
      </c>
      <c t="s" r="C1504">
        <v>704</v>
      </c>
      <c r="D1504">
        <v>0.01</v>
      </c>
      <c r="E1504">
        <f>D1504*B1504</f>
        <v>124.14</v>
      </c>
      <c s="26" r="F1504">
        <f>G1504-E1504</f>
        <v>0</v>
      </c>
      <c s="26" r="G1504">
        <f>E1504*H1504</f>
        <v>124.14</v>
      </c>
      <c s="19" r="H1504">
        <v>1</v>
      </c>
    </row>
    <row r="1505">
      <c r="A1505">
        <v>838</v>
      </c>
      <c r="B1505">
        <f>2232+935</f>
        <v>3167</v>
      </c>
      <c t="s" r="C1505">
        <v>384</v>
      </c>
      <c r="D1505">
        <v>0.01</v>
      </c>
      <c r="E1505">
        <f>D1505*B1505</f>
        <v>31.67</v>
      </c>
      <c s="26" r="F1505">
        <f>G1505-E1505</f>
        <v>2.15356</v>
      </c>
      <c s="26" r="G1505">
        <f>E1505*H1505</f>
        <v>33.82356</v>
      </c>
      <c s="19" r="H1505">
        <v>1.068</v>
      </c>
    </row>
    <row r="1506">
      <c r="A1506">
        <v>839</v>
      </c>
      <c r="B1506">
        <v>12</v>
      </c>
      <c t="s" r="C1506">
        <v>742</v>
      </c>
      <c r="D1506">
        <f>1.8/12</f>
        <v>0.15</v>
      </c>
      <c r="E1506">
        <f>D1506*B1506</f>
        <v>1.8</v>
      </c>
      <c s="26" r="F1506">
        <f>G1506-E1506</f>
        <v>0.27</v>
      </c>
      <c s="26" r="G1506">
        <f>E1506*H1506</f>
        <v>2.07</v>
      </c>
      <c s="19" r="H1506">
        <v>1.15</v>
      </c>
    </row>
    <row r="1507">
      <c r="A1507">
        <v>839</v>
      </c>
      <c r="B1507">
        <f>(29*3)+1</f>
        <v>88</v>
      </c>
      <c t="s" r="C1507">
        <v>743</v>
      </c>
      <c r="D1507">
        <v>0.12</v>
      </c>
      <c r="E1507">
        <f>D1507*B1507</f>
        <v>10.56</v>
      </c>
      <c s="26" r="F1507">
        <f>G1507-E1507</f>
        <v>0.528</v>
      </c>
      <c s="26" r="G1507">
        <f>E1507*H1507</f>
        <v>11.088</v>
      </c>
      <c s="19" r="H1507">
        <v>1.05</v>
      </c>
    </row>
    <row r="1508">
      <c r="A1508">
        <v>839</v>
      </c>
      <c r="B1508">
        <v>452</v>
      </c>
      <c t="s" r="C1508">
        <v>719</v>
      </c>
      <c r="D1508">
        <v>0.06</v>
      </c>
      <c r="E1508">
        <f>D1508*B1508</f>
        <v>27.12</v>
      </c>
      <c s="26" r="F1508">
        <f>G1508-E1508</f>
        <v>0</v>
      </c>
      <c s="26" r="G1508">
        <f>E1508*H1508</f>
        <v>27.12</v>
      </c>
      <c s="19" r="H1508">
        <v>1</v>
      </c>
    </row>
    <row r="1509">
      <c r="A1509">
        <v>839</v>
      </c>
      <c r="B1509">
        <f>571*2</f>
        <v>1142</v>
      </c>
      <c t="s" r="C1509">
        <v>718</v>
      </c>
      <c r="D1509">
        <f>40.16/2008</f>
        <v>0.02</v>
      </c>
      <c r="E1509">
        <f>D1509*B1509</f>
        <v>22.84</v>
      </c>
      <c s="26" r="F1509">
        <f>G1509-E1509</f>
        <v>2.0556</v>
      </c>
      <c s="26" r="G1509">
        <f>E1509*H1509</f>
        <v>24.8956</v>
      </c>
      <c s="19" r="H1509">
        <v>1.09</v>
      </c>
    </row>
    <row r="1510">
      <c r="A1510">
        <v>839</v>
      </c>
      <c r="B1510">
        <f>(235*3)+2</f>
        <v>707</v>
      </c>
      <c t="s" r="C1510">
        <v>695</v>
      </c>
      <c r="D1510">
        <v>0.08</v>
      </c>
      <c r="E1510">
        <f>D1510*B1510</f>
        <v>56.56</v>
      </c>
      <c s="26" r="F1510">
        <f>G1510-E1510</f>
        <v>2.2624</v>
      </c>
      <c s="26" r="G1510">
        <f>E1510*H1510</f>
        <v>58.8224</v>
      </c>
      <c s="19" r="H1510">
        <v>1.04</v>
      </c>
    </row>
    <row r="1511">
      <c r="A1511">
        <v>839</v>
      </c>
      <c r="B1511">
        <v>12</v>
      </c>
      <c t="s" r="C1511">
        <v>739</v>
      </c>
      <c r="D1511">
        <v>1.2</v>
      </c>
      <c r="E1511">
        <f>D1511*B1511</f>
        <v>14.4</v>
      </c>
      <c s="26" r="F1511">
        <f>G1511-E1511</f>
        <v>2.016</v>
      </c>
      <c s="26" r="G1511">
        <f>E1511*H1511</f>
        <v>16.416</v>
      </c>
      <c s="19" r="H1511">
        <v>1.14</v>
      </c>
    </row>
    <row r="1512">
      <c r="A1512">
        <v>839</v>
      </c>
      <c r="B1512">
        <f>326*2</f>
        <v>652</v>
      </c>
      <c t="s" r="C1512">
        <v>491</v>
      </c>
      <c r="D1512">
        <v>0.02</v>
      </c>
      <c r="E1512">
        <f>D1512*B1512</f>
        <v>13.04</v>
      </c>
      <c s="26" r="F1512">
        <f>G1512-E1512</f>
        <v>0.3912</v>
      </c>
      <c s="26" r="G1512">
        <f>E1512*H1512</f>
        <v>13.4312</v>
      </c>
      <c s="19" r="H1512">
        <v>1.03</v>
      </c>
    </row>
    <row r="1513">
      <c r="A1513">
        <v>839</v>
      </c>
      <c r="B1513">
        <v>34</v>
      </c>
      <c t="s" r="C1513">
        <v>696</v>
      </c>
      <c r="D1513">
        <v>0.25</v>
      </c>
      <c r="E1513">
        <f>D1513*B1513</f>
        <v>8.5</v>
      </c>
      <c s="26" r="F1513">
        <f>G1513-E1513</f>
        <v>2.04</v>
      </c>
      <c s="26" r="G1513">
        <f>E1513*H1513</f>
        <v>10.54</v>
      </c>
      <c s="19" r="H1513">
        <v>1.24</v>
      </c>
    </row>
    <row r="1514">
      <c r="A1514">
        <v>839</v>
      </c>
      <c r="B1514">
        <v>1</v>
      </c>
      <c t="s" r="C1514">
        <v>698</v>
      </c>
      <c r="D1514">
        <v>0.12</v>
      </c>
      <c r="E1514">
        <f>D1514*B1514</f>
        <v>0.12</v>
      </c>
      <c s="26" r="F1514">
        <f>G1514-E1514</f>
        <v>0.006</v>
      </c>
      <c s="26" r="G1514">
        <f>E1514*H1514</f>
        <v>0.126</v>
      </c>
      <c s="19" r="H1514">
        <v>1.05</v>
      </c>
    </row>
    <row r="1515">
      <c r="A1515">
        <v>839</v>
      </c>
      <c r="B1515">
        <v>67</v>
      </c>
      <c t="s" r="C1515">
        <v>459</v>
      </c>
      <c r="D1515">
        <f>11.28/24</f>
        <v>0.47</v>
      </c>
      <c r="E1515">
        <f>D1515*B1515</f>
        <v>31.49</v>
      </c>
      <c s="26" r="F1515">
        <f>G1515-E1515</f>
        <v>0</v>
      </c>
      <c s="26" r="G1515">
        <f>E1515*H1515</f>
        <v>31.49</v>
      </c>
      <c s="19" r="H1515">
        <v>1</v>
      </c>
    </row>
    <row r="1516">
      <c r="A1516">
        <v>839</v>
      </c>
      <c r="B1516">
        <f>1186*2</f>
        <v>2372</v>
      </c>
      <c t="s" r="C1516">
        <v>576</v>
      </c>
      <c r="D1516">
        <v>0.15</v>
      </c>
      <c r="E1516">
        <f>D1516*B1516</f>
        <v>355.8</v>
      </c>
      <c s="26" r="F1516">
        <f>G1516-E1516</f>
        <v>128.088</v>
      </c>
      <c s="26" r="G1516">
        <f>E1516*H1516</f>
        <v>483.888</v>
      </c>
      <c s="19" r="H1516">
        <v>1.36</v>
      </c>
    </row>
    <row r="1517">
      <c r="A1517">
        <v>839</v>
      </c>
      <c r="B1517">
        <f>587*2</f>
        <v>1174</v>
      </c>
      <c t="s" r="C1517">
        <v>680</v>
      </c>
      <c r="D1517">
        <f>15.12/504</f>
        <v>0.03</v>
      </c>
      <c r="E1517">
        <f>D1517*B1517</f>
        <v>35.22</v>
      </c>
      <c s="26" r="F1517">
        <f>G1517-E1517</f>
        <v>4.57859999999999</v>
      </c>
      <c s="26" r="G1517">
        <f>E1517*H1517</f>
        <v>39.7986</v>
      </c>
      <c s="19" r="H1517">
        <v>1.13</v>
      </c>
    </row>
    <row r="1518">
      <c r="A1518">
        <v>839</v>
      </c>
      <c r="B1518">
        <v>4</v>
      </c>
      <c t="s" r="C1518">
        <v>688</v>
      </c>
      <c r="D1518">
        <f>3.50/14</f>
        <v>0.25</v>
      </c>
      <c r="E1518">
        <f>D1518*B1518</f>
        <v>1</v>
      </c>
      <c s="26" r="F1518">
        <f>G1518-E1518</f>
        <v>0.3</v>
      </c>
      <c s="26" r="G1518">
        <f>E1518*H1518</f>
        <v>1.3</v>
      </c>
      <c s="19" r="H1518">
        <v>1.3</v>
      </c>
    </row>
    <row r="1519">
      <c r="A1519">
        <v>839</v>
      </c>
      <c r="B1519">
        <f>(89*3)+2</f>
        <v>269</v>
      </c>
      <c t="s" r="C1519">
        <v>694</v>
      </c>
      <c r="D1519">
        <v>0.06</v>
      </c>
      <c r="E1519">
        <f>D1519*B1519</f>
        <v>16.14</v>
      </c>
      <c s="26" r="F1519">
        <f>G1519-E1519</f>
        <v>2.0982</v>
      </c>
      <c s="26" r="G1519">
        <f>E1519*H1519</f>
        <v>18.2382</v>
      </c>
      <c s="19" r="H1519">
        <v>1.13</v>
      </c>
    </row>
    <row r="1520">
      <c r="A1520">
        <v>839</v>
      </c>
      <c r="B1520">
        <f>(276*3)+1</f>
        <v>829</v>
      </c>
      <c t="s" r="C1520">
        <v>744</v>
      </c>
      <c r="D1520">
        <v>0.02</v>
      </c>
      <c r="E1520">
        <f>D1520*B1520</f>
        <v>16.58</v>
      </c>
      <c s="26" r="F1520">
        <f>G1520-E1520</f>
        <v>0</v>
      </c>
      <c s="26" r="G1520">
        <f>E1520*H1520</f>
        <v>16.58</v>
      </c>
      <c s="19" r="H1520">
        <v>1</v>
      </c>
    </row>
    <row r="1521">
      <c r="A1521">
        <v>839</v>
      </c>
      <c r="B1521">
        <f>(47*3)+1</f>
        <v>142</v>
      </c>
      <c t="s" r="C1521">
        <v>745</v>
      </c>
      <c r="D1521">
        <v>0.1</v>
      </c>
      <c r="E1521">
        <f>D1521*B1521</f>
        <v>14.2</v>
      </c>
      <c s="26" r="F1521">
        <f>G1521-E1521</f>
        <v>0.710000000000001</v>
      </c>
      <c s="26" r="G1521">
        <f>E1521*H1521</f>
        <v>14.91</v>
      </c>
      <c s="19" r="H1521">
        <v>1.05</v>
      </c>
    </row>
    <row r="1522">
      <c r="A1522">
        <v>839</v>
      </c>
      <c r="B1522">
        <f>(13*3)+1</f>
        <v>40</v>
      </c>
      <c t="s" r="C1522">
        <v>746</v>
      </c>
      <c r="D1522">
        <v>1.1</v>
      </c>
      <c r="E1522">
        <f>D1522*B1522</f>
        <v>44</v>
      </c>
      <c s="26" r="F1522">
        <f>G1522-E1522</f>
        <v>37.84</v>
      </c>
      <c s="26" r="G1522">
        <f>E1522*H1522</f>
        <v>81.84</v>
      </c>
      <c s="19" r="H1522">
        <v>1.86</v>
      </c>
    </row>
    <row r="1523">
      <c r="A1523">
        <v>839</v>
      </c>
      <c r="B1523">
        <f>(803*3)+1</f>
        <v>2410</v>
      </c>
      <c t="s" r="C1523">
        <v>584</v>
      </c>
      <c r="D1523">
        <v>0.01</v>
      </c>
      <c r="E1523">
        <f>D1523*B1523</f>
        <v>24.1</v>
      </c>
      <c s="26" r="F1523">
        <f>G1523-E1523</f>
        <v>2.651</v>
      </c>
      <c s="26" r="G1523">
        <f>E1523*H1523</f>
        <v>26.751</v>
      </c>
      <c s="19" r="H1523">
        <v>1.11</v>
      </c>
    </row>
    <row r="1524">
      <c r="A1524">
        <v>839</v>
      </c>
      <c r="B1524">
        <f>56*2</f>
        <v>112</v>
      </c>
      <c t="s" r="C1524">
        <v>747</v>
      </c>
      <c r="D1524">
        <f>4.48/112</f>
        <v>0.04</v>
      </c>
      <c r="E1524">
        <f>D1524*B1524</f>
        <v>4.48</v>
      </c>
      <c s="26" r="F1524">
        <f>G1524-E1524</f>
        <v>0.4032</v>
      </c>
      <c s="26" r="G1524">
        <f>E1524*H1524</f>
        <v>4.8832</v>
      </c>
      <c s="19" r="H1524">
        <v>1.09</v>
      </c>
    </row>
    <row r="1525">
      <c r="A1525">
        <v>839</v>
      </c>
      <c r="B1525">
        <f>(111*2)+1</f>
        <v>223</v>
      </c>
      <c t="s" r="C1525">
        <v>748</v>
      </c>
      <c r="D1525">
        <v>0.2</v>
      </c>
      <c r="E1525">
        <f>D1525*B1525</f>
        <v>44.6</v>
      </c>
      <c s="26" r="F1525">
        <f>G1525-E1525</f>
        <v>3.568</v>
      </c>
      <c s="26" r="G1525">
        <f>E1525*H1525</f>
        <v>48.168</v>
      </c>
      <c s="19" r="H1525">
        <v>1.08</v>
      </c>
    </row>
    <row r="1526">
      <c r="A1526">
        <v>839</v>
      </c>
      <c r="B1526">
        <v>437</v>
      </c>
      <c t="s" r="C1526">
        <v>458</v>
      </c>
      <c r="D1526">
        <v>0.01</v>
      </c>
      <c r="E1526">
        <f>D1526*B1526</f>
        <v>4.37</v>
      </c>
      <c s="26" r="F1526">
        <f>G1526-E1526</f>
        <v>0.2622</v>
      </c>
      <c s="26" r="G1526">
        <f>E1526*H1526</f>
        <v>4.6322</v>
      </c>
      <c s="19" r="H1526">
        <v>1.06</v>
      </c>
    </row>
    <row r="1527">
      <c r="A1527">
        <v>839</v>
      </c>
      <c r="B1527">
        <f>(203*2)+1</f>
        <v>407</v>
      </c>
      <c t="s" r="C1527">
        <v>749</v>
      </c>
      <c r="D1527">
        <v>0.05</v>
      </c>
      <c r="E1527">
        <f>D1527*B1527</f>
        <v>20.35</v>
      </c>
      <c s="26" r="F1527">
        <f>G1527-E1527</f>
        <v>1.628</v>
      </c>
      <c s="26" r="G1527">
        <f>E1527*H1527</f>
        <v>21.978</v>
      </c>
      <c s="19" r="H1527">
        <v>1.08</v>
      </c>
    </row>
    <row r="1528">
      <c r="A1528">
        <v>839</v>
      </c>
      <c r="B1528">
        <v>73</v>
      </c>
      <c t="s" r="C1528">
        <v>750</v>
      </c>
      <c r="D1528">
        <v>0.5</v>
      </c>
      <c r="E1528">
        <f>D1528*B1528</f>
        <v>36.5</v>
      </c>
      <c s="26" r="F1528">
        <f>G1528-E1528</f>
        <v>34.675</v>
      </c>
      <c s="26" r="G1528">
        <f>E1528*H1528</f>
        <v>71.175</v>
      </c>
      <c s="19" r="H1528">
        <v>1.95</v>
      </c>
    </row>
    <row r="1529">
      <c r="A1529">
        <v>839</v>
      </c>
      <c r="B1529">
        <f>117*3</f>
        <v>351</v>
      </c>
      <c t="s" r="C1529">
        <v>751</v>
      </c>
      <c r="D1529">
        <v>0.08</v>
      </c>
      <c r="E1529">
        <f>D1529*B1529</f>
        <v>28.08</v>
      </c>
      <c s="26" r="F1529">
        <f>G1529-E1529</f>
        <v>2.92032</v>
      </c>
      <c s="26" r="G1529">
        <f>E1529*H1529</f>
        <v>31.00032</v>
      </c>
      <c s="19" r="H1529">
        <v>1.104</v>
      </c>
    </row>
    <row r="1530">
      <c r="A1530">
        <v>839</v>
      </c>
      <c r="B1530">
        <v>18</v>
      </c>
      <c t="s" r="C1530">
        <v>752</v>
      </c>
      <c r="D1530">
        <f>12.60/18</f>
        <v>0.7</v>
      </c>
      <c r="E1530">
        <f>D1530*B1530</f>
        <v>12.6</v>
      </c>
      <c s="26" r="F1530">
        <f>G1530-E1530</f>
        <v>2.898</v>
      </c>
      <c s="26" r="G1530">
        <f>E1530*H1530</f>
        <v>15.498</v>
      </c>
      <c s="19" r="H1530">
        <v>1.23</v>
      </c>
    </row>
    <row r="1531">
      <c r="A1531">
        <v>839</v>
      </c>
      <c r="B1531">
        <v>20</v>
      </c>
      <c t="s" r="C1531">
        <v>753</v>
      </c>
      <c r="D1531">
        <v>0.95</v>
      </c>
      <c r="E1531">
        <f>D1531*B1531</f>
        <v>19</v>
      </c>
      <c s="26" r="F1531">
        <f>G1531-E1531</f>
        <v>3.04</v>
      </c>
      <c s="26" r="G1531">
        <f>E1531*H1531</f>
        <v>22.04</v>
      </c>
      <c s="19" r="H1531">
        <v>1.16</v>
      </c>
    </row>
    <row r="1532">
      <c r="A1532">
        <v>840</v>
      </c>
      <c r="B1532">
        <v>21119</v>
      </c>
      <c t="s" r="C1532">
        <v>704</v>
      </c>
      <c r="D1532">
        <v>0.01</v>
      </c>
      <c r="E1532">
        <f>D1532*B1532</f>
        <v>211.19</v>
      </c>
      <c s="26" r="F1532">
        <f>G1532-E1532</f>
        <v>0</v>
      </c>
      <c s="26" r="G1532">
        <f>E1532*H1532</f>
        <v>211.19</v>
      </c>
      <c s="19" r="H1532">
        <v>1</v>
      </c>
    </row>
    <row r="1533">
      <c r="A1533">
        <v>841</v>
      </c>
      <c r="B1533">
        <v>1970</v>
      </c>
      <c t="s" r="C1533">
        <v>384</v>
      </c>
      <c r="D1533">
        <v>0.01</v>
      </c>
      <c r="E1533">
        <f>D1533*B1533</f>
        <v>19.7</v>
      </c>
      <c s="26" r="F1533">
        <f>G1533-E1533</f>
        <v>1.3396</v>
      </c>
      <c s="26" r="G1533">
        <f>E1533*H1533</f>
        <v>21.0396</v>
      </c>
      <c s="19" r="H1533">
        <v>1.068</v>
      </c>
    </row>
    <row r="1534">
      <c r="A1534">
        <v>842</v>
      </c>
      <c r="B1534">
        <v>530</v>
      </c>
      <c t="s" r="C1534">
        <v>384</v>
      </c>
      <c r="D1534">
        <v>0.01</v>
      </c>
      <c r="E1534">
        <f>D1534*B1534</f>
        <v>5.3</v>
      </c>
      <c s="26" r="F1534">
        <f>G1534-E1534</f>
        <v>0.3604</v>
      </c>
      <c s="26" r="G1534">
        <f>E1534*H1534</f>
        <v>5.6604</v>
      </c>
      <c s="19" r="H1534">
        <v>1.068</v>
      </c>
    </row>
    <row r="1535">
      <c r="A1535">
        <v>843</v>
      </c>
      <c r="B1535">
        <v>47</v>
      </c>
      <c t="s" r="C1535">
        <v>384</v>
      </c>
      <c r="D1535">
        <v>0.01</v>
      </c>
      <c r="E1535">
        <f>D1535*B1535</f>
        <v>0.47</v>
      </c>
      <c s="26" r="F1535">
        <f>G1535-E1535</f>
        <v>0.03196</v>
      </c>
      <c s="26" r="G1535">
        <f>E1535*H1535</f>
        <v>0.50196</v>
      </c>
      <c s="19" r="H1535">
        <v>1.068</v>
      </c>
    </row>
    <row r="1536">
      <c r="A1536">
        <v>844</v>
      </c>
      <c r="B1536">
        <v>612</v>
      </c>
      <c t="s" r="C1536">
        <v>384</v>
      </c>
      <c r="D1536">
        <v>0.01</v>
      </c>
      <c r="E1536">
        <f>D1536*B1536</f>
        <v>6.12</v>
      </c>
      <c s="26" r="F1536">
        <f>G1536-E1536</f>
        <v>0.41616</v>
      </c>
      <c s="26" r="G1536">
        <f>E1536*H1536</f>
        <v>6.53616</v>
      </c>
      <c s="19" r="H1536">
        <v>1.068</v>
      </c>
    </row>
    <row r="1537">
      <c r="A1537">
        <v>845</v>
      </c>
      <c r="B1537">
        <v>1315</v>
      </c>
      <c t="s" r="C1537">
        <v>384</v>
      </c>
      <c r="D1537">
        <v>0.01</v>
      </c>
      <c r="E1537">
        <f>D1537*B1537</f>
        <v>13.15</v>
      </c>
      <c s="26" r="F1537">
        <f>G1537-E1537</f>
        <v>0.894200000000002</v>
      </c>
      <c s="26" r="G1537">
        <f>E1537*H1537</f>
        <v>14.0442</v>
      </c>
      <c s="19" r="H1537">
        <v>1.068</v>
      </c>
    </row>
    <row r="1538">
      <c r="A1538">
        <v>846</v>
      </c>
      <c r="B1538">
        <v>11</v>
      </c>
      <c t="s" r="C1538">
        <v>388</v>
      </c>
      <c r="D1538">
        <f>322.85/11</f>
        <v>29.35</v>
      </c>
      <c r="E1538">
        <f>D1538*B1538</f>
        <v>322.85</v>
      </c>
      <c s="26" r="F1538">
        <f>G1538-E1538</f>
        <v>275</v>
      </c>
      <c s="26" r="G1538">
        <f>E1538+(25*B1538)</f>
        <v>597.85</v>
      </c>
      <c s="19" r="H1538"/>
    </row>
    <row r="1539">
      <c r="A1539">
        <v>846</v>
      </c>
      <c r="B1539">
        <v>8690</v>
      </c>
      <c t="s" r="C1539">
        <v>384</v>
      </c>
      <c r="D1539">
        <v>0.01</v>
      </c>
      <c r="E1539">
        <f>D1539*B1539</f>
        <v>86.9</v>
      </c>
      <c s="26" r="F1539">
        <f>G1539-E1539</f>
        <v>5.90920000000001</v>
      </c>
      <c s="26" r="G1539">
        <f>E1539*H1539</f>
        <v>92.8092</v>
      </c>
      <c s="19" r="H1539">
        <v>1.068</v>
      </c>
    </row>
    <row r="1540">
      <c r="A1540">
        <v>847</v>
      </c>
      <c r="B1540">
        <v>1011</v>
      </c>
      <c t="s" r="C1540">
        <v>384</v>
      </c>
      <c r="D1540">
        <v>0.01</v>
      </c>
      <c r="E1540">
        <f>D1540*B1540</f>
        <v>10.11</v>
      </c>
      <c s="26" r="F1540">
        <f>G1540-E1540</f>
        <v>0.687480000000001</v>
      </c>
      <c s="26" r="G1540">
        <f>E1540*H1540</f>
        <v>10.79748</v>
      </c>
      <c s="19" r="H1540">
        <v>1.068</v>
      </c>
    </row>
    <row r="1541">
      <c r="A1541">
        <v>847</v>
      </c>
      <c r="B1541">
        <v>1639</v>
      </c>
      <c t="s" r="C1541">
        <v>384</v>
      </c>
      <c r="D1541">
        <v>0.01</v>
      </c>
      <c r="E1541">
        <f>D1541*B1541</f>
        <v>16.39</v>
      </c>
      <c s="26" r="F1541">
        <f>G1541-E1541</f>
        <v>1.11452</v>
      </c>
      <c s="26" r="G1541">
        <f>E1541*H1541</f>
        <v>17.50452</v>
      </c>
      <c s="19" r="H1541">
        <v>1.068</v>
      </c>
    </row>
    <row r="1542">
      <c r="A1542">
        <v>847</v>
      </c>
      <c r="B1542">
        <v>368590</v>
      </c>
      <c t="s" r="C1542">
        <v>272</v>
      </c>
      <c r="D1542">
        <v>0.0001</v>
      </c>
      <c r="E1542">
        <f>D1542*B1542</f>
        <v>36.859</v>
      </c>
      <c s="26" r="F1542">
        <f>G1542-E1542</f>
        <v>28.75002</v>
      </c>
      <c s="26" r="G1542">
        <f>E1542*H1542</f>
        <v>65.60902</v>
      </c>
      <c s="19" r="H1542">
        <v>1.78</v>
      </c>
    </row>
    <row r="1543">
      <c r="A1543">
        <v>848</v>
      </c>
      <c r="B1543">
        <v>61</v>
      </c>
      <c t="s" r="C1543">
        <v>384</v>
      </c>
      <c r="D1543">
        <v>0.01</v>
      </c>
      <c r="E1543">
        <f>D1543*B1543</f>
        <v>0.61</v>
      </c>
      <c s="26" r="F1543">
        <f>G1543-E1543</f>
        <v>0.04148</v>
      </c>
      <c s="26" r="G1543">
        <f>E1543*H1543</f>
        <v>0.65148</v>
      </c>
      <c s="19" r="H1543">
        <v>1.068</v>
      </c>
    </row>
    <row r="1544">
      <c r="A1544">
        <v>848</v>
      </c>
      <c r="B1544">
        <v>34</v>
      </c>
      <c t="s" r="C1544">
        <v>447</v>
      </c>
      <c r="D1544">
        <v>0.01</v>
      </c>
      <c r="E1544">
        <f>D1544*B1544</f>
        <v>0.34</v>
      </c>
      <c s="26" r="F1544">
        <f>G1544-E1544</f>
        <v>0.02312</v>
      </c>
      <c s="26" r="G1544">
        <f>E1544*H1544</f>
        <v>0.36312</v>
      </c>
      <c s="19" r="H1544">
        <v>1.068</v>
      </c>
    </row>
    <row r="1545">
      <c r="A1545">
        <v>848</v>
      </c>
      <c r="B1545">
        <v>13</v>
      </c>
      <c t="s" r="C1545">
        <v>400</v>
      </c>
      <c r="D1545">
        <f>1.95/13</f>
        <v>0.15</v>
      </c>
      <c r="E1545">
        <f>D1545*B1545</f>
        <v>1.95</v>
      </c>
      <c s="26" r="F1545">
        <f>G1545-E1545</f>
        <v>25.74</v>
      </c>
      <c s="26" r="G1545">
        <f>E1545*H1545</f>
        <v>27.69</v>
      </c>
      <c s="19" r="H1545">
        <v>14.2</v>
      </c>
    </row>
    <row r="1546">
      <c r="A1546">
        <v>849</v>
      </c>
      <c r="B1546">
        <v>7155</v>
      </c>
      <c t="s" r="C1546">
        <v>384</v>
      </c>
      <c r="D1546">
        <v>0.01</v>
      </c>
      <c r="E1546">
        <f>D1546*B1546</f>
        <v>71.55</v>
      </c>
      <c s="26" r="F1546">
        <f>G1546-E1546</f>
        <v>4.86540000000001</v>
      </c>
      <c s="26" r="G1546">
        <f>E1546*H1546</f>
        <v>76.4154</v>
      </c>
      <c s="19" r="H1546">
        <v>1.068</v>
      </c>
    </row>
    <row r="1547">
      <c r="A1547">
        <v>850</v>
      </c>
      <c r="B1547">
        <v>2</v>
      </c>
      <c t="s" r="C1547">
        <v>402</v>
      </c>
      <c r="D1547">
        <v>20</v>
      </c>
      <c r="E1547">
        <f>D1547*B1547</f>
        <v>40</v>
      </c>
      <c s="26" r="F1547">
        <f>G1547-E1547</f>
        <v>16</v>
      </c>
      <c s="26" r="G1547">
        <f>E1547*H1547</f>
        <v>56</v>
      </c>
      <c s="19" r="H1547">
        <v>1.4</v>
      </c>
    </row>
    <row r="1548">
      <c s="26" r="F1548"/>
      <c s="26" r="G1548"/>
      <c s="19" r="H1548"/>
    </row>
    <row r="1549">
      <c s="26" r="F1549"/>
      <c s="26" r="G1549"/>
      <c s="19" r="H1549"/>
    </row>
    <row r="1550">
      <c s="26" r="F1550"/>
      <c s="26" r="G1550"/>
      <c s="19" r="H1550"/>
    </row>
    <row r="1551">
      <c s="26" r="F1551"/>
      <c s="26" r="G1551"/>
      <c s="19" r="H1551"/>
    </row>
    <row r="1552">
      <c s="26" r="F1552"/>
      <c s="26" r="G1552"/>
      <c s="19" r="H1552"/>
    </row>
    <row r="1553">
      <c s="26" r="F1553"/>
      <c s="26" r="G1553"/>
      <c s="19" r="H1553"/>
    </row>
    <row r="1554">
      <c s="26" r="F1554"/>
      <c s="26" r="G1554"/>
      <c s="19" r="H1554"/>
    </row>
    <row r="1555">
      <c s="26" r="F1555"/>
      <c s="26" r="G1555"/>
      <c s="19" r="H1555"/>
    </row>
    <row r="1556">
      <c s="26" r="F1556"/>
      <c s="26" r="G1556"/>
      <c s="19" r="H1556"/>
    </row>
    <row r="1557">
      <c s="26" r="F1557"/>
      <c s="26" r="G1557"/>
      <c s="19" r="H1557"/>
    </row>
    <row r="1558">
      <c s="26" r="F1558"/>
      <c s="26" r="G1558"/>
      <c s="19" r="H1558"/>
    </row>
    <row r="1559">
      <c s="26" r="F1559"/>
      <c s="26" r="G1559"/>
      <c s="19" r="H1559"/>
    </row>
    <row r="1560">
      <c s="26" r="F1560"/>
      <c s="26" r="G1560"/>
      <c s="19" r="H1560"/>
    </row>
    <row r="1561">
      <c s="26" r="F1561"/>
      <c s="26" r="G1561"/>
      <c s="19" r="H1561"/>
    </row>
    <row r="1562">
      <c s="26" r="F1562"/>
      <c s="26" r="G1562"/>
      <c s="19" r="H1562"/>
    </row>
    <row r="1563">
      <c s="26" r="F1563"/>
      <c s="26" r="G1563"/>
      <c s="19" r="H1563"/>
    </row>
    <row r="1564">
      <c s="26" r="F1564"/>
      <c s="26" r="G1564"/>
      <c s="19" r="H1564"/>
    </row>
    <row r="1565">
      <c s="26" r="F1565"/>
      <c s="26" r="G1565"/>
      <c s="19" r="H1565"/>
    </row>
    <row r="1566">
      <c s="26" r="F1566"/>
      <c s="26" r="G1566"/>
      <c s="19" r="H1566"/>
    </row>
    <row r="1567">
      <c s="26" r="F1567"/>
      <c s="26" r="G1567"/>
      <c s="19" r="H1567"/>
    </row>
    <row r="1568">
      <c s="26" r="F1568"/>
      <c s="26" r="G1568"/>
      <c s="19" r="H1568"/>
    </row>
    <row r="1569">
      <c s="26" r="F1569"/>
      <c s="26" r="G1569"/>
      <c s="19" r="H1569"/>
    </row>
    <row r="1570">
      <c s="26" r="F1570"/>
      <c s="26" r="G1570"/>
      <c s="19" r="H1570"/>
    </row>
    <row r="1571">
      <c s="26" r="F1571"/>
      <c s="26" r="G1571"/>
      <c s="19" r="H1571"/>
    </row>
    <row r="1572">
      <c s="26" r="F1572"/>
      <c s="26" r="G1572"/>
      <c s="19" r="H1572"/>
    </row>
    <row r="1573">
      <c s="26" r="F1573"/>
      <c s="26" r="G1573"/>
      <c s="19" r="H1573"/>
    </row>
    <row r="1574">
      <c s="26" r="F1574"/>
      <c s="26" r="G1574"/>
      <c s="19" r="H1574"/>
    </row>
    <row r="1575">
      <c s="26" r="F1575"/>
      <c s="26" r="G1575"/>
      <c s="19" r="H1575"/>
    </row>
    <row r="1576">
      <c s="26" r="F1576"/>
      <c s="26" r="G1576"/>
      <c s="19" r="H1576"/>
    </row>
    <row r="1577">
      <c s="26" r="F1577"/>
      <c s="26" r="G1577"/>
      <c s="19" r="H1577"/>
    </row>
    <row r="1578">
      <c s="26" r="F1578"/>
      <c s="26" r="G1578"/>
      <c s="19" r="H1578"/>
    </row>
    <row r="1579">
      <c s="26" r="F1579"/>
      <c s="26" r="G1579"/>
      <c s="19" r="H1579"/>
    </row>
    <row r="1580">
      <c s="26" r="F1580"/>
      <c s="26" r="G1580"/>
      <c s="19" r="H1580"/>
    </row>
    <row r="1581">
      <c s="26" r="F1581"/>
      <c s="26" r="G1581"/>
      <c s="19" r="H1581"/>
    </row>
    <row r="1582">
      <c s="26" r="F1582"/>
      <c s="26" r="G1582"/>
      <c s="19" r="H1582"/>
    </row>
    <row r="1583">
      <c s="26" r="F1583"/>
      <c s="26" r="G1583"/>
      <c s="19" r="H1583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0"/>
    <col min="2" customWidth="1" max="2" width="3.71"/>
    <col min="3" customWidth="1" max="3" width="27.14"/>
    <col min="5" customWidth="1" max="5" width="11.14"/>
    <col min="7" customWidth="1" max="7" width="10.0"/>
  </cols>
  <sheetData>
    <row r="1">
      <c t="s" s="21" r="A1">
        <v>2</v>
      </c>
      <c t="s" s="21" r="B1">
        <v>421</v>
      </c>
      <c t="s" s="21" r="C1">
        <v>422</v>
      </c>
      <c t="s" s="21" r="D1">
        <v>754</v>
      </c>
      <c t="s" s="21" r="E1">
        <v>755</v>
      </c>
      <c t="s" s="74" r="F1">
        <v>756</v>
      </c>
      <c t="s" s="21" r="G1">
        <v>757</v>
      </c>
      <c t="s" s="21" r="H1">
        <v>426</v>
      </c>
      <c t="s" s="77" r="I1">
        <v>758</v>
      </c>
      <c s="21" r="J1"/>
      <c s="21" r="K1"/>
      <c s="21" r="L1"/>
      <c s="21" r="M1"/>
      <c s="21" r="N1"/>
      <c s="21" r="O1"/>
      <c s="50" r="P1"/>
      <c s="50" r="Q1"/>
    </row>
    <row r="2">
      <c s="4" r="A2">
        <v>41579</v>
      </c>
      <c r="B2">
        <v>1</v>
      </c>
      <c t="s" r="C2">
        <v>759</v>
      </c>
      <c s="26" r="D2">
        <v>274</v>
      </c>
      <c s="26" r="E2">
        <v>0</v>
      </c>
      <c s="26" r="F2"/>
      <c s="26" r="H2">
        <v>0</v>
      </c>
      <c s="26" r="I2">
        <v>0</v>
      </c>
      <c s="19" r="P2"/>
    </row>
    <row r="3">
      <c s="4" r="A3">
        <v>41587</v>
      </c>
      <c r="B3">
        <v>1</v>
      </c>
      <c t="s" r="C3">
        <v>760</v>
      </c>
      <c s="26" r="D3">
        <v>30</v>
      </c>
      <c s="26" r="E3">
        <v>0</v>
      </c>
      <c s="26" r="F3"/>
      <c s="26" r="H3">
        <v>0</v>
      </c>
      <c s="26" r="I3">
        <v>0</v>
      </c>
      <c s="19" r="P3"/>
    </row>
    <row r="4">
      <c s="4" r="A4">
        <v>41588</v>
      </c>
      <c r="B4">
        <v>20</v>
      </c>
      <c t="s" r="C4">
        <v>362</v>
      </c>
      <c s="26" r="D4">
        <v>54</v>
      </c>
      <c s="26" r="E4">
        <v>0</v>
      </c>
      <c s="26" r="F4"/>
      <c s="26" r="H4">
        <v>0</v>
      </c>
      <c s="26" r="I4">
        <v>0</v>
      </c>
      <c s="19" r="P4"/>
    </row>
    <row r="5">
      <c s="4" r="A5">
        <v>41588</v>
      </c>
      <c r="B5">
        <v>20</v>
      </c>
      <c t="s" r="C5">
        <v>366</v>
      </c>
      <c s="26" r="D5">
        <v>54</v>
      </c>
      <c s="26" r="E5">
        <v>0</v>
      </c>
      <c s="26" r="F5"/>
      <c s="26" r="H5">
        <v>0</v>
      </c>
      <c s="26" r="I5">
        <v>0</v>
      </c>
      <c s="19" r="P5"/>
    </row>
    <row r="6">
      <c s="4" r="A6">
        <v>41596</v>
      </c>
      <c r="B6">
        <v>1</v>
      </c>
      <c t="s" r="C6">
        <v>531</v>
      </c>
      <c s="26" r="D6">
        <v>45</v>
      </c>
      <c s="26" r="E6">
        <v>0</v>
      </c>
      <c s="26" r="F6"/>
      <c s="26" r="H6">
        <v>0</v>
      </c>
      <c s="26" r="I6">
        <v>0</v>
      </c>
      <c s="19" r="P6"/>
    </row>
    <row r="7">
      <c s="4" r="A7">
        <v>41596</v>
      </c>
      <c r="B7">
        <v>1</v>
      </c>
      <c t="s" r="C7">
        <v>531</v>
      </c>
      <c s="26" r="D7">
        <v>0</v>
      </c>
      <c s="26" r="E7">
        <v>0</v>
      </c>
      <c s="26" r="F7"/>
      <c s="26" r="H7">
        <v>73</v>
      </c>
      <c s="26" r="I7">
        <v>0</v>
      </c>
      <c s="19" r="P7"/>
    </row>
    <row r="8">
      <c s="4" r="A8">
        <v>41616</v>
      </c>
      <c t="s" r="C8">
        <v>761</v>
      </c>
      <c s="26" r="D8">
        <v>0</v>
      </c>
      <c s="26" r="E8">
        <v>0</v>
      </c>
      <c s="26" r="F8"/>
      <c s="26" r="H8">
        <v>3.6</v>
      </c>
      <c s="26" r="I8">
        <v>0</v>
      </c>
      <c s="19" r="P8"/>
    </row>
    <row r="9">
      <c s="4" r="A9">
        <v>41617</v>
      </c>
      <c t="s" r="C9">
        <v>762</v>
      </c>
      <c s="26" r="D9">
        <v>0</v>
      </c>
      <c s="26" r="E9">
        <v>232</v>
      </c>
      <c s="26" r="F9"/>
      <c s="19" r="G9">
        <v>0.08</v>
      </c>
      <c s="26" r="H9">
        <f>E9*G9</f>
        <v>18.56</v>
      </c>
      <c s="26" r="I9">
        <v>0</v>
      </c>
      <c s="19" r="P9"/>
    </row>
    <row r="10">
      <c s="4" r="A10">
        <v>41617</v>
      </c>
      <c t="s" r="C10">
        <v>763</v>
      </c>
      <c s="26" r="D10">
        <v>0</v>
      </c>
      <c s="26" r="E10">
        <v>252</v>
      </c>
      <c s="26" r="F10"/>
      <c s="19" r="G10">
        <v>0.08</v>
      </c>
      <c s="26" r="H10">
        <f>E10*G10</f>
        <v>20.16</v>
      </c>
      <c s="26" r="I10">
        <v>0</v>
      </c>
      <c s="19" r="P10"/>
    </row>
    <row r="11">
      <c s="4" r="A11">
        <v>41617</v>
      </c>
      <c t="s" r="C11">
        <v>764</v>
      </c>
      <c s="26" r="D11">
        <v>210</v>
      </c>
      <c s="26" r="E11">
        <v>210</v>
      </c>
      <c s="26" r="F11"/>
      <c s="19" r="G11">
        <v>0</v>
      </c>
      <c s="26" r="H11">
        <v>0</v>
      </c>
      <c s="26" r="I11">
        <v>0</v>
      </c>
      <c s="19" r="P11"/>
    </row>
    <row r="12">
      <c s="4" r="A12">
        <v>41617</v>
      </c>
      <c t="s" r="C12">
        <v>763</v>
      </c>
      <c s="26" r="D12">
        <v>0</v>
      </c>
      <c s="26" r="E12">
        <v>40</v>
      </c>
      <c s="26" r="F12"/>
      <c s="19" r="G12">
        <v>0.12</v>
      </c>
      <c s="26" r="H12">
        <f>E12*G12</f>
        <v>4.8</v>
      </c>
      <c s="26" r="I12">
        <v>0</v>
      </c>
      <c s="19" r="P12"/>
    </row>
    <row r="13">
      <c s="4" r="A13">
        <v>41622</v>
      </c>
      <c r="B13">
        <v>56075</v>
      </c>
      <c t="s" r="C13">
        <v>506</v>
      </c>
      <c s="26" r="D13">
        <f>1.7*56</f>
        <v>95.2</v>
      </c>
      <c s="26" r="E13">
        <v>95.2</v>
      </c>
      <c s="26" r="F13"/>
      <c s="26" r="H13">
        <v>101</v>
      </c>
      <c s="26" r="I13">
        <v>0</v>
      </c>
      <c s="19" r="P13"/>
    </row>
    <row r="14">
      <c s="4" r="A14">
        <v>41627</v>
      </c>
      <c r="B14">
        <v>1</v>
      </c>
      <c t="s" r="C14">
        <v>765</v>
      </c>
      <c s="26" r="D14">
        <v>300</v>
      </c>
      <c s="26" r="E14">
        <v>300</v>
      </c>
      <c s="26" r="F14"/>
      <c s="19" r="G14">
        <f>(H14-D14)/D14</f>
        <v>0.156666666666667</v>
      </c>
      <c s="26" r="H14">
        <f>360-13</f>
        <v>347</v>
      </c>
      <c s="26" r="I14">
        <v>0</v>
      </c>
      <c s="19" r="P14"/>
    </row>
    <row r="15">
      <c s="4" r="A15">
        <v>41623</v>
      </c>
      <c t="s" r="C15">
        <v>761</v>
      </c>
      <c s="26" r="D15">
        <v>0</v>
      </c>
      <c s="26" r="E15">
        <v>0</v>
      </c>
      <c s="26" r="F15"/>
      <c s="26" r="H15">
        <v>3.45</v>
      </c>
      <c s="26" r="I15">
        <v>0</v>
      </c>
      <c s="19" r="P15"/>
    </row>
    <row r="16">
      <c s="4" r="A16">
        <v>41630</v>
      </c>
      <c t="s" r="C16">
        <v>761</v>
      </c>
      <c s="26" r="D16">
        <v>0</v>
      </c>
      <c s="26" r="E16">
        <v>0</v>
      </c>
      <c s="26" r="F16"/>
      <c s="26" r="H16">
        <v>3.73</v>
      </c>
      <c s="26" r="I16">
        <v>0</v>
      </c>
      <c s="19" r="P16"/>
    </row>
    <row r="17">
      <c s="4" r="A17">
        <v>41636</v>
      </c>
      <c t="s" r="C17">
        <v>760</v>
      </c>
      <c s="26" r="D17">
        <v>30</v>
      </c>
      <c s="26" r="E17">
        <v>0</v>
      </c>
      <c s="26" r="F17"/>
      <c s="26" r="H17">
        <v>0</v>
      </c>
      <c s="26" r="I17">
        <v>0</v>
      </c>
      <c s="19" r="P17"/>
    </row>
    <row r="18">
      <c s="4" r="A18">
        <v>41637</v>
      </c>
      <c t="s" r="C18">
        <v>760</v>
      </c>
      <c s="26" r="D18">
        <v>30</v>
      </c>
      <c s="26" r="E18">
        <v>0</v>
      </c>
      <c s="26" r="F18"/>
      <c s="26" r="H18">
        <v>0</v>
      </c>
      <c s="26" r="I18">
        <v>0</v>
      </c>
      <c s="19" r="P18"/>
    </row>
    <row r="19">
      <c s="4" r="A19">
        <v>41637</v>
      </c>
      <c t="s" r="C19">
        <v>766</v>
      </c>
      <c s="26" r="D19">
        <v>30</v>
      </c>
      <c s="26" r="E19">
        <v>0</v>
      </c>
      <c s="26" r="F19"/>
      <c s="26" r="H19">
        <v>0</v>
      </c>
      <c s="26" r="I19">
        <v>0</v>
      </c>
      <c s="19" r="P19"/>
    </row>
    <row r="20">
      <c s="4" r="A20">
        <v>41636</v>
      </c>
      <c t="s" r="C20">
        <v>767</v>
      </c>
      <c s="26" r="D20">
        <v>206</v>
      </c>
      <c s="26" r="E20">
        <v>0</v>
      </c>
      <c s="26" r="F20"/>
      <c s="26" r="H20">
        <v>0</v>
      </c>
      <c s="26" r="I20">
        <v>0</v>
      </c>
      <c s="19" r="P20"/>
    </row>
    <row r="21">
      <c s="4" r="A21">
        <v>41636</v>
      </c>
      <c t="s" r="C21">
        <v>768</v>
      </c>
      <c s="26" r="D21">
        <v>229.2</v>
      </c>
      <c s="26" r="E21">
        <v>0</v>
      </c>
      <c s="26" r="F21"/>
      <c s="26" r="H21">
        <v>0</v>
      </c>
      <c s="26" r="I21">
        <v>0</v>
      </c>
      <c s="19" r="P21"/>
    </row>
    <row r="22">
      <c s="4" r="A22">
        <v>41637</v>
      </c>
      <c t="s" r="C22">
        <v>769</v>
      </c>
      <c s="26" r="D22">
        <v>190</v>
      </c>
      <c s="26" r="E22">
        <v>0</v>
      </c>
      <c s="26" r="F22"/>
      <c s="26" r="H22">
        <v>0</v>
      </c>
      <c s="26" r="I22">
        <v>0</v>
      </c>
      <c s="19" r="P22"/>
    </row>
    <row r="23">
      <c s="4" r="A23">
        <v>41635</v>
      </c>
      <c t="s" r="C23">
        <v>770</v>
      </c>
      <c s="26" r="D23">
        <v>103</v>
      </c>
      <c s="26" r="E23">
        <v>0</v>
      </c>
      <c s="26" r="F23"/>
      <c s="26" r="H23">
        <v>0</v>
      </c>
      <c s="26" r="I23">
        <v>0</v>
      </c>
      <c s="19" r="P23"/>
    </row>
    <row r="24">
      <c s="4" r="A24">
        <v>41637</v>
      </c>
      <c t="s" r="C24">
        <v>771</v>
      </c>
      <c s="26" r="D24">
        <f>50*8</f>
        <v>400</v>
      </c>
      <c s="26" r="E24">
        <v>0</v>
      </c>
      <c s="26" r="F24"/>
      <c s="26" r="H24">
        <f>8*75</f>
        <v>600</v>
      </c>
      <c s="26" r="I24">
        <v>0</v>
      </c>
      <c s="19" r="P24"/>
    </row>
    <row r="25">
      <c s="4" r="A25">
        <v>41640</v>
      </c>
      <c t="s" r="C25">
        <v>513</v>
      </c>
      <c s="26" r="D25">
        <v>0</v>
      </c>
      <c s="26" r="E25">
        <v>0</v>
      </c>
      <c s="26" r="F25"/>
      <c s="26" r="H25">
        <v>3</v>
      </c>
      <c s="26" r="I25">
        <v>0</v>
      </c>
      <c s="19" r="P25"/>
    </row>
    <row r="26">
      <c s="4" r="A26">
        <v>41641</v>
      </c>
      <c t="s" r="C26">
        <v>772</v>
      </c>
      <c s="26" r="D26">
        <v>449</v>
      </c>
      <c s="26" r="E26">
        <v>1</v>
      </c>
      <c s="26" r="F26">
        <f>D26-E26</f>
        <v>448</v>
      </c>
      <c s="19" r="G26">
        <f>D26/E26</f>
        <v>449</v>
      </c>
      <c s="26" r="H26">
        <v>0</v>
      </c>
      <c s="26" r="I26">
        <v>449</v>
      </c>
      <c s="19" r="P26"/>
    </row>
    <row r="27">
      <c s="4" r="A27">
        <v>41641</v>
      </c>
      <c t="s" r="C27">
        <v>773</v>
      </c>
      <c r="D27">
        <v>29</v>
      </c>
      <c r="E27">
        <v>16.59</v>
      </c>
      <c s="26" r="F27">
        <f>D27-E27</f>
        <v>12.41</v>
      </c>
      <c s="19" r="G27">
        <f>D27/E27</f>
        <v>1.74804098854732</v>
      </c>
      <c s="26" r="H27">
        <v>0</v>
      </c>
      <c s="26" r="I27">
        <v>23.65</v>
      </c>
      <c s="19" r="P27"/>
    </row>
    <row r="28">
      <c s="4" r="A28">
        <v>41641</v>
      </c>
      <c t="s" r="C28">
        <v>773</v>
      </c>
      <c r="D28">
        <v>25</v>
      </c>
      <c r="E28">
        <v>14.46</v>
      </c>
      <c s="26" r="F28">
        <f>D28-E28</f>
        <v>10.54</v>
      </c>
      <c s="19" r="G28">
        <f>D28/E28</f>
        <v>1.72890733056708</v>
      </c>
      <c s="26" r="H28">
        <v>0</v>
      </c>
      <c s="26" r="I28">
        <v>20.81</v>
      </c>
      <c s="19" r="P28"/>
    </row>
    <row r="29">
      <c s="4" r="A29">
        <v>41641</v>
      </c>
      <c t="s" r="C29">
        <v>773</v>
      </c>
      <c r="D29">
        <v>25</v>
      </c>
      <c r="E29">
        <v>14.24</v>
      </c>
      <c s="26" r="F29">
        <f>D29-E29</f>
        <v>10.76</v>
      </c>
      <c s="19" r="G29">
        <f>D29/E29</f>
        <v>1.75561797752809</v>
      </c>
      <c s="26" r="H29">
        <v>0</v>
      </c>
      <c s="26" r="I29">
        <v>2.82</v>
      </c>
      <c s="19" r="P29"/>
    </row>
    <row r="30">
      <c s="4" r="A30">
        <v>41641</v>
      </c>
      <c t="s" r="C30">
        <v>774</v>
      </c>
      <c r="D30">
        <v>22</v>
      </c>
      <c r="E30">
        <v>10.8</v>
      </c>
      <c s="26" r="F30">
        <f>D30-E30</f>
        <v>11.2</v>
      </c>
      <c s="19" r="G30">
        <f>D30/E30</f>
        <v>2.03703703703704</v>
      </c>
      <c s="26" r="H30">
        <v>0</v>
      </c>
      <c s="26" r="I30">
        <v>0</v>
      </c>
      <c s="19" r="P30"/>
    </row>
    <row r="31">
      <c s="4" r="A31">
        <v>41642</v>
      </c>
      <c t="s" r="C31">
        <v>775</v>
      </c>
      <c r="D31">
        <v>704</v>
      </c>
      <c r="E31">
        <v>4</v>
      </c>
      <c s="26" r="F31">
        <f>D31-E31</f>
        <v>700</v>
      </c>
      <c s="19" r="G31">
        <f>D31/E31</f>
        <v>176</v>
      </c>
      <c s="26" r="H31">
        <v>0</v>
      </c>
      <c s="26" r="I31">
        <v>704</v>
      </c>
      <c s="19" r="P31"/>
    </row>
    <row r="32">
      <c s="4" r="A32">
        <v>41642</v>
      </c>
      <c t="s" r="C32">
        <v>776</v>
      </c>
      <c r="D32">
        <v>19</v>
      </c>
      <c r="E32">
        <v>12</v>
      </c>
      <c s="26" r="F32">
        <f>D32-E32</f>
        <v>7</v>
      </c>
      <c s="19" r="G32">
        <f>D32/E32</f>
        <v>1.58333333333333</v>
      </c>
      <c s="26" r="H32">
        <v>0</v>
      </c>
      <c s="26" r="I32">
        <v>0</v>
      </c>
      <c s="19" r="P32"/>
    </row>
    <row r="33">
      <c s="4" r="A33">
        <v>41642</v>
      </c>
      <c t="s" r="C33">
        <v>507</v>
      </c>
      <c r="D33">
        <v>50</v>
      </c>
      <c r="E33">
        <v>0.03</v>
      </c>
      <c s="26" r="F33">
        <f>D33-E33</f>
        <v>49.97</v>
      </c>
      <c s="19" r="G33">
        <f>D33/E33</f>
        <v>1666.6666666666702</v>
      </c>
      <c s="26" r="H33">
        <v>0</v>
      </c>
      <c s="26" r="I33">
        <v>0</v>
      </c>
      <c s="19" r="P33"/>
    </row>
    <row r="34">
      <c s="4" r="A34">
        <v>41642</v>
      </c>
      <c t="s" r="C34">
        <v>777</v>
      </c>
      <c r="D34">
        <v>47</v>
      </c>
      <c r="E34">
        <v>15.2</v>
      </c>
      <c s="26" r="F34">
        <f>D34-E34</f>
        <v>31.8</v>
      </c>
      <c s="19" r="G34">
        <f>D34/E34</f>
        <v>3.0921052631579</v>
      </c>
      <c s="26" r="H34">
        <v>0</v>
      </c>
      <c s="26" r="I34">
        <v>0</v>
      </c>
      <c s="19" r="P34"/>
    </row>
    <row r="35">
      <c s="4" r="A35">
        <v>41642</v>
      </c>
      <c t="s" r="C35">
        <v>778</v>
      </c>
      <c r="D35">
        <v>700</v>
      </c>
      <c r="E35">
        <v>42</v>
      </c>
      <c s="26" r="F35">
        <f>D35-E35</f>
        <v>658</v>
      </c>
      <c s="19" r="G35">
        <f>D35/E35</f>
        <v>16.6666666666667</v>
      </c>
      <c s="26" r="H35">
        <v>0</v>
      </c>
      <c s="26" r="I35">
        <v>700</v>
      </c>
      <c s="19" r="P35"/>
    </row>
    <row r="36">
      <c s="4" r="A36">
        <v>41643</v>
      </c>
      <c t="s" r="C36">
        <v>588</v>
      </c>
      <c r="D36">
        <v>153</v>
      </c>
      <c r="E36">
        <v>17.18</v>
      </c>
      <c s="26" r="F36">
        <f>D36-E36</f>
        <v>135.82</v>
      </c>
      <c s="19" r="G36">
        <f>D36/E36</f>
        <v>8.90570430733411</v>
      </c>
      <c s="26" r="H36">
        <v>0</v>
      </c>
      <c s="26" r="I36">
        <v>0</v>
      </c>
      <c s="19" r="P36"/>
    </row>
    <row r="37">
      <c s="4" r="A37">
        <v>41643</v>
      </c>
      <c t="s" r="C37">
        <v>779</v>
      </c>
      <c r="D37">
        <v>30</v>
      </c>
      <c r="E37">
        <v>0</v>
      </c>
      <c s="26" r="F37">
        <f>D37-E37</f>
        <v>30</v>
      </c>
      <c t="str" s="19" r="G37">
        <f>D37/E37</f>
        <v>#DIV/0!:divZero</v>
      </c>
      <c s="26" r="H37">
        <v>0</v>
      </c>
      <c s="26" r="I37">
        <v>0</v>
      </c>
      <c s="19" r="P37"/>
    </row>
    <row r="38">
      <c s="4" r="A38">
        <v>41643</v>
      </c>
      <c t="s" r="C38">
        <v>388</v>
      </c>
      <c r="D38">
        <v>52</v>
      </c>
      <c r="E38">
        <v>27.03</v>
      </c>
      <c s="26" r="F38">
        <f>D38-E38</f>
        <v>24.97</v>
      </c>
      <c s="19" r="G38">
        <f>D38/E38</f>
        <v>1.92378838327784</v>
      </c>
      <c s="26" r="H38">
        <v>0</v>
      </c>
      <c s="26" r="I38">
        <v>0</v>
      </c>
      <c s="19" r="P38"/>
    </row>
    <row r="39">
      <c s="4" r="A39">
        <v>41643</v>
      </c>
      <c t="s" r="C39">
        <v>388</v>
      </c>
      <c r="D39">
        <v>53</v>
      </c>
      <c r="E39">
        <v>27.4</v>
      </c>
      <c s="26" r="F39">
        <f>D39-E39</f>
        <v>25.6</v>
      </c>
      <c s="19" r="G39">
        <f>D39/E39</f>
        <v>1.93430656934307</v>
      </c>
      <c s="26" r="H39">
        <v>0</v>
      </c>
      <c s="26" r="I39">
        <v>0</v>
      </c>
      <c s="19" r="P39"/>
    </row>
    <row r="40">
      <c s="4" r="A40">
        <v>41643</v>
      </c>
      <c t="s" r="C40">
        <v>779</v>
      </c>
      <c r="D40">
        <v>25</v>
      </c>
      <c r="E40">
        <v>0</v>
      </c>
      <c s="26" r="F40">
        <f>D40-E40</f>
        <v>25</v>
      </c>
      <c t="str" s="19" r="G40">
        <f>D40/E40</f>
        <v>#DIV/0!:divZero</v>
      </c>
      <c s="26" r="H40">
        <v>0</v>
      </c>
      <c s="26" r="I40">
        <v>0</v>
      </c>
      <c s="19" r="P40"/>
    </row>
    <row r="41">
      <c s="4" r="A41">
        <v>41643</v>
      </c>
      <c t="s" r="C41">
        <v>780</v>
      </c>
      <c r="D41">
        <v>7</v>
      </c>
      <c r="E41">
        <v>0</v>
      </c>
      <c s="26" r="F41">
        <f>D41-E41</f>
        <v>7</v>
      </c>
      <c t="str" s="19" r="G41">
        <f>D41/E41</f>
        <v>#DIV/0!:divZero</v>
      </c>
      <c s="26" r="H41">
        <v>0</v>
      </c>
      <c s="26" r="I41">
        <v>0</v>
      </c>
      <c s="19" r="P41"/>
    </row>
    <row r="42">
      <c s="4" r="A42">
        <v>41643</v>
      </c>
      <c t="s" r="C42">
        <v>781</v>
      </c>
      <c r="D42">
        <v>7</v>
      </c>
      <c r="E42">
        <v>0</v>
      </c>
      <c s="26" r="F42">
        <f>D42-E42</f>
        <v>7</v>
      </c>
      <c t="str" s="19" r="G42">
        <f>D42/E42</f>
        <v>#DIV/0!:divZero</v>
      </c>
      <c s="26" r="H42">
        <v>0</v>
      </c>
      <c s="26" r="I42">
        <v>0</v>
      </c>
      <c s="19" r="P42"/>
    </row>
    <row r="43">
      <c s="4" r="A43">
        <v>41643</v>
      </c>
      <c t="s" r="C43">
        <v>782</v>
      </c>
      <c r="D43">
        <v>138</v>
      </c>
      <c r="E43">
        <v>100</v>
      </c>
      <c s="26" r="F43">
        <f>D43-E43</f>
        <v>38</v>
      </c>
      <c s="19" r="G43">
        <f>D43/E43</f>
        <v>1.38</v>
      </c>
      <c s="26" r="H43">
        <v>0</v>
      </c>
      <c s="26" r="I43">
        <v>0</v>
      </c>
      <c s="19" r="P43"/>
    </row>
    <row r="44">
      <c s="4" r="A44">
        <v>41643</v>
      </c>
      <c t="s" r="C44">
        <v>783</v>
      </c>
      <c r="D44">
        <v>10</v>
      </c>
      <c r="E44">
        <v>0.03</v>
      </c>
      <c s="26" r="F44">
        <f>D44-E44</f>
        <v>9.97</v>
      </c>
      <c s="19" r="G44">
        <f>D44/E44</f>
        <v>333.333333333333</v>
      </c>
      <c s="26" r="H44">
        <v>0</v>
      </c>
      <c s="26" r="I44">
        <v>0</v>
      </c>
      <c s="19" r="P44"/>
    </row>
    <row r="45">
      <c s="4" r="A45">
        <v>41643</v>
      </c>
      <c t="s" r="C45">
        <v>454</v>
      </c>
      <c r="D45">
        <v>93</v>
      </c>
      <c r="E45">
        <v>75.48</v>
      </c>
      <c s="26" r="F45">
        <f>D45-E45</f>
        <v>17.52</v>
      </c>
      <c s="19" r="G45">
        <f>D45/E45</f>
        <v>1.23211446740859</v>
      </c>
      <c s="26" r="H45">
        <v>0</v>
      </c>
      <c s="26" r="I45">
        <v>0</v>
      </c>
      <c s="19" r="P45"/>
    </row>
    <row r="46">
      <c s="4" r="A46">
        <v>41643</v>
      </c>
      <c t="s" r="C46">
        <v>784</v>
      </c>
      <c r="D46">
        <v>71</v>
      </c>
      <c r="E46">
        <v>68.4</v>
      </c>
      <c s="26" r="F46">
        <f>D46-E46</f>
        <v>2.59999999999999</v>
      </c>
      <c s="19" r="G46">
        <f>D46/E46</f>
        <v>1.03801169590643</v>
      </c>
      <c s="26" r="H46">
        <v>0</v>
      </c>
      <c s="26" r="I46">
        <v>0</v>
      </c>
      <c s="19" r="P46"/>
    </row>
    <row r="47">
      <c s="4" r="A47">
        <v>41643</v>
      </c>
      <c t="s" r="C47">
        <v>785</v>
      </c>
      <c r="D47">
        <v>45</v>
      </c>
      <c r="E47">
        <v>40</v>
      </c>
      <c s="26" r="F47">
        <f>D47-E47</f>
        <v>5</v>
      </c>
      <c s="19" r="G47">
        <f>D47/E47</f>
        <v>1.125</v>
      </c>
      <c s="26" r="H47">
        <v>0</v>
      </c>
      <c s="26" r="I47">
        <v>0</v>
      </c>
      <c s="19" r="P47"/>
    </row>
    <row r="48">
      <c s="4" r="A48">
        <v>41644</v>
      </c>
      <c t="s" r="C48">
        <v>786</v>
      </c>
      <c r="D48">
        <v>120</v>
      </c>
      <c r="E48">
        <v>12</v>
      </c>
      <c s="26" r="F48">
        <f>D48-E48</f>
        <v>108</v>
      </c>
      <c s="19" r="G48">
        <f>D48/E48</f>
        <v>10</v>
      </c>
      <c s="26" r="H48">
        <v>0</v>
      </c>
      <c s="26" r="I48">
        <v>0</v>
      </c>
      <c s="19" r="P48"/>
    </row>
    <row r="49">
      <c s="4" r="A49">
        <v>41644</v>
      </c>
      <c t="s" r="C49">
        <v>787</v>
      </c>
      <c r="D49">
        <v>5</v>
      </c>
      <c r="E49">
        <v>1</v>
      </c>
      <c s="26" r="F49">
        <f>D49-E49</f>
        <v>4</v>
      </c>
      <c s="19" r="G49">
        <f>D49/E49</f>
        <v>5</v>
      </c>
      <c s="26" r="H49">
        <v>0</v>
      </c>
      <c s="26" r="I49">
        <v>5</v>
      </c>
      <c s="19" r="P49"/>
    </row>
    <row r="50">
      <c s="4" r="A50">
        <v>41644</v>
      </c>
      <c t="s" r="C50">
        <v>773</v>
      </c>
      <c r="D50">
        <v>40</v>
      </c>
      <c r="E50">
        <v>20</v>
      </c>
      <c s="26" r="F50">
        <f>D50-E50</f>
        <v>20</v>
      </c>
      <c s="19" r="G50">
        <f>D50/E50</f>
        <v>2</v>
      </c>
      <c s="26" r="H50">
        <v>12.85</v>
      </c>
      <c r="I50">
        <v>0</v>
      </c>
      <c s="19" r="P50"/>
    </row>
    <row r="51">
      <c s="4" r="A51">
        <v>41644</v>
      </c>
      <c r="B51">
        <v>294</v>
      </c>
      <c t="s" r="C51">
        <v>507</v>
      </c>
      <c r="D51">
        <v>4.41</v>
      </c>
      <c r="E51">
        <v>0</v>
      </c>
      <c s="26" r="F51">
        <f>D51-E51</f>
        <v>4.41</v>
      </c>
      <c t="str" s="19" r="G51">
        <f>D51/E51</f>
        <v>#DIV/0!:divZero</v>
      </c>
      <c s="26" r="H51">
        <v>0</v>
      </c>
      <c r="I51">
        <v>0</v>
      </c>
      <c s="19" r="P51"/>
    </row>
    <row r="52">
      <c s="4" r="A52">
        <v>41644</v>
      </c>
      <c r="B52">
        <v>2</v>
      </c>
      <c t="s" r="C52">
        <v>786</v>
      </c>
      <c r="D52">
        <v>57</v>
      </c>
      <c r="E52">
        <v>6</v>
      </c>
      <c s="26" r="F52">
        <f>D52-E52</f>
        <v>51</v>
      </c>
      <c s="19" r="G52">
        <f>D52/E52</f>
        <v>9.5</v>
      </c>
      <c s="26" r="H52">
        <v>0</v>
      </c>
      <c r="I52">
        <v>0</v>
      </c>
      <c s="19" r="P52"/>
    </row>
    <row r="53">
      <c s="4" r="A53">
        <v>41645</v>
      </c>
      <c r="B53">
        <v>2</v>
      </c>
      <c t="s" r="C53">
        <v>771</v>
      </c>
      <c r="D53">
        <v>100</v>
      </c>
      <c r="E53">
        <v>3</v>
      </c>
      <c s="26" r="F53">
        <f>D53-E53</f>
        <v>97</v>
      </c>
      <c s="19" r="G53">
        <f>D53/E53</f>
        <v>33.3333333333333</v>
      </c>
      <c s="26" r="H53">
        <v>346.5</v>
      </c>
      <c r="I53">
        <v>0</v>
      </c>
      <c s="19" r="P53"/>
    </row>
    <row r="54">
      <c s="4" r="A54">
        <v>41645</v>
      </c>
      <c r="B54">
        <v>5</v>
      </c>
      <c t="s" r="C54">
        <v>788</v>
      </c>
      <c r="D54">
        <v>2.5</v>
      </c>
      <c r="E54">
        <v>2.5</v>
      </c>
      <c s="26" r="F54">
        <f>D54-E54</f>
        <v>0</v>
      </c>
      <c s="19" r="G54">
        <f>D54/E54</f>
        <v>1</v>
      </c>
      <c s="26" r="H54">
        <v>3.5</v>
      </c>
      <c r="I54">
        <v>0</v>
      </c>
      <c s="19" r="P54"/>
    </row>
    <row r="55">
      <c s="4" r="A55">
        <v>41645</v>
      </c>
      <c t="s" r="C55">
        <v>789</v>
      </c>
      <c r="D55">
        <v>4000</v>
      </c>
      <c r="E55">
        <v>0.459</v>
      </c>
      <c s="26" r="F55">
        <f>D55-E55</f>
        <v>3999.541</v>
      </c>
      <c s="19" r="G55">
        <f>D55/E55</f>
        <v>8714.596949891069</v>
      </c>
      <c s="26" r="H55">
        <v>0</v>
      </c>
      <c r="I55">
        <v>4000</v>
      </c>
      <c s="19" r="P55"/>
    </row>
    <row r="56">
      <c s="4" r="A56">
        <v>41645</v>
      </c>
      <c t="s" r="C56">
        <v>790</v>
      </c>
      <c r="D56">
        <v>25</v>
      </c>
      <c r="E56">
        <v>0</v>
      </c>
      <c s="26" r="F56">
        <f>D56-E56</f>
        <v>25</v>
      </c>
      <c t="str" s="19" r="G56">
        <f>D56/E56</f>
        <v>#DIV/0!:divZero</v>
      </c>
      <c s="26" r="H56">
        <v>0</v>
      </c>
      <c r="I56">
        <v>0</v>
      </c>
      <c s="19" r="P56"/>
    </row>
    <row r="57">
      <c s="4" r="A57">
        <v>41645</v>
      </c>
      <c t="s" r="C57">
        <v>791</v>
      </c>
      <c r="D57">
        <v>7</v>
      </c>
      <c r="E57">
        <v>0</v>
      </c>
      <c s="26" r="F57">
        <f>D57-E57</f>
        <v>7</v>
      </c>
      <c t="str" s="19" r="G57">
        <f>D57/E57</f>
        <v>#DIV/0!:divZero</v>
      </c>
      <c s="26" r="H57">
        <v>0</v>
      </c>
      <c r="I57">
        <v>0</v>
      </c>
      <c s="19" r="P57"/>
    </row>
    <row r="58">
      <c s="4" r="A58">
        <v>41645</v>
      </c>
      <c t="s" r="C58">
        <v>402</v>
      </c>
      <c r="D58">
        <v>20</v>
      </c>
      <c r="E58">
        <v>20</v>
      </c>
      <c s="26" r="F58">
        <f>D58-E58</f>
        <v>0</v>
      </c>
      <c s="19" r="G58">
        <f>D58/E58</f>
        <v>1</v>
      </c>
      <c s="26" r="H58">
        <v>0</v>
      </c>
      <c r="I58">
        <v>27.8</v>
      </c>
      <c s="19" r="P58"/>
    </row>
    <row r="59">
      <c s="4" r="A59">
        <v>41645</v>
      </c>
      <c t="s" r="C59">
        <v>792</v>
      </c>
      <c r="D59">
        <v>25</v>
      </c>
      <c r="E59">
        <v>0</v>
      </c>
      <c s="26" r="F59">
        <f>D59-E59</f>
        <v>25</v>
      </c>
      <c t="str" s="19" r="G59">
        <f>D59/E59</f>
        <v>#DIV/0!:divZero</v>
      </c>
      <c s="26" r="H59">
        <v>0</v>
      </c>
      <c r="I59">
        <v>0</v>
      </c>
      <c s="19" r="P59"/>
    </row>
    <row r="60">
      <c s="4" r="A60">
        <v>41645</v>
      </c>
      <c t="s" r="C60">
        <v>793</v>
      </c>
      <c r="D60">
        <v>7</v>
      </c>
      <c r="E60">
        <v>0</v>
      </c>
      <c s="26" r="F60">
        <f>D60-E60</f>
        <v>7</v>
      </c>
      <c t="str" s="19" r="G60">
        <f>D60/E60</f>
        <v>#DIV/0!:divZero</v>
      </c>
      <c s="26" r="H60">
        <v>0</v>
      </c>
      <c r="I60">
        <v>0</v>
      </c>
      <c s="19" r="P60"/>
    </row>
    <row r="61">
      <c s="4" r="A61">
        <v>41645</v>
      </c>
      <c r="B61">
        <v>2</v>
      </c>
      <c t="s" r="C61">
        <v>771</v>
      </c>
      <c r="D61">
        <v>100</v>
      </c>
      <c r="E61">
        <v>3</v>
      </c>
      <c s="26" r="F61">
        <f>D61-E61</f>
        <v>97</v>
      </c>
      <c s="19" r="G61">
        <f>D61/E61</f>
        <v>33.3333333333333</v>
      </c>
      <c s="26" r="H61">
        <v>305</v>
      </c>
      <c r="I61">
        <v>0</v>
      </c>
      <c s="19" r="P61"/>
    </row>
    <row r="62">
      <c s="4" r="A62">
        <v>41645</v>
      </c>
      <c r="B62">
        <v>1</v>
      </c>
      <c t="s" r="C62">
        <v>786</v>
      </c>
      <c r="D62">
        <v>26</v>
      </c>
      <c r="E62">
        <v>3</v>
      </c>
      <c s="26" r="F62">
        <f>D62-E62</f>
        <v>23</v>
      </c>
      <c s="19" r="G62">
        <f>D62/E62</f>
        <v>8.66666666666667</v>
      </c>
      <c s="26" r="H62">
        <v>0</v>
      </c>
      <c r="I62">
        <v>0</v>
      </c>
      <c s="19" r="P62"/>
    </row>
    <row r="63">
      <c s="4" r="A63">
        <v>41646</v>
      </c>
      <c r="B63">
        <v>1</v>
      </c>
      <c t="s" r="C63">
        <v>588</v>
      </c>
      <c r="D63">
        <v>130</v>
      </c>
      <c r="E63">
        <v>14.84</v>
      </c>
      <c s="26" r="F63">
        <f>D63-E63</f>
        <v>115.16</v>
      </c>
      <c s="19" r="G63">
        <f>D63/E63</f>
        <v>8.760107816711589</v>
      </c>
      <c s="26" r="H63">
        <v>0</v>
      </c>
      <c r="I63">
        <v>130</v>
      </c>
      <c s="19" r="P63"/>
    </row>
    <row r="64">
      <c s="4" r="A64">
        <v>41646</v>
      </c>
      <c r="B64">
        <v>1</v>
      </c>
      <c t="s" r="C64">
        <v>588</v>
      </c>
      <c r="D64">
        <v>125</v>
      </c>
      <c r="E64">
        <v>14.21</v>
      </c>
      <c s="26" r="F64">
        <f>D64-E64</f>
        <v>110.79</v>
      </c>
      <c s="19" r="G64">
        <f>D64/E64</f>
        <v>8.79662209711471</v>
      </c>
      <c s="26" r="H64">
        <v>0</v>
      </c>
      <c r="I64">
        <v>0</v>
      </c>
      <c s="19" r="P64"/>
    </row>
    <row r="65">
      <c s="4" r="A65">
        <v>41646</v>
      </c>
      <c t="s" r="C65">
        <v>790</v>
      </c>
      <c r="D65">
        <v>25</v>
      </c>
      <c r="E65">
        <v>0</v>
      </c>
      <c s="26" r="F65">
        <f>D65-E65</f>
        <v>25</v>
      </c>
      <c t="str" s="19" r="G65">
        <f>D65/E65</f>
        <v>#DIV/0!:divZero</v>
      </c>
      <c s="26" r="H65">
        <v>0</v>
      </c>
      <c r="I65">
        <v>0</v>
      </c>
      <c s="19" r="P65"/>
    </row>
    <row r="66">
      <c s="4" r="A66">
        <v>41646</v>
      </c>
      <c t="s" r="C66">
        <v>791</v>
      </c>
      <c r="D66">
        <v>7</v>
      </c>
      <c r="E66">
        <v>0</v>
      </c>
      <c s="26" r="F66">
        <f>D66-E66</f>
        <v>7</v>
      </c>
      <c t="str" s="19" r="G66">
        <f>D66/E66</f>
        <v>#DIV/0!:divZero</v>
      </c>
      <c s="26" r="H66">
        <v>0</v>
      </c>
      <c r="I66">
        <v>0</v>
      </c>
      <c s="19" r="P66"/>
    </row>
    <row r="67">
      <c s="4" r="A67">
        <v>41646</v>
      </c>
      <c t="s" r="C67">
        <v>794</v>
      </c>
      <c r="D67">
        <v>206</v>
      </c>
      <c r="E67">
        <v>180</v>
      </c>
      <c s="26" r="F67">
        <f>D67-E67</f>
        <v>26</v>
      </c>
      <c s="19" r="G67">
        <f>D67/E67</f>
        <v>1.14444444444444</v>
      </c>
      <c s="26" r="H67">
        <v>0</v>
      </c>
      <c r="I67">
        <v>0</v>
      </c>
      <c s="19" r="P67"/>
    </row>
    <row r="68">
      <c s="4" r="A68">
        <v>41647</v>
      </c>
      <c t="s" r="C68">
        <v>794</v>
      </c>
      <c r="D68">
        <v>206</v>
      </c>
      <c r="E68">
        <v>180</v>
      </c>
      <c s="26" r="F68">
        <f>D68-E68</f>
        <v>26</v>
      </c>
      <c s="19" r="G68">
        <f>D68/E68</f>
        <v>1.14444444444444</v>
      </c>
      <c s="26" r="H68">
        <v>0</v>
      </c>
      <c r="I68">
        <v>0</v>
      </c>
      <c s="19" r="P68"/>
    </row>
    <row r="69">
      <c s="4" r="A69">
        <v>41647</v>
      </c>
      <c t="s" r="C69">
        <v>794</v>
      </c>
      <c r="D69">
        <v>206</v>
      </c>
      <c r="E69">
        <v>180</v>
      </c>
      <c s="26" r="F69">
        <f>D69-E69</f>
        <v>26</v>
      </c>
      <c s="19" r="G69">
        <f>D69/E69</f>
        <v>1.14444444444444</v>
      </c>
      <c s="26" r="H69">
        <v>0</v>
      </c>
      <c r="I69">
        <v>0</v>
      </c>
      <c s="19" r="P69"/>
    </row>
    <row r="70">
      <c s="4" r="A70">
        <v>41647</v>
      </c>
      <c t="s" r="C70">
        <v>794</v>
      </c>
      <c r="D70">
        <v>206</v>
      </c>
      <c r="E70">
        <v>180</v>
      </c>
      <c s="26" r="F70">
        <f>D70-E70</f>
        <v>26</v>
      </c>
      <c s="19" r="G70">
        <f>D70/E70</f>
        <v>1.14444444444444</v>
      </c>
      <c s="26" r="H70">
        <v>0</v>
      </c>
      <c r="I70">
        <v>0</v>
      </c>
      <c s="19" r="P70"/>
    </row>
    <row r="71">
      <c s="4" r="A71">
        <v>41647</v>
      </c>
      <c t="s" r="C71">
        <v>795</v>
      </c>
      <c r="D71">
        <v>126.62</v>
      </c>
      <c r="E71">
        <v>126.62</v>
      </c>
      <c s="26" r="F71">
        <f>D71-E71</f>
        <v>0</v>
      </c>
      <c s="19" r="G71">
        <f>D71/E71</f>
        <v>1</v>
      </c>
      <c s="26" r="H71">
        <v>0</v>
      </c>
      <c r="I71">
        <v>126.62</v>
      </c>
      <c s="19" r="P71"/>
    </row>
    <row r="72">
      <c s="4" r="A72">
        <v>41648</v>
      </c>
      <c t="s" r="C72">
        <v>794</v>
      </c>
      <c r="D72">
        <v>206</v>
      </c>
      <c r="E72">
        <v>180</v>
      </c>
      <c s="26" r="F72">
        <f>D72-E72</f>
        <v>26</v>
      </c>
      <c s="19" r="G72">
        <f>D72/E72</f>
        <v>1.14444444444444</v>
      </c>
      <c s="26" r="H72">
        <v>0</v>
      </c>
      <c r="I72">
        <v>0</v>
      </c>
      <c s="19" r="P72"/>
    </row>
    <row r="73">
      <c s="4" r="A73">
        <v>41648</v>
      </c>
      <c t="s" r="C73">
        <v>792</v>
      </c>
      <c r="D73">
        <v>25</v>
      </c>
      <c r="E73">
        <v>0</v>
      </c>
      <c s="26" r="F73">
        <f>D73-E73</f>
        <v>25</v>
      </c>
      <c t="str" s="19" r="G73">
        <f>D73/E73</f>
        <v>#DIV/0!:divZero</v>
      </c>
      <c s="26" r="H73">
        <v>0</v>
      </c>
      <c r="I73">
        <v>0</v>
      </c>
      <c s="19" r="P73"/>
    </row>
    <row r="74">
      <c s="4" r="A74">
        <v>41648</v>
      </c>
      <c t="s" r="C74">
        <v>793</v>
      </c>
      <c r="D74">
        <v>7</v>
      </c>
      <c r="E74">
        <v>0</v>
      </c>
      <c s="26" r="F74">
        <f>D74-E74</f>
        <v>7</v>
      </c>
      <c t="str" s="19" r="G74">
        <f>D74/E74</f>
        <v>#DIV/0!:divZero</v>
      </c>
      <c s="26" r="H74">
        <v>0</v>
      </c>
      <c r="I74">
        <v>0</v>
      </c>
      <c s="19" r="P74"/>
    </row>
    <row r="75">
      <c s="4" r="A75">
        <v>41648</v>
      </c>
      <c t="s" r="C75">
        <v>796</v>
      </c>
      <c r="D75">
        <v>119</v>
      </c>
      <c r="E75">
        <v>12</v>
      </c>
      <c s="26" r="F75">
        <f>D75-E75</f>
        <v>107</v>
      </c>
      <c s="19" r="G75">
        <f>D75/E75</f>
        <v>9.91666666666667</v>
      </c>
      <c s="26" r="H75">
        <f>89.54+29.76</f>
        <v>119.3</v>
      </c>
      <c r="I75">
        <v>0</v>
      </c>
      <c s="19" r="P75"/>
    </row>
    <row r="76">
      <c s="4" r="A76">
        <v>41648</v>
      </c>
      <c t="s" r="C76">
        <v>790</v>
      </c>
      <c r="D76">
        <v>25</v>
      </c>
      <c r="E76">
        <v>0</v>
      </c>
      <c s="26" r="F76">
        <f>D76-E76</f>
        <v>25</v>
      </c>
      <c t="str" s="19" r="G76">
        <f>D76/E76</f>
        <v>#DIV/0!:divZero</v>
      </c>
      <c s="26" r="H76">
        <v>0</v>
      </c>
      <c r="I76">
        <v>0</v>
      </c>
      <c s="19" r="P76"/>
    </row>
    <row r="77">
      <c s="4" r="A77">
        <v>41648</v>
      </c>
      <c t="s" r="C77">
        <v>791</v>
      </c>
      <c r="D77">
        <v>7</v>
      </c>
      <c r="E77">
        <v>0</v>
      </c>
      <c s="26" r="F77">
        <f>D77-E77</f>
        <v>7</v>
      </c>
      <c t="str" s="19" r="G77">
        <f>D77/E77</f>
        <v>#DIV/0!:divZero</v>
      </c>
      <c s="26" r="H77">
        <v>0</v>
      </c>
      <c r="I77">
        <v>0</v>
      </c>
      <c s="19" r="P77"/>
    </row>
    <row r="78">
      <c s="4" r="A78">
        <v>41649</v>
      </c>
      <c t="s" r="C78">
        <v>794</v>
      </c>
      <c r="D78">
        <v>206</v>
      </c>
      <c r="E78">
        <v>180</v>
      </c>
      <c s="26" r="F78">
        <f>D78-E78</f>
        <v>26</v>
      </c>
      <c s="19" r="G78">
        <f>D78/E78</f>
        <v>1.14444444444444</v>
      </c>
      <c s="26" r="H78">
        <v>0</v>
      </c>
      <c r="I78">
        <v>0</v>
      </c>
      <c s="19" r="P78"/>
    </row>
    <row r="79">
      <c s="4" r="A79">
        <v>41649</v>
      </c>
      <c t="s" r="C79">
        <v>792</v>
      </c>
      <c r="D79">
        <v>25</v>
      </c>
      <c r="E79">
        <v>0</v>
      </c>
      <c s="26" r="F79">
        <f>D79-E79</f>
        <v>25</v>
      </c>
      <c t="str" s="19" r="G79">
        <f>D79/E79</f>
        <v>#DIV/0!:divZero</v>
      </c>
      <c s="26" r="H79">
        <v>0</v>
      </c>
      <c r="I79">
        <v>0</v>
      </c>
      <c s="19" r="P79"/>
    </row>
    <row r="80">
      <c s="4" r="A80">
        <v>41649</v>
      </c>
      <c t="s" r="C80">
        <v>793</v>
      </c>
      <c r="D80">
        <v>7</v>
      </c>
      <c r="E80">
        <v>0</v>
      </c>
      <c s="26" r="F80">
        <f>D80-E80</f>
        <v>7</v>
      </c>
      <c t="str" s="19" r="G80">
        <f>D80/E80</f>
        <v>#DIV/0!:divZero</v>
      </c>
      <c s="26" r="H80">
        <v>0</v>
      </c>
      <c r="I80">
        <v>0</v>
      </c>
      <c s="19" r="P80"/>
    </row>
    <row r="81">
      <c s="4" r="A81">
        <v>41649</v>
      </c>
      <c t="s" r="C81">
        <v>797</v>
      </c>
      <c r="D81">
        <v>2</v>
      </c>
      <c r="E81">
        <v>0</v>
      </c>
      <c s="26" r="F81">
        <f>D81-E81</f>
        <v>2</v>
      </c>
      <c t="str" s="19" r="G81">
        <f>D81/E81</f>
        <v>#DIV/0!:divZero</v>
      </c>
      <c s="26" r="H81">
        <v>0</v>
      </c>
      <c r="I81">
        <v>0</v>
      </c>
      <c s="19" r="P81"/>
    </row>
    <row r="82">
      <c s="4" r="A82">
        <v>41649</v>
      </c>
      <c t="s" r="C82">
        <v>798</v>
      </c>
      <c r="D82">
        <v>2</v>
      </c>
      <c r="E82">
        <v>0</v>
      </c>
      <c s="26" r="F82">
        <f>D82-E82</f>
        <v>2</v>
      </c>
      <c t="str" s="19" r="G82">
        <f>D82/E82</f>
        <v>#DIV/0!:divZero</v>
      </c>
      <c s="26" r="H82">
        <v>0</v>
      </c>
      <c r="I82">
        <v>0</v>
      </c>
      <c s="19" r="P82"/>
    </row>
    <row r="83">
      <c s="4" r="A83">
        <v>41649</v>
      </c>
      <c t="s" r="C83">
        <v>794</v>
      </c>
      <c r="D83">
        <v>206</v>
      </c>
      <c r="E83">
        <v>180</v>
      </c>
      <c s="26" r="F83">
        <f>D83-E83</f>
        <v>26</v>
      </c>
      <c s="19" r="G83">
        <f>D83/E83</f>
        <v>1.14444444444444</v>
      </c>
      <c s="26" r="H83">
        <v>0</v>
      </c>
      <c r="I83">
        <v>0</v>
      </c>
      <c s="19" r="P83"/>
    </row>
    <row r="84">
      <c s="4" r="A84">
        <v>41650</v>
      </c>
      <c t="s" r="C84">
        <v>799</v>
      </c>
      <c r="D84">
        <v>17.58</v>
      </c>
      <c r="E84">
        <v>17.58</v>
      </c>
      <c s="26" r="F84">
        <f>D84-E84</f>
        <v>0</v>
      </c>
      <c s="19" r="G84">
        <f>D84/E84</f>
        <v>1</v>
      </c>
      <c s="26" r="H84">
        <v>19</v>
      </c>
      <c r="I84">
        <v>0</v>
      </c>
      <c s="19" r="P84"/>
    </row>
    <row r="85">
      <c s="4" r="A85">
        <v>41650</v>
      </c>
      <c t="s" r="C85">
        <v>800</v>
      </c>
      <c r="D85">
        <v>54</v>
      </c>
      <c r="E85">
        <v>50.54</v>
      </c>
      <c s="26" r="F85">
        <f>D85-E85</f>
        <v>3.46</v>
      </c>
      <c s="19" r="G85">
        <f>D85/E85</f>
        <v>1.06846062524733</v>
      </c>
      <c s="26" r="H85">
        <v>19</v>
      </c>
      <c r="I85">
        <v>50.54</v>
      </c>
      <c s="26" r="J85"/>
      <c s="19" r="P85"/>
    </row>
    <row r="86">
      <c s="4" r="A86">
        <v>41650</v>
      </c>
      <c t="s" r="C86">
        <v>794</v>
      </c>
      <c r="D86">
        <v>206</v>
      </c>
      <c r="E86">
        <v>180</v>
      </c>
      <c s="26" r="F86">
        <f>D86-E86</f>
        <v>26</v>
      </c>
      <c s="19" r="G86">
        <f>D86/E86</f>
        <v>1.14444444444444</v>
      </c>
      <c s="26" r="H86">
        <v>0</v>
      </c>
      <c r="I86">
        <v>0</v>
      </c>
      <c s="19" r="P86"/>
    </row>
    <row r="87">
      <c s="4" r="A87">
        <v>41650</v>
      </c>
      <c t="s" r="C87">
        <v>801</v>
      </c>
      <c r="D87">
        <v>0</v>
      </c>
      <c r="E87">
        <v>0</v>
      </c>
      <c s="26" r="F87">
        <f>D87-E87</f>
        <v>0</v>
      </c>
      <c t="str" s="19" r="G87">
        <f>D87/E87</f>
        <v>#DIV/0!:divZero</v>
      </c>
      <c s="26" r="H87">
        <v>149.75</v>
      </c>
      <c r="I87">
        <v>0</v>
      </c>
      <c s="19" r="P87"/>
    </row>
    <row r="88">
      <c s="4" r="A88">
        <v>41650</v>
      </c>
      <c t="s" r="C88">
        <v>56</v>
      </c>
      <c r="D88">
        <v>41</v>
      </c>
      <c r="E88">
        <v>39.6</v>
      </c>
      <c s="26" r="F88">
        <f>D88-E88</f>
        <v>1.4</v>
      </c>
      <c s="19" r="G88">
        <f>D88/E88</f>
        <v>1.03535353535354</v>
      </c>
      <c s="26" r="H88">
        <v>0</v>
      </c>
      <c r="I88">
        <v>41</v>
      </c>
      <c s="19" r="P88"/>
    </row>
    <row r="89">
      <c s="4" r="A89">
        <v>41650</v>
      </c>
      <c t="s" r="C89">
        <v>513</v>
      </c>
      <c r="D89">
        <v>0</v>
      </c>
      <c r="E89">
        <v>0</v>
      </c>
      <c s="26" r="F89">
        <v>0</v>
      </c>
      <c t="str" s="19" r="G89">
        <f>D89/E89</f>
        <v>#DIV/0!:divZero</v>
      </c>
      <c r="H89">
        <v>3</v>
      </c>
      <c r="I89">
        <v>0</v>
      </c>
      <c s="19" r="P89"/>
    </row>
    <row r="90">
      <c s="4" r="A90">
        <v>41650</v>
      </c>
      <c t="s" r="C90">
        <v>802</v>
      </c>
      <c r="D90">
        <v>224.34</v>
      </c>
      <c r="E90">
        <v>200</v>
      </c>
      <c s="26" r="F90">
        <f>D90-E90</f>
        <v>24.34</v>
      </c>
      <c s="19" r="G90">
        <f>D90/E90</f>
        <v>1.1217</v>
      </c>
      <c s="26" r="H90">
        <v>0</v>
      </c>
      <c r="I90">
        <v>0</v>
      </c>
      <c s="19" r="P90"/>
    </row>
    <row r="91">
      <c s="4" r="A91">
        <v>41650</v>
      </c>
      <c t="s" r="C91">
        <v>794</v>
      </c>
      <c r="D91">
        <v>206</v>
      </c>
      <c r="E91">
        <v>180</v>
      </c>
      <c s="26" r="F91">
        <f>D91-E91</f>
        <v>26</v>
      </c>
      <c s="19" r="G91">
        <f>D91/E91</f>
        <v>1.14444444444444</v>
      </c>
      <c s="26" r="H91">
        <v>0</v>
      </c>
      <c r="I91">
        <v>0</v>
      </c>
      <c s="19" r="P91"/>
    </row>
    <row r="92">
      <c s="4" r="A92">
        <v>41651</v>
      </c>
      <c t="s" r="C92">
        <v>803</v>
      </c>
      <c r="D92">
        <v>700</v>
      </c>
      <c r="E92">
        <v>0.01</v>
      </c>
      <c s="26" r="F92">
        <f>D92-E92</f>
        <v>699.99</v>
      </c>
      <c s="19" r="G92">
        <f>D92/E92</f>
        <v>70000</v>
      </c>
      <c s="26" r="H92">
        <v>0</v>
      </c>
      <c r="I92">
        <v>700</v>
      </c>
      <c s="19" r="P92"/>
    </row>
    <row r="93">
      <c s="4" r="A93">
        <v>41651</v>
      </c>
      <c t="s" r="C93">
        <v>794</v>
      </c>
      <c r="D93">
        <v>206</v>
      </c>
      <c r="E93">
        <v>180</v>
      </c>
      <c s="26" r="F93">
        <f>D93-E93</f>
        <v>26</v>
      </c>
      <c s="19" r="G93">
        <f>D93/E93</f>
        <v>1.14444444444444</v>
      </c>
      <c s="26" r="H93">
        <v>0</v>
      </c>
      <c r="I93">
        <v>0</v>
      </c>
      <c s="19" r="P93"/>
    </row>
    <row r="94">
      <c s="4" r="A94">
        <v>41651</v>
      </c>
      <c r="B94">
        <v>8</v>
      </c>
      <c t="s" r="C94">
        <v>804</v>
      </c>
      <c r="D94">
        <v>9</v>
      </c>
      <c r="E94">
        <v>8</v>
      </c>
      <c s="26" r="F94">
        <f>D94-E94</f>
        <v>1</v>
      </c>
      <c s="19" r="G94">
        <f>D94/E94</f>
        <v>1.125</v>
      </c>
      <c s="26" r="H94">
        <v>0</v>
      </c>
      <c r="I94">
        <v>0</v>
      </c>
      <c s="19" r="P94"/>
    </row>
    <row r="95">
      <c s="4" r="A95">
        <v>41651</v>
      </c>
      <c t="s" r="C95">
        <v>792</v>
      </c>
      <c r="D95">
        <v>25</v>
      </c>
      <c r="E95">
        <v>0</v>
      </c>
      <c s="26" r="F95">
        <f>D95-E95</f>
        <v>25</v>
      </c>
      <c t="str" s="19" r="G95">
        <f>D95/E95</f>
        <v>#DIV/0!:divZero</v>
      </c>
      <c s="26" r="H95">
        <v>0</v>
      </c>
      <c r="I95">
        <v>0</v>
      </c>
      <c s="19" r="P95"/>
    </row>
    <row r="96">
      <c s="4" r="A96">
        <v>41651</v>
      </c>
      <c t="s" r="C96">
        <v>793</v>
      </c>
      <c r="D96">
        <v>7</v>
      </c>
      <c r="E96">
        <v>0</v>
      </c>
      <c s="26" r="F96">
        <f>D96-E96</f>
        <v>7</v>
      </c>
      <c t="str" s="19" r="G96">
        <f>D96/E96</f>
        <v>#DIV/0!:divZero</v>
      </c>
      <c s="26" r="H96">
        <v>0</v>
      </c>
      <c r="I96">
        <v>0</v>
      </c>
      <c s="19" r="P96"/>
    </row>
    <row r="97">
      <c s="4" r="A97">
        <v>41651</v>
      </c>
      <c t="s" r="C97">
        <v>805</v>
      </c>
      <c r="D97">
        <v>150</v>
      </c>
      <c r="E97">
        <v>12.52</v>
      </c>
      <c s="26" r="F97">
        <f>D97-E97</f>
        <v>137.48</v>
      </c>
      <c s="19" r="G97">
        <f>D97/E97</f>
        <v>11.980830670926501</v>
      </c>
      <c s="26" r="H97">
        <v>0</v>
      </c>
      <c r="I97">
        <v>150</v>
      </c>
      <c s="19" r="P97"/>
    </row>
    <row r="98">
      <c s="4" r="A98">
        <v>41651</v>
      </c>
      <c t="s" r="C98">
        <v>805</v>
      </c>
      <c r="D98">
        <v>255</v>
      </c>
      <c r="E98">
        <v>21.9</v>
      </c>
      <c s="26" r="F98">
        <f>D98-E98</f>
        <v>233.1</v>
      </c>
      <c s="19" r="G98">
        <f>D98/E98</f>
        <v>11.6438356164384</v>
      </c>
      <c s="26" r="H98">
        <v>0</v>
      </c>
      <c r="I98">
        <v>255</v>
      </c>
      <c s="19" r="P98"/>
    </row>
    <row r="99">
      <c s="4" r="A99">
        <v>41651</v>
      </c>
      <c t="s" r="C99">
        <v>806</v>
      </c>
      <c r="D99">
        <v>10</v>
      </c>
      <c r="E99">
        <v>0.01</v>
      </c>
      <c s="26" r="F99">
        <f>D99-E99</f>
        <v>9.99</v>
      </c>
      <c s="19" r="G99">
        <f>D99/E99</f>
        <v>1000</v>
      </c>
      <c s="26" r="H99">
        <v>0</v>
      </c>
      <c r="I99">
        <v>10</v>
      </c>
      <c s="19" r="P99"/>
    </row>
    <row r="100">
      <c s="4" r="A100">
        <v>41651</v>
      </c>
      <c t="s" r="C100">
        <v>807</v>
      </c>
      <c r="D100">
        <v>50</v>
      </c>
      <c r="E100">
        <v>49.2</v>
      </c>
      <c s="26" r="F100">
        <f>D100-E100</f>
        <v>0.799999999999997</v>
      </c>
      <c s="19" r="G100">
        <f>D100/E100</f>
        <v>1.01626016260163</v>
      </c>
      <c s="26" r="H100">
        <v>0</v>
      </c>
      <c r="I100">
        <v>49.2</v>
      </c>
      <c s="19" r="P100"/>
    </row>
    <row r="101">
      <c s="4" r="A101">
        <v>41651</v>
      </c>
      <c t="s" r="C101">
        <v>808</v>
      </c>
      <c r="D101">
        <v>40</v>
      </c>
      <c r="E101">
        <v>40</v>
      </c>
      <c s="26" r="F101">
        <f>D101-E101</f>
        <v>0</v>
      </c>
      <c s="19" r="G101">
        <f>D101/E101</f>
        <v>1</v>
      </c>
      <c s="26" r="H101">
        <v>0</v>
      </c>
      <c r="I101">
        <v>0</v>
      </c>
      <c s="19" r="P101"/>
    </row>
    <row r="102">
      <c s="4" r="A102">
        <v>41651</v>
      </c>
      <c t="s" r="C102">
        <v>808</v>
      </c>
      <c r="D102">
        <v>40</v>
      </c>
      <c r="E102">
        <v>40</v>
      </c>
      <c s="26" r="F102">
        <f>D102-E102</f>
        <v>0</v>
      </c>
      <c s="19" r="G102">
        <f>D102/E102</f>
        <v>1</v>
      </c>
      <c s="26" r="H102">
        <v>0</v>
      </c>
      <c r="I102">
        <v>0</v>
      </c>
      <c s="19" r="P102"/>
    </row>
    <row r="103">
      <c s="4" r="A103">
        <v>41651</v>
      </c>
      <c t="s" r="C103">
        <v>809</v>
      </c>
      <c r="D103">
        <v>220</v>
      </c>
      <c r="E103">
        <v>200</v>
      </c>
      <c s="26" r="F103">
        <f>D103-E103</f>
        <v>20</v>
      </c>
      <c s="19" r="G103">
        <f>D103/E103</f>
        <v>1.1</v>
      </c>
      <c s="26" r="H103">
        <v>0</v>
      </c>
      <c r="I103">
        <v>0</v>
      </c>
      <c s="19" r="P103"/>
    </row>
    <row r="104">
      <c s="4" r="A104">
        <v>41651</v>
      </c>
      <c t="s" r="C104">
        <v>809</v>
      </c>
      <c r="D104">
        <v>220</v>
      </c>
      <c r="E104">
        <v>200</v>
      </c>
      <c s="26" r="F104">
        <f>D104-E104</f>
        <v>20</v>
      </c>
      <c s="19" r="G104">
        <f>D104/E104</f>
        <v>1.1</v>
      </c>
      <c s="26" r="H104">
        <v>0</v>
      </c>
      <c r="I104">
        <v>0</v>
      </c>
      <c s="19" r="P104"/>
    </row>
    <row r="105">
      <c s="4" r="A105">
        <v>41651</v>
      </c>
      <c t="s" r="C105">
        <v>810</v>
      </c>
      <c r="D105">
        <v>1528.26</v>
      </c>
      <c r="E105">
        <v>1528.26</v>
      </c>
      <c s="26" r="F105">
        <f>D105-E105</f>
        <v>0</v>
      </c>
      <c s="19" r="G105">
        <f>D105/E105</f>
        <v>1</v>
      </c>
      <c s="26" r="H105">
        <v>0</v>
      </c>
      <c r="I105">
        <v>1528.26</v>
      </c>
      <c s="19" r="P105"/>
    </row>
    <row r="106">
      <c s="4" r="A106">
        <v>41652</v>
      </c>
      <c t="s" r="C106">
        <v>811</v>
      </c>
      <c r="D106">
        <v>726</v>
      </c>
      <c r="E106">
        <v>26</v>
      </c>
      <c s="26" r="F106">
        <f>D106-E106</f>
        <v>700</v>
      </c>
      <c s="19" r="G106">
        <f>D106/E106</f>
        <v>27.923076923076902</v>
      </c>
      <c s="26" r="H106">
        <v>0</v>
      </c>
      <c r="I106">
        <v>726</v>
      </c>
      <c s="19" r="P106"/>
    </row>
    <row r="107">
      <c s="4" r="A107">
        <v>41652</v>
      </c>
      <c r="B107">
        <v>20</v>
      </c>
      <c t="s" r="C107">
        <v>812</v>
      </c>
      <c r="D107">
        <v>37</v>
      </c>
      <c r="E107">
        <v>16</v>
      </c>
      <c s="26" r="F107">
        <f>D107-E107</f>
        <v>21</v>
      </c>
      <c s="19" r="G107">
        <f>D107/E107</f>
        <v>2.3125</v>
      </c>
      <c s="26" r="H107">
        <v>0</v>
      </c>
      <c r="I107">
        <v>0</v>
      </c>
      <c s="19" r="P107"/>
    </row>
    <row r="108">
      <c s="4" r="A108">
        <v>41652</v>
      </c>
      <c r="B108">
        <v>10</v>
      </c>
      <c t="s" r="C108">
        <v>813</v>
      </c>
      <c r="D108">
        <v>19</v>
      </c>
      <c r="E108">
        <v>8</v>
      </c>
      <c s="26" r="F108">
        <f>D108-E108</f>
        <v>11</v>
      </c>
      <c s="19" r="G108">
        <f>D108/E108</f>
        <v>2.375</v>
      </c>
      <c s="26" r="H108">
        <v>0</v>
      </c>
      <c r="I108">
        <v>0</v>
      </c>
      <c s="19" r="P108"/>
    </row>
    <row r="109">
      <c s="4" r="A109">
        <v>41652</v>
      </c>
      <c r="B109">
        <v>68</v>
      </c>
      <c t="s" r="C109">
        <v>814</v>
      </c>
      <c r="D109">
        <v>29</v>
      </c>
      <c r="E109">
        <v>27.2</v>
      </c>
      <c s="26" r="F109">
        <f>D109-E109</f>
        <v>1.8</v>
      </c>
      <c s="19" r="G109">
        <f>D109/E109</f>
        <v>1.06617647058824</v>
      </c>
      <c s="26" r="H109">
        <v>0</v>
      </c>
      <c r="I109">
        <v>0</v>
      </c>
      <c s="19" r="P109"/>
    </row>
    <row r="110">
      <c s="4" r="A110">
        <v>41652</v>
      </c>
      <c t="s" r="C110">
        <v>815</v>
      </c>
      <c r="D110">
        <v>10</v>
      </c>
      <c r="E110">
        <v>0.39</v>
      </c>
      <c s="26" r="F110">
        <f>D110-E110</f>
        <v>9.61</v>
      </c>
      <c s="19" r="G110">
        <f>D110/E110</f>
        <v>25.6410256410256</v>
      </c>
      <c s="26" r="H110">
        <v>0</v>
      </c>
      <c r="I110">
        <v>0</v>
      </c>
      <c s="19" r="P110"/>
    </row>
    <row r="111">
      <c s="4" r="A111">
        <v>41652</v>
      </c>
      <c t="s" r="C111">
        <v>816</v>
      </c>
      <c r="D111">
        <v>20</v>
      </c>
      <c r="E111">
        <v>0.47</v>
      </c>
      <c s="26" r="F111">
        <f>D111-E111</f>
        <v>19.53</v>
      </c>
      <c s="19" r="G111">
        <f>D111/E111</f>
        <v>42.553191489361694</v>
      </c>
      <c s="26" r="H111">
        <v>0</v>
      </c>
      <c r="I111">
        <v>0</v>
      </c>
      <c s="19" r="P111"/>
    </row>
    <row r="112">
      <c s="26" r="F112"/>
      <c s="19" r="P112"/>
    </row>
    <row r="113">
      <c s="26" r="F113"/>
      <c s="19" r="P113"/>
    </row>
    <row r="114">
      <c s="26" r="F114"/>
      <c s="19" r="P114"/>
    </row>
    <row r="115">
      <c s="26" r="F115"/>
      <c s="19" r="P115"/>
    </row>
    <row r="116">
      <c s="26" r="F116"/>
      <c s="19" r="P116"/>
    </row>
    <row r="117">
      <c s="26" r="F117"/>
      <c s="19" r="P117"/>
    </row>
    <row r="118">
      <c s="26" r="F118"/>
      <c s="19" r="P118"/>
    </row>
    <row r="119">
      <c s="26" r="F119"/>
      <c s="19" r="P119"/>
    </row>
    <row r="120">
      <c s="26" r="F120"/>
      <c s="19" r="P120"/>
    </row>
    <row r="121">
      <c s="26" r="F121"/>
      <c s="19" r="P121"/>
    </row>
    <row r="122">
      <c s="26" r="F122"/>
      <c s="19" r="P122"/>
    </row>
    <row r="123">
      <c s="26" r="F123"/>
      <c s="19" r="P123"/>
    </row>
    <row r="124">
      <c s="26" r="F124"/>
      <c s="19" r="P124"/>
    </row>
    <row r="125">
      <c s="26" r="F125"/>
      <c s="19" r="P125"/>
    </row>
    <row r="126">
      <c s="26" r="F126"/>
      <c s="19" r="P126"/>
    </row>
    <row r="127">
      <c s="26" r="F127"/>
      <c s="19" r="P127"/>
    </row>
    <row r="128">
      <c s="26" r="F128"/>
      <c s="19" r="P128"/>
    </row>
    <row r="129">
      <c s="26" r="F129"/>
      <c s="19" r="P129"/>
    </row>
    <row r="130">
      <c s="26" r="F130"/>
      <c s="19" r="P130"/>
    </row>
    <row r="131">
      <c s="26" r="F131"/>
      <c s="19" r="P131"/>
    </row>
    <row r="132">
      <c s="26" r="F132"/>
      <c s="19" r="P132"/>
    </row>
    <row r="133">
      <c s="26" r="F133"/>
      <c s="19" r="P133"/>
    </row>
    <row r="134">
      <c s="26" r="F134"/>
      <c s="19" r="P134"/>
    </row>
    <row r="135">
      <c s="26" r="F135"/>
      <c s="19" r="P135"/>
    </row>
    <row r="136">
      <c s="26" r="F136"/>
      <c s="19" r="P136"/>
    </row>
    <row r="137">
      <c s="26" r="F137"/>
      <c s="19" r="P137"/>
    </row>
    <row r="138">
      <c s="26" r="F138"/>
      <c s="19" r="P138"/>
    </row>
    <row r="139">
      <c s="26" r="F139"/>
      <c s="19" r="P139"/>
    </row>
    <row r="140">
      <c s="26" r="F140"/>
      <c s="19" r="P140"/>
    </row>
    <row r="141">
      <c s="26" r="F141"/>
      <c s="19" r="P141"/>
    </row>
    <row r="142">
      <c s="26" r="F142"/>
      <c s="19" r="P142"/>
    </row>
    <row r="143">
      <c s="26" r="F143"/>
      <c s="19" r="P143"/>
    </row>
    <row r="144">
      <c s="26" r="F144"/>
      <c s="19" r="P144"/>
    </row>
    <row r="145">
      <c s="26" r="F145"/>
      <c s="19" r="P145"/>
    </row>
    <row r="146">
      <c s="26" r="F146"/>
      <c s="19" r="P146"/>
    </row>
    <row r="147">
      <c s="26" r="F147"/>
      <c s="19" r="P147"/>
    </row>
    <row r="148">
      <c s="26" r="F148"/>
      <c s="19" r="P148"/>
    </row>
    <row r="149">
      <c s="26" r="F149"/>
      <c s="19" r="P149"/>
    </row>
    <row r="150">
      <c s="26" r="F150"/>
      <c s="19" r="P150"/>
    </row>
    <row r="151">
      <c s="26" r="F151"/>
      <c s="19" r="P151"/>
    </row>
    <row r="152">
      <c s="26" r="F152"/>
      <c s="19" r="P152"/>
    </row>
    <row r="153">
      <c s="26" r="F153"/>
      <c s="19" r="P153"/>
    </row>
    <row r="154">
      <c s="26" r="F154"/>
      <c s="19" r="P154"/>
    </row>
    <row r="155">
      <c s="26" r="F155"/>
      <c s="19" r="P155"/>
    </row>
    <row r="156">
      <c s="26" r="F156"/>
      <c s="19" r="P156"/>
    </row>
    <row r="157">
      <c s="26" r="F157"/>
      <c s="19" r="P157"/>
    </row>
    <row r="158">
      <c s="26" r="F158"/>
      <c s="19" r="P158"/>
    </row>
    <row r="159">
      <c s="26" r="F159"/>
      <c s="19" r="P159"/>
    </row>
    <row r="160">
      <c s="26" r="F160"/>
      <c s="19" r="P160"/>
    </row>
    <row r="161">
      <c s="26" r="F161"/>
      <c s="26" r="N161"/>
      <c s="19" r="P161"/>
    </row>
    <row r="162">
      <c s="26" r="F162"/>
      <c s="19" r="P162"/>
    </row>
    <row r="163">
      <c s="26" r="F163"/>
      <c s="19" r="P163"/>
    </row>
    <row r="164">
      <c s="26" r="F164"/>
      <c s="19" r="P164"/>
    </row>
    <row r="165">
      <c s="26" r="F165"/>
      <c s="19" r="P165"/>
    </row>
    <row r="166">
      <c s="26" r="F166"/>
      <c s="26" r="N166"/>
      <c s="19" r="P166"/>
    </row>
    <row r="167">
      <c s="26" r="F167"/>
      <c s="19" r="P167"/>
    </row>
    <row r="168">
      <c s="26" r="F168"/>
      <c s="19" r="P168"/>
    </row>
    <row r="169">
      <c s="26" r="F169"/>
      <c s="19" r="P169"/>
    </row>
    <row r="170">
      <c s="26" r="F170"/>
      <c s="19" r="P170"/>
    </row>
    <row r="171">
      <c s="26" r="F171"/>
      <c s="19" r="P171"/>
    </row>
    <row r="172">
      <c s="26" r="F172"/>
      <c s="19" r="P172"/>
    </row>
    <row r="173">
      <c s="26" r="F173"/>
      <c s="19" r="P173"/>
    </row>
    <row r="174">
      <c s="26" r="F174"/>
      <c s="19" r="P174"/>
    </row>
    <row r="175">
      <c s="26" r="F175"/>
      <c s="19" r="P175"/>
    </row>
    <row r="176">
      <c s="26" r="F176"/>
      <c s="19" r="P176"/>
    </row>
    <row r="177">
      <c s="26" r="F177"/>
      <c s="19" r="P177"/>
    </row>
    <row r="178">
      <c s="26" r="F178"/>
      <c s="26" r="N178"/>
      <c s="19" r="P178"/>
    </row>
    <row r="179">
      <c s="26" r="F179"/>
      <c s="26" r="N179"/>
      <c s="19" r="P179"/>
    </row>
    <row r="180">
      <c s="26" r="F180"/>
      <c s="19" r="P180"/>
    </row>
    <row r="181">
      <c s="26" r="F181"/>
      <c s="19" r="P181"/>
    </row>
    <row r="182">
      <c s="26" r="D182"/>
      <c s="26" r="E182"/>
      <c s="26" r="F182"/>
      <c s="26" r="G182"/>
      <c s="26" r="H182"/>
      <c s="26" r="N182"/>
      <c s="26" r="O182"/>
      <c s="19" r="P182"/>
    </row>
    <row r="183">
      <c s="26" r="D183"/>
      <c s="26" r="E183"/>
      <c s="26" r="F183"/>
      <c s="26" r="G183"/>
      <c s="26" r="H183"/>
      <c s="26" r="N183"/>
      <c s="26" r="O183"/>
      <c s="19" r="P183"/>
    </row>
    <row r="184">
      <c s="26" r="D184"/>
      <c s="26" r="E184"/>
      <c s="26" r="F184"/>
      <c s="26" r="G184"/>
      <c s="26" r="H184"/>
      <c s="26" r="N184"/>
      <c s="26" r="O184"/>
      <c s="19" r="P184"/>
    </row>
    <row r="185">
      <c s="26" r="D185"/>
      <c s="26" r="E185"/>
      <c s="26" r="F185"/>
      <c s="26" r="G185"/>
      <c s="26" r="H185"/>
      <c s="26" r="N185"/>
      <c s="26" r="O185"/>
      <c s="19" r="P185"/>
    </row>
    <row r="186">
      <c s="26" r="D186"/>
      <c s="26" r="E186"/>
      <c s="26" r="F186"/>
      <c s="26" r="G186"/>
      <c s="26" r="H186"/>
      <c s="26" r="N186"/>
      <c s="26" r="O186"/>
      <c s="19" r="P186"/>
    </row>
    <row r="187">
      <c s="26" r="F187"/>
      <c s="19" r="P187"/>
    </row>
    <row r="188">
      <c s="26" r="F188"/>
      <c s="19" r="P188"/>
    </row>
    <row r="189">
      <c s="26" r="F189"/>
      <c s="26" r="N189"/>
      <c s="19" r="P189"/>
    </row>
    <row r="190">
      <c s="26" r="F190"/>
      <c s="26" r="N190"/>
      <c s="19" r="P190"/>
    </row>
    <row r="191">
      <c s="26" r="F191"/>
      <c s="26" r="N191"/>
      <c s="19" r="P191"/>
    </row>
    <row r="192">
      <c s="26" r="F192"/>
      <c s="26" r="N192"/>
      <c s="19" r="P192"/>
    </row>
    <row r="193">
      <c s="26" r="F193"/>
      <c s="26" r="N193"/>
      <c s="19" r="P193"/>
    </row>
    <row r="194">
      <c s="26" r="F194"/>
      <c s="26" r="N194"/>
      <c s="19" r="P194"/>
    </row>
    <row r="195">
      <c s="26" r="F195"/>
      <c s="26" r="N195"/>
      <c s="19" r="P195"/>
    </row>
    <row r="196">
      <c s="26" r="F196"/>
      <c s="19" r="P196"/>
    </row>
    <row r="197">
      <c s="26" r="F197"/>
      <c s="19" r="P197"/>
    </row>
    <row r="198">
      <c s="26" r="F198"/>
      <c s="19" r="P198"/>
    </row>
    <row r="199">
      <c s="26" r="F199"/>
      <c s="19" r="P199"/>
    </row>
    <row r="200">
      <c s="26" r="F200"/>
      <c s="19" r="P200"/>
    </row>
    <row r="201">
      <c s="26" r="D201"/>
      <c s="26" r="E201"/>
      <c s="26" r="F201"/>
      <c s="26" r="G201"/>
      <c s="26" r="H201"/>
      <c s="26" r="N201"/>
      <c s="26" r="O201"/>
      <c s="19" r="P201"/>
    </row>
    <row r="202">
      <c s="26" r="D202"/>
      <c s="26" r="E202"/>
      <c s="26" r="F202"/>
      <c s="26" r="G202"/>
      <c s="26" r="H202"/>
      <c s="26" r="N202"/>
      <c s="26" r="O202"/>
      <c s="19" r="P202"/>
    </row>
    <row r="203">
      <c s="26" r="D203"/>
      <c s="26" r="E203"/>
      <c s="26" r="F203"/>
      <c s="26" r="G203"/>
      <c s="26" r="H203"/>
      <c s="26" r="N203"/>
      <c s="26" r="O203"/>
      <c s="19" r="P203"/>
    </row>
    <row r="204">
      <c s="26" r="D204"/>
      <c s="26" r="E204"/>
      <c s="26" r="F204"/>
      <c s="26" r="G204"/>
      <c s="26" r="H204"/>
      <c s="26" r="N204"/>
      <c s="26" r="O204"/>
      <c s="19" r="P204"/>
    </row>
    <row r="205">
      <c s="26" r="D205"/>
      <c s="26" r="E205"/>
      <c s="26" r="F205"/>
      <c s="26" r="G205"/>
      <c s="26" r="H205"/>
      <c s="26" r="N205"/>
      <c s="26" r="O205"/>
      <c s="19" r="P205"/>
    </row>
    <row r="206">
      <c s="26" r="F206"/>
      <c s="19" r="P206"/>
    </row>
    <row r="207">
      <c s="26" r="F207"/>
      <c s="19" r="P207"/>
    </row>
    <row r="208">
      <c s="26" r="F208"/>
      <c s="19" r="P208"/>
    </row>
    <row r="209">
      <c s="26" r="F209"/>
      <c s="19" r="P209"/>
    </row>
    <row r="210">
      <c s="26" r="F210"/>
      <c s="19" r="P210"/>
    </row>
    <row r="211">
      <c s="26" r="F211"/>
      <c s="19" r="P211"/>
    </row>
    <row r="212">
      <c s="26" r="F212"/>
      <c s="19" r="P212"/>
    </row>
    <row r="213">
      <c s="26" r="F213"/>
      <c s="19" r="P213"/>
    </row>
    <row r="214">
      <c s="26" r="F214"/>
      <c s="19" r="P214"/>
    </row>
    <row r="215">
      <c s="26" r="F215"/>
      <c s="19" r="P215"/>
    </row>
    <row r="216">
      <c s="26" r="F216"/>
      <c s="19" r="P216"/>
    </row>
    <row r="217">
      <c s="26" r="D217"/>
      <c s="26" r="E217"/>
      <c s="26" r="F217"/>
      <c s="26" r="G217"/>
      <c s="26" r="H217"/>
      <c s="26" r="N217"/>
      <c s="26" r="O217"/>
      <c s="19" r="P217"/>
    </row>
    <row r="218">
      <c s="26" r="D218"/>
      <c s="26" r="E218"/>
      <c s="26" r="F218"/>
      <c s="26" r="G218"/>
      <c s="26" r="H218"/>
      <c s="26" r="N218"/>
      <c s="26" r="O218"/>
      <c s="19" r="P218"/>
    </row>
    <row r="219">
      <c s="26" r="D219"/>
      <c s="26" r="E219"/>
      <c s="26" r="F219"/>
      <c s="26" r="G219"/>
      <c s="26" r="H219"/>
      <c s="26" r="N219"/>
      <c s="26" r="O219"/>
      <c s="19" r="P219"/>
    </row>
    <row r="220">
      <c s="26" r="D220"/>
      <c s="26" r="E220"/>
      <c s="26" r="F220"/>
      <c s="26" r="G220"/>
      <c s="26" r="H220"/>
      <c s="26" r="N220"/>
      <c s="26" r="O220"/>
      <c s="19" r="P220"/>
    </row>
    <row r="221">
      <c s="26" r="D221"/>
      <c s="26" r="E221"/>
      <c s="26" r="F221"/>
      <c s="26" r="G221"/>
      <c s="26" r="H221"/>
      <c s="26" r="N221"/>
      <c s="26" r="O221"/>
      <c s="19" r="P221"/>
    </row>
    <row r="222">
      <c s="26" r="D222"/>
      <c s="26" r="E222"/>
      <c s="26" r="F222"/>
      <c s="26" r="G222"/>
      <c s="26" r="H222"/>
      <c s="26" r="N222"/>
      <c s="26" r="O222"/>
      <c s="19" r="P222"/>
    </row>
    <row r="223">
      <c s="26" r="D223"/>
      <c s="26" r="E223"/>
      <c s="26" r="F223"/>
      <c s="26" r="G223"/>
      <c s="26" r="H223"/>
      <c s="26" r="N223"/>
      <c s="26" r="O223"/>
      <c s="19" r="P223"/>
    </row>
    <row r="224">
      <c s="26" r="D224"/>
      <c s="26" r="E224"/>
      <c s="26" r="F224"/>
      <c s="26" r="G224"/>
      <c s="26" r="H224"/>
      <c s="26" r="N224"/>
      <c s="26" r="O224"/>
      <c s="19" r="P224"/>
    </row>
    <row r="225">
      <c s="26" r="D225"/>
      <c s="26" r="E225"/>
      <c s="26" r="F225"/>
      <c s="26" r="G225"/>
      <c s="26" r="H225"/>
      <c s="26" r="N225"/>
      <c s="26" r="O225"/>
      <c s="19" r="P225"/>
    </row>
    <row r="226">
      <c s="26" r="D226"/>
      <c s="26" r="E226"/>
      <c s="26" r="F226"/>
      <c s="26" r="G226"/>
      <c s="26" r="H226"/>
      <c s="26" r="N226"/>
      <c s="26" r="O226"/>
      <c s="19" r="P226"/>
    </row>
    <row r="227">
      <c s="26" r="D227"/>
      <c s="26" r="E227"/>
      <c s="26" r="F227"/>
      <c s="26" r="G227"/>
      <c s="26" r="H227"/>
      <c s="26" r="N227"/>
      <c s="26" r="O227"/>
      <c s="19" r="P227"/>
    </row>
    <row r="228">
      <c s="26" r="D228"/>
      <c s="26" r="E228"/>
      <c s="26" r="F228"/>
      <c s="26" r="G228"/>
      <c s="26" r="H228"/>
      <c s="26" r="N228"/>
      <c s="26" r="O228"/>
      <c s="19" r="P228"/>
    </row>
    <row r="229">
      <c s="26" r="D229"/>
      <c s="26" r="E229"/>
      <c s="26" r="F229"/>
      <c s="26" r="G229"/>
      <c s="26" r="H229"/>
      <c s="26" r="N229"/>
      <c s="26" r="O229"/>
      <c s="19" r="P229"/>
    </row>
    <row r="230">
      <c s="26" r="D230"/>
      <c s="26" r="E230"/>
      <c s="26" r="F230"/>
      <c s="26" r="G230"/>
      <c s="26" r="H230"/>
      <c s="26" r="N230"/>
      <c s="26" r="O230"/>
      <c s="19" r="P230"/>
    </row>
    <row r="231">
      <c s="26" r="D231"/>
      <c s="26" r="E231"/>
      <c s="26" r="F231"/>
      <c s="26" r="G231"/>
      <c s="26" r="H231"/>
      <c s="26" r="N231"/>
      <c s="26" r="O231"/>
      <c s="19" r="P231"/>
    </row>
    <row r="232">
      <c s="26" r="D232"/>
      <c s="26" r="E232"/>
      <c s="26" r="F232"/>
      <c s="26" r="G232"/>
      <c s="26" r="H232"/>
      <c s="26" r="N232"/>
      <c s="26" r="O232"/>
      <c s="19" r="P232"/>
    </row>
    <row r="233">
      <c s="26" r="D233"/>
      <c s="26" r="E233"/>
      <c s="26" r="F233"/>
      <c s="26" r="G233"/>
      <c s="26" r="H233"/>
      <c s="26" r="N233"/>
      <c s="26" r="O233"/>
      <c s="19" r="P233"/>
    </row>
    <row r="234">
      <c s="26" r="D234"/>
      <c s="26" r="E234"/>
      <c s="26" r="F234"/>
      <c s="26" r="G234"/>
      <c s="26" r="H234"/>
      <c s="26" r="N234"/>
      <c s="26" r="O234"/>
      <c s="19" r="P234"/>
    </row>
    <row r="235">
      <c s="26" r="D235"/>
      <c s="26" r="E235"/>
      <c s="26" r="F235"/>
      <c s="26" r="G235"/>
      <c s="26" r="H235"/>
      <c s="26" r="N235"/>
      <c s="26" r="O235"/>
      <c s="19" r="P235"/>
    </row>
    <row r="236">
      <c s="26" r="D236"/>
      <c s="26" r="E236"/>
      <c s="26" r="F236"/>
      <c s="26" r="G236"/>
      <c s="26" r="H236"/>
      <c s="26" r="N236"/>
      <c s="26" r="O236"/>
      <c s="19" r="P236"/>
    </row>
    <row r="237">
      <c s="26" r="D237"/>
      <c s="26" r="E237"/>
      <c s="26" r="F237"/>
      <c s="26" r="G237"/>
      <c s="26" r="H237"/>
      <c s="26" r="N237"/>
      <c s="26" r="O237"/>
      <c s="19" r="P237"/>
    </row>
    <row r="238">
      <c s="26" r="D238"/>
      <c s="26" r="E238"/>
      <c s="26" r="F238"/>
      <c s="26" r="G238"/>
      <c s="26" r="H238"/>
      <c s="26" r="N238"/>
      <c s="26" r="O238"/>
      <c s="19" r="P238"/>
    </row>
    <row r="239">
      <c s="26" r="D239"/>
      <c s="26" r="E239"/>
      <c s="26" r="F239"/>
      <c s="26" r="G239"/>
      <c s="26" r="H239"/>
      <c s="26" r="N239"/>
      <c s="26" r="O239"/>
      <c s="19" r="P239"/>
    </row>
    <row r="240">
      <c s="26" r="D240"/>
      <c s="26" r="E240"/>
      <c s="26" r="F240"/>
      <c s="26" r="G240"/>
      <c s="26" r="H240"/>
      <c s="26" r="N240"/>
      <c s="26" r="O240"/>
      <c s="19" r="P240"/>
    </row>
    <row r="241">
      <c s="26" r="D241"/>
      <c s="26" r="E241"/>
      <c s="26" r="F241"/>
      <c s="26" r="G241"/>
      <c s="26" r="H241"/>
      <c s="26" r="N241"/>
      <c s="26" r="O241"/>
      <c s="19" r="P241"/>
    </row>
    <row r="242">
      <c s="26" r="D242"/>
      <c s="26" r="E242"/>
      <c s="26" r="F242"/>
      <c s="26" r="G242"/>
      <c s="26" r="H242"/>
      <c s="26" r="N242"/>
      <c s="26" r="O242"/>
      <c s="19" r="P242"/>
    </row>
    <row r="243">
      <c s="26" r="D243"/>
      <c s="26" r="E243"/>
      <c s="26" r="F243"/>
      <c s="26" r="G243"/>
      <c s="26" r="H243"/>
      <c s="26" r="N243"/>
      <c s="26" r="O243"/>
      <c s="19" r="P243"/>
    </row>
    <row r="244">
      <c s="26" r="D244"/>
      <c s="26" r="E244"/>
      <c s="26" r="F244"/>
      <c s="26" r="G244"/>
      <c s="26" r="H244"/>
      <c s="26" r="N244"/>
      <c s="26" r="O244"/>
      <c s="19" r="P244"/>
    </row>
    <row r="245">
      <c s="26" r="D245"/>
      <c s="26" r="E245"/>
      <c s="26" r="F245"/>
      <c s="26" r="G245"/>
      <c s="26" r="H245"/>
      <c s="26" r="N245"/>
      <c s="26" r="O245"/>
      <c s="19" r="P245"/>
    </row>
    <row r="246">
      <c s="26" r="D246"/>
      <c s="26" r="E246"/>
      <c s="26" r="F246"/>
      <c s="26" r="G246"/>
      <c s="26" r="H246"/>
      <c s="26" r="N246"/>
      <c s="26" r="O246"/>
      <c s="19" r="P246"/>
    </row>
    <row r="247">
      <c s="26" r="D247"/>
      <c s="26" r="E247"/>
      <c s="26" r="F247"/>
      <c s="26" r="G247"/>
      <c s="26" r="H247"/>
      <c s="26" r="N247"/>
      <c s="26" r="O247"/>
      <c s="19" r="P247"/>
    </row>
    <row r="248">
      <c s="26" r="D248"/>
      <c s="26" r="E248"/>
      <c s="26" r="F248"/>
      <c s="26" r="G248"/>
      <c s="26" r="H248"/>
      <c s="26" r="N248"/>
      <c s="26" r="O248"/>
      <c s="19" r="P248"/>
    </row>
    <row r="249">
      <c s="26" r="D249"/>
      <c s="26" r="E249"/>
      <c s="26" r="F249"/>
      <c s="26" r="G249"/>
      <c s="26" r="H249"/>
      <c s="26" r="N249"/>
      <c s="26" r="O249"/>
      <c s="19" r="P249"/>
    </row>
    <row r="250">
      <c s="26" r="D250"/>
      <c s="26" r="E250"/>
      <c s="26" r="F250"/>
      <c s="26" r="G250"/>
      <c s="26" r="H250"/>
      <c s="26" r="N250"/>
      <c s="26" r="O250"/>
      <c s="19" r="P250"/>
    </row>
    <row r="251">
      <c s="26" r="D251"/>
      <c s="26" r="E251"/>
      <c s="26" r="F251"/>
      <c s="26" r="G251"/>
      <c s="26" r="H251"/>
      <c s="26" r="N251"/>
      <c s="26" r="O251"/>
      <c s="19" r="P251"/>
    </row>
    <row r="252">
      <c s="26" r="D252"/>
      <c s="26" r="E252"/>
      <c s="26" r="F252"/>
      <c s="26" r="G252"/>
      <c s="26" r="H252"/>
      <c s="26" r="N252"/>
      <c s="26" r="O252"/>
      <c s="19" r="P252"/>
    </row>
    <row r="253">
      <c s="26" r="D253"/>
      <c s="26" r="E253"/>
      <c s="26" r="F253"/>
      <c s="26" r="G253"/>
      <c s="26" r="H253"/>
      <c s="26" r="N253"/>
      <c s="26" r="O253"/>
      <c s="19" r="P253"/>
    </row>
    <row r="254">
      <c s="26" r="D254"/>
      <c s="26" r="E254"/>
      <c s="26" r="F254"/>
      <c s="26" r="G254"/>
      <c s="26" r="H254"/>
      <c s="26" r="N254"/>
      <c s="26" r="O254"/>
      <c s="19" r="P254"/>
    </row>
    <row r="255">
      <c s="26" r="D255"/>
      <c s="26" r="E255"/>
      <c s="26" r="F255"/>
      <c s="26" r="G255"/>
      <c s="26" r="H255"/>
      <c s="26" r="N255"/>
      <c s="26" r="O255"/>
      <c s="19" r="P255"/>
    </row>
    <row r="256">
      <c s="26" r="D256"/>
      <c s="26" r="E256"/>
      <c s="26" r="F256"/>
      <c s="26" r="G256"/>
      <c s="26" r="H256"/>
      <c s="26" r="N256"/>
      <c s="26" r="O256"/>
      <c s="19" r="P256"/>
    </row>
    <row r="257">
      <c s="26" r="D257"/>
      <c s="26" r="E257"/>
      <c s="26" r="F257"/>
      <c s="26" r="G257"/>
      <c s="26" r="H257"/>
      <c s="26" r="N257"/>
      <c s="26" r="O257"/>
      <c s="19" r="P257"/>
    </row>
    <row r="258">
      <c s="26" r="D258"/>
      <c s="26" r="E258"/>
      <c s="26" r="F258"/>
      <c s="26" r="G258"/>
      <c s="26" r="H258"/>
      <c s="26" r="N258"/>
      <c s="26" r="O258"/>
      <c s="19" r="P258"/>
    </row>
    <row r="259">
      <c s="26" r="D259"/>
      <c s="26" r="E259"/>
      <c s="26" r="F259"/>
      <c s="26" r="G259"/>
      <c s="26" r="H259"/>
      <c s="26" r="N259"/>
      <c s="26" r="O259"/>
      <c s="19" r="P259"/>
    </row>
    <row r="260">
      <c s="26" r="D260"/>
      <c s="26" r="E260"/>
      <c s="26" r="F260"/>
      <c s="26" r="G260"/>
      <c s="26" r="H260"/>
      <c s="26" r="N260"/>
      <c s="26" r="O260"/>
      <c s="19" r="P260"/>
    </row>
    <row r="261">
      <c s="26" r="D261"/>
      <c s="26" r="E261"/>
      <c s="26" r="F261"/>
      <c s="26" r="G261"/>
      <c s="26" r="H261"/>
      <c s="26" r="N261"/>
      <c s="26" r="O261"/>
      <c s="19" r="P261"/>
    </row>
    <row r="262">
      <c s="26" r="D262"/>
      <c s="26" r="E262"/>
      <c s="26" r="F262"/>
      <c s="26" r="G262"/>
      <c s="26" r="H262"/>
      <c s="26" r="N262"/>
      <c s="26" r="O262"/>
      <c s="19" r="P262"/>
    </row>
    <row r="263">
      <c s="26" r="D263"/>
      <c s="26" r="E263"/>
      <c s="26" r="F263"/>
      <c s="26" r="G263"/>
      <c s="26" r="H263"/>
      <c s="26" r="N263"/>
      <c s="26" r="O263"/>
      <c s="19" r="P263"/>
    </row>
    <row r="264">
      <c s="26" r="D264"/>
      <c s="26" r="E264"/>
      <c s="26" r="F264"/>
      <c s="26" r="G264"/>
      <c s="26" r="H264"/>
      <c s="26" r="N264"/>
      <c s="26" r="O264"/>
      <c s="19" r="P264"/>
    </row>
    <row r="265">
      <c s="26" r="D265"/>
      <c s="26" r="E265"/>
      <c s="26" r="F265"/>
      <c s="26" r="G265"/>
      <c s="26" r="H265"/>
      <c s="26" r="N265"/>
      <c s="26" r="O265"/>
      <c s="19" r="P265"/>
    </row>
    <row r="266">
      <c s="26" r="D266"/>
      <c s="26" r="E266"/>
      <c s="26" r="F266"/>
      <c s="26" r="G266"/>
      <c s="26" r="H266"/>
      <c s="26" r="N266"/>
      <c s="26" r="O266"/>
      <c s="19" r="P266"/>
    </row>
    <row r="267">
      <c s="26" r="D267"/>
      <c s="26" r="E267"/>
      <c s="26" r="F267"/>
      <c s="26" r="G267"/>
      <c s="26" r="H267"/>
      <c s="26" r="N267"/>
      <c s="26" r="O267"/>
      <c s="19" r="P267"/>
    </row>
    <row r="268">
      <c s="26" r="D268"/>
      <c s="26" r="E268"/>
      <c s="26" r="F268"/>
      <c s="26" r="G268"/>
      <c s="26" r="H268"/>
      <c s="26" r="N268"/>
      <c s="26" r="O268"/>
      <c s="19" r="P268"/>
    </row>
    <row r="269">
      <c s="26" r="D269"/>
      <c s="26" r="E269"/>
      <c s="26" r="F269"/>
      <c s="26" r="G269"/>
      <c s="26" r="H269"/>
      <c s="26" r="N269"/>
      <c s="26" r="O269"/>
      <c s="19" r="P269"/>
    </row>
    <row r="270">
      <c s="26" r="D270"/>
      <c s="26" r="E270"/>
      <c s="26" r="F270"/>
      <c s="26" r="G270"/>
      <c s="26" r="H270"/>
      <c s="26" r="N270"/>
      <c s="26" r="O270"/>
      <c s="19" r="P270"/>
    </row>
    <row r="271">
      <c s="26" r="D271"/>
      <c s="26" r="E271"/>
      <c s="26" r="F271"/>
      <c s="26" r="G271"/>
      <c s="26" r="H271"/>
      <c s="26" r="N271"/>
      <c s="26" r="O271"/>
      <c s="19" r="P271"/>
    </row>
    <row r="272">
      <c s="26" r="F272"/>
      <c s="19" r="P272"/>
    </row>
    <row r="273">
      <c s="26" r="D273"/>
      <c s="26" r="E273"/>
      <c s="26" r="F273"/>
      <c s="26" r="G273"/>
      <c s="26" r="H273"/>
      <c s="26" r="N273"/>
      <c s="26" r="O273"/>
      <c s="19" r="P273"/>
    </row>
    <row r="274">
      <c s="26" r="D274"/>
      <c s="26" r="E274"/>
      <c s="26" r="F274"/>
      <c s="26" r="G274"/>
      <c s="26" r="H274"/>
      <c s="26" r="N274"/>
      <c s="26" r="O274"/>
      <c s="19" r="P274"/>
    </row>
    <row r="275">
      <c s="26" r="D275"/>
      <c s="26" r="E275"/>
      <c s="26" r="F275"/>
      <c s="26" r="G275"/>
      <c s="26" r="H275"/>
      <c s="26" r="N275"/>
      <c s="26" r="O275"/>
      <c s="19" r="P275"/>
    </row>
    <row r="276">
      <c s="26" r="D276"/>
      <c s="26" r="E276"/>
      <c s="26" r="F276"/>
      <c s="26" r="G276"/>
      <c s="26" r="H276"/>
      <c s="26" r="N276"/>
      <c s="26" r="O276"/>
      <c s="19" r="P276"/>
    </row>
    <row r="277">
      <c s="26" r="D277"/>
      <c s="26" r="E277"/>
      <c s="26" r="F277"/>
      <c s="26" r="G277"/>
      <c s="26" r="H277"/>
      <c s="26" r="N277"/>
      <c s="26" r="O277"/>
      <c s="19" r="P277"/>
    </row>
    <row r="278">
      <c s="26" r="D278"/>
      <c s="26" r="E278"/>
      <c s="26" r="F278"/>
      <c s="26" r="G278"/>
      <c s="26" r="H278"/>
      <c s="26" r="N278"/>
      <c s="26" r="O278"/>
      <c s="19" r="P278"/>
    </row>
    <row r="279">
      <c s="26" r="D279"/>
      <c s="26" r="E279"/>
      <c s="26" r="F279"/>
      <c s="26" r="G279"/>
      <c s="26" r="H279"/>
      <c s="26" r="N279"/>
      <c s="26" r="O279"/>
      <c s="19" r="P279"/>
    </row>
    <row r="280">
      <c s="26" r="D280"/>
      <c s="26" r="E280"/>
      <c s="26" r="F280"/>
      <c s="26" r="G280"/>
      <c s="26" r="H280"/>
      <c s="26" r="N280"/>
      <c s="26" r="O280"/>
      <c s="19" r="P280"/>
    </row>
    <row r="281">
      <c s="26" r="D281"/>
      <c s="26" r="E281"/>
      <c s="26" r="F281"/>
      <c s="26" r="G281"/>
      <c s="26" r="H281"/>
      <c s="26" r="N281"/>
      <c s="26" r="O281"/>
      <c s="19" r="P281"/>
    </row>
    <row r="282">
      <c s="26" r="D282"/>
      <c s="26" r="E282"/>
      <c s="26" r="F282"/>
      <c s="26" r="G282"/>
      <c s="26" r="H282"/>
      <c s="26" r="N282"/>
      <c s="26" r="O282"/>
      <c s="19" r="P282"/>
    </row>
    <row r="283">
      <c s="26" r="D283"/>
      <c s="26" r="E283"/>
      <c s="26" r="F283"/>
      <c s="26" r="G283"/>
      <c s="26" r="H283"/>
      <c s="26" r="N283"/>
      <c s="26" r="O283"/>
      <c s="19" r="P283"/>
    </row>
    <row r="284">
      <c s="26" r="D284"/>
      <c s="26" r="E284"/>
      <c s="26" r="F284"/>
      <c s="26" r="G284"/>
      <c s="26" r="H284"/>
      <c s="26" r="N284"/>
      <c s="26" r="O284"/>
      <c s="19" r="P284"/>
    </row>
    <row r="285">
      <c s="26" r="D285"/>
      <c s="26" r="E285"/>
      <c s="26" r="F285"/>
      <c s="26" r="G285"/>
      <c s="26" r="H285"/>
      <c s="26" r="N285"/>
      <c s="26" r="O285"/>
      <c s="19" r="P285"/>
    </row>
    <row r="286">
      <c s="26" r="D286"/>
      <c s="26" r="E286"/>
      <c s="26" r="F286"/>
      <c s="26" r="G286"/>
      <c s="26" r="H286"/>
      <c s="26" r="N286"/>
      <c s="26" r="O286"/>
      <c s="19" r="P286"/>
    </row>
    <row r="287">
      <c s="26" r="D287"/>
      <c s="26" r="E287"/>
      <c s="26" r="F287"/>
      <c s="26" r="G287"/>
      <c s="26" r="H287"/>
      <c s="26" r="N287"/>
      <c s="26" r="O287"/>
      <c s="19" r="P287"/>
    </row>
    <row r="288">
      <c s="26" r="D288"/>
      <c s="26" r="E288"/>
      <c s="26" r="F288"/>
      <c s="26" r="G288"/>
      <c s="26" r="H288"/>
      <c s="26" r="N288"/>
      <c s="26" r="O288"/>
      <c s="19" r="P288"/>
    </row>
    <row r="289">
      <c s="26" r="D289"/>
      <c s="26" r="E289"/>
      <c s="26" r="F289"/>
      <c s="26" r="G289"/>
      <c s="26" r="H289"/>
      <c s="26" r="N289"/>
      <c s="26" r="O289"/>
      <c s="19" r="P289"/>
    </row>
    <row r="290">
      <c s="26" r="D290"/>
      <c s="26" r="E290"/>
      <c s="26" r="F290"/>
      <c s="26" r="G290"/>
      <c s="26" r="H290"/>
      <c s="26" r="N290"/>
      <c s="26" r="O290"/>
      <c s="19" r="P290"/>
    </row>
    <row r="291">
      <c s="26" r="D291"/>
      <c s="26" r="E291"/>
      <c s="26" r="F291"/>
      <c s="26" r="G291"/>
      <c s="26" r="H291"/>
      <c s="26" r="N291"/>
      <c s="26" r="O291"/>
      <c s="19" r="P291"/>
    </row>
    <row r="292">
      <c s="26" r="D292"/>
      <c s="26" r="E292"/>
      <c s="26" r="F292"/>
      <c s="26" r="G292"/>
      <c s="26" r="H292"/>
      <c s="26" r="N292"/>
      <c s="26" r="O292"/>
      <c s="19" r="P292"/>
    </row>
    <row r="293">
      <c s="26" r="D293"/>
      <c s="26" r="E293"/>
      <c s="26" r="F293"/>
      <c s="26" r="G293"/>
      <c s="26" r="H293"/>
      <c s="26" r="N293"/>
      <c s="26" r="O293"/>
      <c s="19" r="P293"/>
    </row>
    <row r="294">
      <c s="26" r="D294"/>
      <c s="26" r="E294"/>
      <c s="26" r="F294"/>
      <c s="26" r="G294"/>
      <c s="26" r="H294"/>
      <c s="26" r="N294"/>
      <c s="26" r="O294"/>
      <c s="19" r="P294"/>
    </row>
    <row r="295">
      <c s="26" r="D295"/>
      <c s="26" r="E295"/>
      <c s="26" r="F295"/>
      <c s="26" r="G295"/>
      <c s="26" r="H295"/>
      <c s="26" r="N295"/>
      <c s="26" r="O295"/>
      <c s="19" r="P295"/>
    </row>
    <row r="296">
      <c s="26" r="D296"/>
      <c s="26" r="E296"/>
      <c s="26" r="F296"/>
      <c s="26" r="G296"/>
      <c s="26" r="H296"/>
      <c s="26" r="N296"/>
      <c s="26" r="O296"/>
      <c s="19" r="P296"/>
    </row>
    <row r="297">
      <c s="26" r="D297"/>
      <c s="26" r="E297"/>
      <c s="26" r="F297"/>
      <c s="26" r="G297"/>
      <c s="26" r="H297"/>
      <c s="26" r="N297"/>
      <c s="26" r="O297"/>
      <c s="19" r="P297"/>
    </row>
    <row r="298">
      <c s="26" r="D298"/>
      <c s="26" r="E298"/>
      <c s="26" r="F298"/>
      <c s="26" r="G298"/>
      <c s="26" r="H298"/>
      <c s="26" r="N298"/>
      <c s="26" r="O298"/>
      <c s="19" r="P298"/>
    </row>
    <row r="299">
      <c s="26" r="D299"/>
      <c s="26" r="E299"/>
      <c s="26" r="F299"/>
      <c s="26" r="G299"/>
      <c s="26" r="H299"/>
      <c s="26" r="N299"/>
      <c s="26" r="O299"/>
      <c s="19" r="P299"/>
    </row>
    <row r="300">
      <c s="26" r="D300"/>
      <c s="26" r="E300"/>
      <c s="26" r="F300"/>
      <c s="26" r="G300"/>
      <c s="26" r="H300"/>
      <c s="26" r="N300"/>
      <c s="26" r="O300"/>
      <c s="19" r="P300"/>
    </row>
    <row r="301">
      <c s="26" r="D301"/>
      <c s="26" r="E301"/>
      <c s="26" r="F301"/>
      <c s="26" r="G301"/>
      <c s="26" r="H301"/>
      <c s="26" r="N301"/>
      <c s="26" r="O301"/>
      <c s="19" r="P301"/>
    </row>
    <row r="302">
      <c s="26" r="D302"/>
      <c s="26" r="E302"/>
      <c s="26" r="F302"/>
      <c s="26" r="G302"/>
      <c s="26" r="H302"/>
      <c s="26" r="N302"/>
      <c s="26" r="O302"/>
      <c s="19" r="P302"/>
    </row>
    <row r="303">
      <c s="26" r="D303"/>
      <c s="26" r="E303"/>
      <c s="26" r="F303"/>
      <c s="26" r="G303"/>
      <c s="26" r="H303"/>
      <c s="26" r="N303"/>
      <c s="26" r="O303"/>
      <c s="19" r="P303"/>
    </row>
    <row r="304">
      <c s="26" r="D304"/>
      <c s="26" r="E304"/>
      <c s="26" r="F304"/>
      <c s="26" r="G304"/>
      <c s="26" r="H304"/>
      <c s="26" r="N304"/>
      <c s="26" r="O304"/>
      <c s="19" r="P304"/>
    </row>
    <row r="305">
      <c s="26" r="D305"/>
      <c s="26" r="E305"/>
      <c s="26" r="F305"/>
      <c s="26" r="G305"/>
      <c s="26" r="H305"/>
      <c s="26" r="N305"/>
      <c s="26" r="O305"/>
      <c s="19" r="P305"/>
    </row>
    <row r="306">
      <c s="26" r="D306"/>
      <c s="26" r="E306"/>
      <c s="26" r="F306"/>
      <c s="26" r="G306"/>
      <c s="26" r="H306"/>
      <c s="26" r="N306"/>
      <c s="26" r="O306"/>
      <c s="19" r="P306"/>
    </row>
    <row r="307">
      <c s="26" r="D307"/>
      <c s="26" r="E307"/>
      <c s="26" r="F307"/>
      <c s="26" r="G307"/>
      <c s="26" r="H307"/>
      <c s="26" r="N307"/>
      <c s="26" r="O307"/>
      <c s="19" r="P307"/>
    </row>
    <row r="308">
      <c s="26" r="D308"/>
      <c s="26" r="E308"/>
      <c s="26" r="F308"/>
      <c s="26" r="G308"/>
      <c s="26" r="H308"/>
      <c s="26" r="N308"/>
      <c s="26" r="O308"/>
      <c s="19" r="P308"/>
    </row>
    <row r="309">
      <c s="26" r="D309"/>
      <c s="26" r="E309"/>
      <c s="26" r="F309"/>
      <c s="26" r="G309"/>
      <c s="26" r="H309"/>
      <c s="26" r="N309"/>
      <c s="26" r="O309"/>
      <c s="19" r="P309"/>
    </row>
    <row r="310">
      <c s="26" r="D310"/>
      <c s="26" r="E310"/>
      <c s="26" r="F310"/>
      <c s="26" r="G310"/>
      <c s="26" r="H310"/>
      <c s="26" r="N310"/>
      <c s="26" r="O310"/>
      <c s="19" r="P310"/>
    </row>
    <row r="311">
      <c s="26" r="D311"/>
      <c s="26" r="E311"/>
      <c s="26" r="F311"/>
      <c s="26" r="G311"/>
      <c s="26" r="H311"/>
      <c s="26" r="N311"/>
      <c s="26" r="O311"/>
      <c s="19" r="P311"/>
    </row>
    <row r="312">
      <c s="26" r="D312"/>
      <c s="26" r="E312"/>
      <c s="26" r="F312"/>
      <c s="26" r="G312"/>
      <c s="26" r="H312"/>
      <c s="26" r="N312"/>
      <c s="26" r="O312"/>
      <c s="19" r="P312"/>
    </row>
    <row r="313">
      <c s="26" r="D313"/>
      <c s="26" r="E313"/>
      <c s="26" r="F313"/>
      <c s="26" r="G313"/>
      <c s="26" r="H313"/>
      <c s="26" r="N313"/>
      <c s="26" r="O313"/>
      <c s="19" r="P313"/>
    </row>
    <row r="314">
      <c s="26" r="D314"/>
      <c s="26" r="E314"/>
      <c s="26" r="F314"/>
      <c s="26" r="G314"/>
      <c s="26" r="H314"/>
      <c s="26" r="N314"/>
      <c s="26" r="O314"/>
      <c s="19" r="P314"/>
    </row>
    <row r="315">
      <c s="26" r="D315"/>
      <c s="26" r="E315"/>
      <c s="26" r="F315"/>
      <c s="26" r="G315"/>
      <c s="26" r="H315"/>
      <c s="26" r="N315"/>
      <c s="26" r="O315"/>
      <c s="19" r="P315"/>
    </row>
    <row r="316">
      <c s="26" r="D316"/>
      <c s="26" r="E316"/>
      <c s="26" r="F316"/>
      <c s="26" r="G316"/>
      <c s="26" r="H316"/>
      <c s="26" r="N316"/>
      <c s="26" r="O316"/>
      <c s="19" r="P316"/>
    </row>
    <row r="317">
      <c s="26" r="D317"/>
      <c s="26" r="E317"/>
      <c s="26" r="F317"/>
      <c s="26" r="G317"/>
      <c s="26" r="H317"/>
      <c s="26" r="N317"/>
      <c s="26" r="O317"/>
      <c s="19" r="P317"/>
    </row>
    <row r="318">
      <c s="26" r="D318"/>
      <c s="26" r="E318"/>
      <c s="26" r="F318"/>
      <c s="26" r="G318"/>
      <c s="26" r="H318"/>
      <c s="26" r="N318"/>
      <c s="26" r="O318"/>
      <c s="19" r="P318"/>
    </row>
    <row r="319">
      <c s="26" r="D319"/>
      <c s="26" r="E319"/>
      <c s="26" r="F319"/>
      <c s="26" r="G319"/>
      <c s="26" r="H319"/>
      <c s="26" r="N319"/>
      <c s="26" r="O319"/>
      <c s="19" r="P319"/>
    </row>
    <row r="320">
      <c s="26" r="D320"/>
      <c s="26" r="E320"/>
      <c s="26" r="F320"/>
      <c s="26" r="G320"/>
      <c s="26" r="H320"/>
      <c s="26" r="N320"/>
      <c s="26" r="O320"/>
      <c s="19" r="P320"/>
    </row>
    <row r="321">
      <c s="26" r="D321"/>
      <c s="26" r="E321"/>
      <c s="26" r="F321"/>
      <c s="26" r="G321"/>
      <c s="26" r="H321"/>
      <c s="26" r="N321"/>
      <c s="26" r="O321"/>
      <c s="19" r="P321"/>
    </row>
    <row r="322">
      <c s="26" r="D322"/>
      <c s="26" r="E322"/>
      <c s="26" r="F322"/>
      <c s="26" r="G322"/>
      <c s="26" r="H322"/>
      <c s="26" r="N322"/>
      <c s="26" r="O322"/>
      <c s="19" r="P322"/>
    </row>
    <row r="323">
      <c s="26" r="D323"/>
      <c s="26" r="E323"/>
      <c s="26" r="F323"/>
      <c s="26" r="G323"/>
      <c s="26" r="H323"/>
      <c s="26" r="N323"/>
      <c s="26" r="O323"/>
      <c s="19" r="P323"/>
    </row>
    <row r="324">
      <c s="26" r="D324"/>
      <c s="26" r="E324"/>
      <c s="26" r="F324"/>
      <c s="26" r="G324"/>
      <c s="26" r="H324"/>
      <c s="26" r="N324"/>
      <c s="26" r="O324"/>
      <c s="19" r="P324"/>
    </row>
    <row r="325">
      <c s="26" r="D325"/>
      <c s="26" r="E325"/>
      <c s="26" r="F325"/>
      <c s="26" r="G325"/>
      <c s="26" r="H325"/>
      <c s="26" r="N325"/>
      <c s="26" r="O325"/>
      <c s="19" r="P325"/>
    </row>
    <row r="326">
      <c s="26" r="D326"/>
      <c s="26" r="E326"/>
      <c s="26" r="F326"/>
      <c s="26" r="G326"/>
      <c s="26" r="H326"/>
      <c s="26" r="N326"/>
      <c s="26" r="O326"/>
      <c s="19" r="P326"/>
    </row>
    <row r="327">
      <c s="26" r="D327"/>
      <c s="26" r="E327"/>
      <c s="26" r="F327"/>
      <c s="26" r="G327"/>
      <c s="26" r="H327"/>
      <c s="26" r="N327"/>
      <c s="26" r="O327"/>
      <c s="19" r="P327"/>
    </row>
    <row r="328">
      <c s="26" r="D328"/>
      <c s="26" r="E328"/>
      <c s="26" r="F328"/>
      <c s="26" r="G328"/>
      <c s="26" r="H328"/>
      <c s="26" r="N328"/>
      <c s="26" r="O328"/>
      <c s="19" r="P328"/>
    </row>
    <row r="329">
      <c s="26" r="D329"/>
      <c s="26" r="E329"/>
      <c s="26" r="F329"/>
      <c s="26" r="G329"/>
      <c s="26" r="H329"/>
      <c s="26" r="N329"/>
      <c s="26" r="O329"/>
      <c s="19" r="P329"/>
    </row>
    <row r="330">
      <c s="26" r="D330"/>
      <c s="26" r="E330"/>
      <c s="26" r="F330"/>
      <c s="26" r="G330"/>
      <c s="26" r="H330"/>
      <c s="26" r="N330"/>
      <c s="26" r="O330"/>
      <c s="19" r="P330"/>
    </row>
    <row r="331">
      <c s="26" r="D331"/>
      <c s="26" r="E331"/>
      <c s="26" r="F331"/>
      <c s="26" r="G331"/>
      <c s="26" r="H331"/>
      <c s="26" r="N331"/>
      <c s="26" r="O331"/>
      <c s="19" r="P331"/>
    </row>
    <row r="332">
      <c s="26" r="D332"/>
      <c s="26" r="E332"/>
      <c s="26" r="F332"/>
      <c s="26" r="G332"/>
      <c s="26" r="H332"/>
      <c s="26" r="N332"/>
      <c s="26" r="O332"/>
      <c s="19" r="P332"/>
    </row>
    <row r="333">
      <c s="26" r="D333"/>
      <c s="26" r="E333"/>
      <c s="26" r="F333"/>
      <c s="26" r="G333"/>
      <c s="26" r="H333"/>
      <c s="26" r="N333"/>
      <c s="26" r="O333"/>
      <c s="19" r="P333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1" r="A1">
        <v>2</v>
      </c>
      <c t="s" s="21" r="B1">
        <v>421</v>
      </c>
      <c t="s" s="21" r="C1">
        <v>422</v>
      </c>
      <c t="s" s="21" r="D1">
        <v>754</v>
      </c>
      <c t="s" s="21" r="E1">
        <v>755</v>
      </c>
      <c t="s" s="21" r="F1">
        <v>756</v>
      </c>
      <c t="s" s="21" r="G1">
        <v>757</v>
      </c>
      <c t="s" s="21" r="H1">
        <v>426</v>
      </c>
    </row>
    <row r="2">
      <c s="4" r="A2">
        <v>41641</v>
      </c>
      <c t="s" r="C2">
        <v>463</v>
      </c>
      <c r="D2">
        <v>20.25</v>
      </c>
      <c r="E2">
        <v>26</v>
      </c>
      <c r="F2">
        <f>E2-D2</f>
        <v>5.75</v>
      </c>
      <c s="19" r="G2">
        <f>1+(F2/D2)</f>
        <v>1.28395061728395</v>
      </c>
      <c r="H2">
        <v>0</v>
      </c>
    </row>
    <row r="3">
      <c s="4" r="A3">
        <v>41641</v>
      </c>
      <c t="s" r="C3">
        <v>456</v>
      </c>
      <c r="D3">
        <v>41.36</v>
      </c>
      <c r="E3">
        <v>44</v>
      </c>
      <c r="F3">
        <f>E3-D3</f>
        <v>2.64</v>
      </c>
      <c s="19" r="G3">
        <f>1+(F3/D3)</f>
        <v>1.06382978723404</v>
      </c>
      <c r="H3">
        <v>0</v>
      </c>
    </row>
    <row r="4">
      <c s="4" r="A4">
        <v>41641</v>
      </c>
      <c t="s" r="C4">
        <v>463</v>
      </c>
      <c r="D4">
        <v>20.25</v>
      </c>
      <c r="E4">
        <v>26</v>
      </c>
      <c r="F4">
        <f>E4-D4</f>
        <v>5.75</v>
      </c>
      <c s="19" r="G4">
        <f>1+(F4/D4)</f>
        <v>1.28395061728395</v>
      </c>
      <c r="H4">
        <v>0</v>
      </c>
    </row>
    <row r="5">
      <c s="4" r="A5">
        <v>41641</v>
      </c>
      <c t="s" r="C5">
        <v>762</v>
      </c>
      <c r="D5">
        <v>162.75</v>
      </c>
      <c r="E5">
        <v>167</v>
      </c>
      <c r="F5">
        <f>E5-D5</f>
        <v>4.25</v>
      </c>
      <c s="19" r="G5">
        <f>1+(F5/D5)</f>
        <v>1.02611367127496</v>
      </c>
      <c r="H5">
        <v>0</v>
      </c>
    </row>
    <row r="6">
      <c s="4" r="A6">
        <v>41641</v>
      </c>
      <c t="s" r="C6">
        <v>762</v>
      </c>
      <c r="D6">
        <v>43.5</v>
      </c>
      <c r="E6">
        <v>45</v>
      </c>
      <c r="F6">
        <f>E6-D6</f>
        <v>1.5</v>
      </c>
      <c s="19" r="G6">
        <f>1+(F6/D6)</f>
        <v>1.03448275862069</v>
      </c>
      <c r="H6">
        <v>0</v>
      </c>
    </row>
    <row r="7">
      <c s="4" r="A7">
        <v>41641</v>
      </c>
      <c t="s" r="C7">
        <v>456</v>
      </c>
      <c r="D7">
        <v>21.6</v>
      </c>
      <c r="E7">
        <v>23</v>
      </c>
      <c r="F7">
        <f>E7-D7</f>
        <v>1.4</v>
      </c>
      <c s="19" r="G7">
        <f>1+(F7/D7)</f>
        <v>1.06481481481481</v>
      </c>
      <c r="H7">
        <v>0</v>
      </c>
    </row>
    <row r="8">
      <c s="4" r="A8">
        <v>41641</v>
      </c>
      <c t="s" r="C8">
        <v>463</v>
      </c>
      <c r="D8">
        <v>20.25</v>
      </c>
      <c r="E8">
        <v>26</v>
      </c>
      <c r="F8">
        <f>E8-D8</f>
        <v>5.75</v>
      </c>
      <c s="19" r="G8">
        <f>1+(F8/D8)</f>
        <v>1.28395061728395</v>
      </c>
      <c r="H8">
        <v>0</v>
      </c>
    </row>
    <row r="9">
      <c s="4" r="A9">
        <v>41641</v>
      </c>
      <c t="s" r="C9">
        <v>762</v>
      </c>
      <c r="D9">
        <v>115.5</v>
      </c>
      <c r="E9">
        <v>119</v>
      </c>
      <c r="F9">
        <f>E9-D9</f>
        <v>3.5</v>
      </c>
      <c s="19" r="G9">
        <f>1+(F9/D9)</f>
        <v>1.03030303030303</v>
      </c>
      <c r="H9">
        <v>0</v>
      </c>
    </row>
    <row r="10">
      <c s="4" r="A10">
        <v>41641</v>
      </c>
      <c t="s" r="C10">
        <v>463</v>
      </c>
      <c r="D10">
        <v>17.25</v>
      </c>
      <c r="E10">
        <v>22</v>
      </c>
      <c r="F10">
        <f>E10-D10</f>
        <v>4.75</v>
      </c>
      <c s="19" r="G10">
        <f>1+(F10/D10)</f>
        <v>1.27536231884058</v>
      </c>
      <c r="H10">
        <v>0</v>
      </c>
    </row>
    <row r="11">
      <c s="4" r="A11">
        <v>41641</v>
      </c>
      <c t="s" r="C11">
        <v>456</v>
      </c>
      <c r="D11">
        <v>21.6</v>
      </c>
      <c r="E11">
        <v>23</v>
      </c>
      <c r="F11">
        <f>E11-D11</f>
        <v>1.4</v>
      </c>
      <c s="19" r="G11">
        <f>1+(F11/D11)</f>
        <v>1.06481481481481</v>
      </c>
      <c r="H11">
        <v>0</v>
      </c>
    </row>
    <row r="12">
      <c s="4" r="A12">
        <v>41641</v>
      </c>
      <c t="s" r="C12">
        <v>762</v>
      </c>
      <c r="D12">
        <v>112.5</v>
      </c>
      <c r="E12">
        <v>116</v>
      </c>
      <c r="F12">
        <f>E12-D12</f>
        <v>3.5</v>
      </c>
      <c s="19" r="G12">
        <f>1+(F12/D12)</f>
        <v>1.03111111111111</v>
      </c>
      <c r="H12">
        <v>0</v>
      </c>
    </row>
    <row r="13">
      <c s="4" r="A13">
        <v>41641</v>
      </c>
      <c t="s" r="C13">
        <v>463</v>
      </c>
      <c r="D13">
        <v>23.25</v>
      </c>
      <c r="E13">
        <v>30</v>
      </c>
      <c r="F13">
        <f>E13-D13</f>
        <v>6.75</v>
      </c>
      <c s="19" r="G13">
        <f>1+(F13/D13)</f>
        <v>1.29032258064516</v>
      </c>
      <c r="H13">
        <v>0</v>
      </c>
    </row>
    <row r="14">
      <c s="4" r="A14">
        <v>41641</v>
      </c>
      <c t="s" r="C14">
        <v>456</v>
      </c>
      <c r="D14">
        <v>20.58</v>
      </c>
      <c r="E14">
        <v>22</v>
      </c>
      <c r="F14">
        <f>E14-D14</f>
        <v>1.42</v>
      </c>
      <c s="19" r="G14">
        <f>1+(F14/D14)</f>
        <v>1.0689990281827</v>
      </c>
      <c r="H14">
        <v>0</v>
      </c>
    </row>
    <row r="15">
      <c s="4" r="A15">
        <v>41641</v>
      </c>
      <c t="s" r="C15">
        <v>762</v>
      </c>
      <c r="D15">
        <v>142.5</v>
      </c>
      <c r="E15">
        <v>147</v>
      </c>
      <c r="F15">
        <f>E15-D15</f>
        <v>4.5</v>
      </c>
      <c s="19" r="G15">
        <f>1+(F15/D15)</f>
        <v>1.03157894736842</v>
      </c>
      <c r="H15">
        <v>0</v>
      </c>
    </row>
    <row r="16">
      <c s="4" r="A16">
        <v>41641</v>
      </c>
      <c t="s" r="C16">
        <v>105</v>
      </c>
      <c r="D16">
        <v>50.1</v>
      </c>
      <c r="E16">
        <v>51</v>
      </c>
      <c s="26" r="F16">
        <f>E16-D16</f>
        <v>0.899999999999999</v>
      </c>
      <c s="19" r="G16">
        <f>1+(F16/D16)</f>
        <v>1.01796407185629</v>
      </c>
      <c r="H16">
        <v>0</v>
      </c>
    </row>
    <row r="17">
      <c s="4" r="A17">
        <v>41641</v>
      </c>
      <c t="s" r="C17">
        <v>463</v>
      </c>
      <c r="D17">
        <v>81.75</v>
      </c>
      <c r="E17">
        <v>103</v>
      </c>
      <c r="F17">
        <f>E17-D17</f>
        <v>21.25</v>
      </c>
      <c s="19" r="G17">
        <f>1+(F17/D17)</f>
        <v>1.25993883792049</v>
      </c>
      <c r="H17">
        <v>0</v>
      </c>
    </row>
    <row r="18">
      <c s="4" r="A18">
        <v>41641</v>
      </c>
      <c t="s" r="C18">
        <v>456</v>
      </c>
      <c r="D18">
        <v>20.4</v>
      </c>
      <c r="E18">
        <v>22</v>
      </c>
      <c r="F18">
        <f>E18-D18</f>
        <v>1.6</v>
      </c>
      <c s="19" r="G18">
        <f>1+(F18/D18)</f>
        <v>1.07843137254902</v>
      </c>
      <c r="H18">
        <v>0</v>
      </c>
    </row>
    <row r="19">
      <c s="4" r="A19">
        <v>41641</v>
      </c>
      <c t="s" r="C19">
        <v>456</v>
      </c>
      <c r="D19">
        <v>20.4</v>
      </c>
      <c r="E19">
        <v>22</v>
      </c>
      <c r="F19">
        <f>E19-D19</f>
        <v>1.6</v>
      </c>
      <c s="19" r="G19">
        <f>1+(F19/D19)</f>
        <v>1.07843137254902</v>
      </c>
      <c r="H19">
        <v>0</v>
      </c>
    </row>
    <row r="20">
      <c s="4" r="A20">
        <v>41641</v>
      </c>
      <c t="s" r="C20">
        <v>762</v>
      </c>
      <c r="D20">
        <v>189</v>
      </c>
      <c r="E20">
        <v>195</v>
      </c>
      <c r="F20">
        <f>E20-D20</f>
        <v>6</v>
      </c>
      <c s="19" r="G20">
        <f>1+(F20/D20)</f>
        <v>1.03174603174603</v>
      </c>
      <c r="H20">
        <v>0</v>
      </c>
    </row>
    <row r="21">
      <c s="4" r="A21">
        <v>41641</v>
      </c>
      <c t="s" r="C21">
        <v>105</v>
      </c>
      <c r="D21">
        <v>29.73</v>
      </c>
      <c r="E21">
        <v>31</v>
      </c>
      <c r="F21">
        <f>E21-D21</f>
        <v>1.27</v>
      </c>
      <c s="19" r="G21">
        <f>1+(F21/D21)</f>
        <v>1.0427177934746</v>
      </c>
      <c r="H21">
        <v>0</v>
      </c>
    </row>
    <row r="22">
      <c s="4" r="A22">
        <v>41641</v>
      </c>
      <c t="s" r="C22">
        <v>762</v>
      </c>
      <c r="D22">
        <v>90</v>
      </c>
      <c r="E22">
        <v>93</v>
      </c>
      <c r="F22">
        <f>E22-D22</f>
        <v>3</v>
      </c>
      <c s="19" r="G22">
        <f>1+(F22/D22)</f>
        <v>1.03333333333333</v>
      </c>
      <c r="H22">
        <v>0</v>
      </c>
    </row>
    <row r="23">
      <c s="4" r="A23">
        <v>41641</v>
      </c>
      <c t="s" r="C23">
        <v>456</v>
      </c>
      <c r="D23">
        <v>10</v>
      </c>
      <c r="E23">
        <v>11</v>
      </c>
      <c r="F23">
        <f>E23-D23</f>
        <v>1</v>
      </c>
      <c s="19" r="G23">
        <f>1+(F23/D23)</f>
        <v>1.1</v>
      </c>
      <c r="H23">
        <v>0</v>
      </c>
    </row>
    <row r="24">
      <c s="4" r="A24">
        <v>41641</v>
      </c>
      <c t="s" r="C24">
        <v>454</v>
      </c>
      <c r="D24">
        <v>75.99</v>
      </c>
      <c r="E24">
        <v>90</v>
      </c>
      <c r="F24">
        <f>E24-D24</f>
        <v>14.01</v>
      </c>
      <c s="19" r="G24">
        <f>1+(F24/D24)</f>
        <v>1.18436636399526</v>
      </c>
      <c r="H24">
        <v>0</v>
      </c>
    </row>
    <row r="25">
      <c s="4" r="A25">
        <v>41641</v>
      </c>
      <c t="s" r="C25">
        <v>463</v>
      </c>
      <c r="D25">
        <v>59.25</v>
      </c>
      <c r="E25">
        <v>73</v>
      </c>
      <c r="F25">
        <f>E25-D25</f>
        <v>13.75</v>
      </c>
      <c s="19" r="G25">
        <f>1+(F25/D25)</f>
        <v>1.23206751054852</v>
      </c>
      <c r="H25">
        <v>0</v>
      </c>
    </row>
    <row r="26">
      <c s="4" r="A26">
        <v>41641</v>
      </c>
      <c t="s" r="C26">
        <v>463</v>
      </c>
      <c r="D26">
        <v>88.5</v>
      </c>
      <c r="E26">
        <v>112</v>
      </c>
      <c r="F26">
        <f>E26-D26</f>
        <v>23.5</v>
      </c>
      <c s="19" r="G26">
        <f>1+(F26/D26)</f>
        <v>1.26553672316384</v>
      </c>
      <c r="H26">
        <v>0</v>
      </c>
    </row>
    <row r="27">
      <c s="4" r="A27">
        <v>41642</v>
      </c>
      <c t="s" r="C27">
        <v>463</v>
      </c>
      <c r="D27">
        <v>114.75</v>
      </c>
      <c r="E27">
        <v>148</v>
      </c>
      <c r="F27">
        <f>E27-D27</f>
        <v>33.25</v>
      </c>
      <c s="19" r="G27">
        <f>1+(F27/D27)</f>
        <v>1.28976034858388</v>
      </c>
      <c r="H27">
        <v>0</v>
      </c>
    </row>
    <row r="28">
      <c s="4" r="A28">
        <v>41642</v>
      </c>
      <c t="s" r="C28">
        <v>454</v>
      </c>
      <c r="D28">
        <v>82.11</v>
      </c>
      <c r="E28">
        <v>98</v>
      </c>
      <c r="F28">
        <f>E28-D28</f>
        <v>15.89</v>
      </c>
      <c s="19" r="G28">
        <f>1+(F28/D28)</f>
        <v>1.19352088661552</v>
      </c>
      <c r="H28">
        <v>0</v>
      </c>
    </row>
    <row r="29">
      <c s="4" r="A29">
        <v>41642</v>
      </c>
      <c t="s" r="C29">
        <v>463</v>
      </c>
      <c r="D29">
        <v>59.25</v>
      </c>
      <c r="E29">
        <v>74</v>
      </c>
      <c r="F29">
        <f>E29-D29</f>
        <v>14.75</v>
      </c>
      <c s="19" r="G29">
        <f>1+(F29/D29)</f>
        <v>1.24894514767932</v>
      </c>
      <c r="H29">
        <v>0</v>
      </c>
    </row>
    <row r="30">
      <c s="4" r="A30">
        <v>41642</v>
      </c>
      <c t="s" r="C30">
        <v>463</v>
      </c>
      <c r="D30">
        <v>86</v>
      </c>
      <c r="E30">
        <v>69</v>
      </c>
      <c s="26" r="F30">
        <f>D30-E30</f>
        <v>17</v>
      </c>
      <c s="19" r="G30">
        <f>D30/E30</f>
        <v>1.2463768115942</v>
      </c>
      <c r="H30">
        <v>0</v>
      </c>
      <c s="26" r="I30"/>
    </row>
    <row r="31">
      <c s="4" r="A31">
        <v>41642</v>
      </c>
      <c t="s" r="C31">
        <v>454</v>
      </c>
      <c r="D31">
        <v>28</v>
      </c>
      <c r="E31">
        <v>21.93</v>
      </c>
      <c s="26" r="F31">
        <f>D31-E31</f>
        <v>6.07</v>
      </c>
      <c s="19" r="G31">
        <f>D31/E31</f>
        <v>1.27678978568171</v>
      </c>
      <c r="H31">
        <v>0</v>
      </c>
      <c s="26" r="I31"/>
    </row>
    <row r="32">
      <c s="4" r="A32">
        <v>41642</v>
      </c>
      <c t="s" r="C32">
        <v>463</v>
      </c>
      <c r="D32">
        <v>113</v>
      </c>
      <c r="E32">
        <v>90</v>
      </c>
      <c s="26" r="F32">
        <f>D32-E32</f>
        <v>23</v>
      </c>
      <c s="19" r="G32">
        <f>D32/E32</f>
        <v>1.25555555555556</v>
      </c>
      <c r="H32">
        <v>0</v>
      </c>
      <c s="26" r="I32"/>
    </row>
    <row r="33">
      <c s="4" r="A33">
        <v>41642</v>
      </c>
      <c t="s" r="C33">
        <v>456</v>
      </c>
      <c r="D33">
        <v>103</v>
      </c>
      <c r="E33">
        <v>99.46</v>
      </c>
      <c s="26" r="F33">
        <f>D33-E33</f>
        <v>3.54000000000001</v>
      </c>
      <c s="19" r="G33">
        <f>D33/E33</f>
        <v>1.03559219786849</v>
      </c>
      <c r="H33">
        <v>0</v>
      </c>
      <c s="26" r="I33"/>
    </row>
    <row r="34">
      <c s="4" r="A34">
        <v>41642</v>
      </c>
      <c t="s" r="C34">
        <v>762</v>
      </c>
      <c r="D34">
        <v>135</v>
      </c>
      <c r="E34">
        <v>131.25</v>
      </c>
      <c s="26" r="F34">
        <f>D34-E34</f>
        <v>3.75</v>
      </c>
      <c s="19" r="G34">
        <f>D34/E34</f>
        <v>1.02857142857143</v>
      </c>
      <c r="H34">
        <v>0</v>
      </c>
      <c s="26" r="I34"/>
    </row>
    <row r="35">
      <c s="4" r="A35">
        <v>41642</v>
      </c>
      <c t="s" r="C35">
        <v>762</v>
      </c>
      <c r="D35">
        <v>92</v>
      </c>
      <c r="E35">
        <v>89.25</v>
      </c>
      <c s="26" r="F35">
        <f>D35-E35</f>
        <v>2.75</v>
      </c>
      <c s="19" r="G35">
        <f>D35/E35</f>
        <v>1.03081232492997</v>
      </c>
      <c r="H35">
        <v>0</v>
      </c>
      <c s="26" r="I35"/>
    </row>
    <row r="36">
      <c s="4" r="A36">
        <v>41642</v>
      </c>
      <c t="s" r="C36">
        <v>762</v>
      </c>
      <c r="D36">
        <v>240</v>
      </c>
      <c r="E36">
        <v>232.5</v>
      </c>
      <c s="26" r="F36">
        <f>D36-E36</f>
        <v>7.5</v>
      </c>
      <c s="19" r="G36">
        <f>D36/E36</f>
        <v>1.03225806451613</v>
      </c>
      <c r="H36">
        <v>0</v>
      </c>
      <c s="26" r="I36"/>
    </row>
    <row r="37">
      <c s="4" r="A37">
        <v>41642</v>
      </c>
      <c t="s" r="C37">
        <v>762</v>
      </c>
      <c r="D37">
        <v>128</v>
      </c>
      <c r="E37">
        <v>123.75</v>
      </c>
      <c s="26" r="F37">
        <f>D37-E37</f>
        <v>4.25</v>
      </c>
      <c s="19" r="G37">
        <f>D37/E37</f>
        <v>1.03434343434343</v>
      </c>
      <c r="H37">
        <v>0</v>
      </c>
      <c s="26" r="I37"/>
    </row>
    <row r="38">
      <c s="4" r="A38">
        <v>41642</v>
      </c>
      <c t="s" r="C38">
        <v>105</v>
      </c>
      <c r="D38">
        <v>114</v>
      </c>
      <c r="E38">
        <v>112.29</v>
      </c>
      <c s="26" r="F38">
        <f>D38-E38</f>
        <v>1.70999999999999</v>
      </c>
      <c s="19" r="G38">
        <f>D38/E38</f>
        <v>1.01522842639594</v>
      </c>
      <c r="H38">
        <v>0</v>
      </c>
      <c s="26" r="I38"/>
    </row>
    <row r="39">
      <c s="4" r="A39">
        <v>41642</v>
      </c>
      <c t="s" r="C39">
        <v>463</v>
      </c>
      <c r="D39">
        <v>289</v>
      </c>
      <c r="E39">
        <v>225</v>
      </c>
      <c s="26" r="F39">
        <f>D39-E39</f>
        <v>64</v>
      </c>
      <c s="19" r="G39">
        <f>D39/E39</f>
        <v>1.28444444444444</v>
      </c>
      <c r="H39">
        <v>0</v>
      </c>
      <c s="26" r="I39"/>
    </row>
    <row r="40">
      <c s="4" r="A40">
        <v>41642</v>
      </c>
      <c t="s" r="C40">
        <v>105</v>
      </c>
      <c r="D40">
        <v>57</v>
      </c>
      <c r="E40">
        <v>53.92</v>
      </c>
      <c s="26" r="F40">
        <f>D40-E40</f>
        <v>3.08</v>
      </c>
      <c s="19" r="G40">
        <f>D40/E40</f>
        <v>1.05712166172107</v>
      </c>
      <c r="H40">
        <v>0</v>
      </c>
      <c s="26" r="I40"/>
    </row>
    <row r="41">
      <c s="4" r="A41">
        <v>41642</v>
      </c>
      <c t="s" r="C41">
        <v>762</v>
      </c>
      <c r="D41">
        <v>340</v>
      </c>
      <c r="E41">
        <v>330</v>
      </c>
      <c s="26" r="F41">
        <f>D41-E41</f>
        <v>10</v>
      </c>
      <c s="19" r="G41">
        <f>D41/E41</f>
        <v>1.03030303030303</v>
      </c>
      <c r="H41">
        <v>0</v>
      </c>
      <c s="26" r="I41"/>
    </row>
    <row r="42">
      <c s="4" r="A42">
        <v>41642</v>
      </c>
      <c t="s" r="C42">
        <v>762</v>
      </c>
      <c r="D42">
        <v>128</v>
      </c>
      <c r="E42">
        <v>123.75</v>
      </c>
      <c s="26" r="F42">
        <f>D42-E42</f>
        <v>4.25</v>
      </c>
      <c s="19" r="G42">
        <f>D42/E42</f>
        <v>1.03434343434343</v>
      </c>
      <c r="H42">
        <v>0</v>
      </c>
      <c s="26" r="I42"/>
    </row>
    <row r="43">
      <c s="4" r="A43">
        <v>41642</v>
      </c>
      <c t="s" r="C43">
        <v>456</v>
      </c>
      <c r="D43">
        <v>22</v>
      </c>
      <c r="E43">
        <v>20.66</v>
      </c>
      <c s="26" r="F43">
        <f>D43-E43</f>
        <v>1.34</v>
      </c>
      <c s="19" r="G43">
        <f>D43/E43</f>
        <v>1.0648596321394</v>
      </c>
      <c r="H43">
        <v>0</v>
      </c>
      <c s="26" r="I43"/>
    </row>
    <row r="44">
      <c s="4" r="A44">
        <v>41642</v>
      </c>
      <c t="s" r="C44">
        <v>762</v>
      </c>
      <c r="D44">
        <v>58</v>
      </c>
      <c r="E44">
        <v>55.5</v>
      </c>
      <c s="26" r="F44">
        <f>D44-E44</f>
        <v>2.5</v>
      </c>
      <c s="19" r="G44">
        <f>D44/E44</f>
        <v>1.04504504504504</v>
      </c>
      <c r="H44">
        <v>0</v>
      </c>
      <c s="26" r="I44"/>
    </row>
    <row r="45">
      <c s="4" r="A45">
        <v>41642</v>
      </c>
      <c t="s" r="C45">
        <v>385</v>
      </c>
      <c r="D45">
        <v>15</v>
      </c>
      <c r="E45">
        <v>12</v>
      </c>
      <c s="26" r="F45">
        <f>D45-E45</f>
        <v>3</v>
      </c>
      <c s="19" r="G45">
        <f>D45/E45</f>
        <v>1.25</v>
      </c>
      <c r="H45">
        <v>0</v>
      </c>
    </row>
    <row r="46">
      <c s="4" r="A46">
        <v>41642</v>
      </c>
      <c t="s" r="C46">
        <v>454</v>
      </c>
      <c r="D46">
        <v>127</v>
      </c>
      <c r="E46">
        <v>102</v>
      </c>
      <c s="26" r="F46">
        <f>D46-E46</f>
        <v>25</v>
      </c>
      <c s="19" r="G46">
        <f>D46/E46</f>
        <v>1.24509803921569</v>
      </c>
      <c r="H46">
        <v>0</v>
      </c>
    </row>
    <row r="47">
      <c s="4" r="A47">
        <v>41642</v>
      </c>
      <c t="s" r="C47">
        <v>463</v>
      </c>
      <c r="D47">
        <v>113</v>
      </c>
      <c r="E47">
        <v>90</v>
      </c>
      <c s="26" r="F47">
        <f>D47-E47</f>
        <v>23</v>
      </c>
      <c s="19" r="G47">
        <f>D47/E47</f>
        <v>1.25555555555556</v>
      </c>
      <c r="H47">
        <v>0</v>
      </c>
    </row>
    <row r="48">
      <c s="4" r="A48">
        <v>41643</v>
      </c>
      <c t="s" r="C48">
        <v>817</v>
      </c>
      <c r="D48">
        <v>124</v>
      </c>
      <c r="E48">
        <v>90</v>
      </c>
      <c s="26" r="F48">
        <f>D48-E48</f>
        <v>34</v>
      </c>
      <c s="19" r="G48">
        <f>D48/E48</f>
        <v>1.37777777777778</v>
      </c>
      <c r="H48">
        <v>0</v>
      </c>
    </row>
    <row r="49">
      <c s="4" r="A49">
        <v>41643</v>
      </c>
      <c t="s" r="C49">
        <v>384</v>
      </c>
      <c r="D49">
        <v>102</v>
      </c>
      <c r="E49">
        <v>94.76</v>
      </c>
      <c s="26" r="F49">
        <f>D49-E49</f>
        <v>7.24</v>
      </c>
      <c s="19" r="G49">
        <f>D49/E49</f>
        <v>1.07640354579992</v>
      </c>
      <c r="H49">
        <v>0</v>
      </c>
    </row>
    <row r="50">
      <c s="4" r="A50">
        <v>41643</v>
      </c>
      <c t="s" r="C50">
        <v>447</v>
      </c>
      <c r="D50">
        <v>80</v>
      </c>
      <c r="E50">
        <v>74.21</v>
      </c>
      <c s="26" r="F50">
        <f>D50-E50</f>
        <v>5.79000000000001</v>
      </c>
      <c s="19" r="G50">
        <f>D50/E50</f>
        <v>1.07802182994206</v>
      </c>
      <c r="H50">
        <v>0</v>
      </c>
    </row>
    <row r="51">
      <c s="4" r="A51">
        <v>41644</v>
      </c>
      <c t="s" r="C51">
        <v>774</v>
      </c>
      <c r="D51">
        <v>75</v>
      </c>
      <c r="E51">
        <v>37.2</v>
      </c>
      <c s="26" r="F51">
        <f>D51-E51</f>
        <v>37.8</v>
      </c>
      <c s="19" r="G51">
        <f>D51/E51</f>
        <v>2.01612903225806</v>
      </c>
      <c s="26" r="H51">
        <v>0</v>
      </c>
      <c s="26" r="I51"/>
    </row>
    <row r="52">
      <c s="4" r="A52">
        <v>41644</v>
      </c>
      <c t="s" r="C52">
        <v>774</v>
      </c>
      <c r="D52">
        <v>156</v>
      </c>
      <c r="E52">
        <v>76.8</v>
      </c>
      <c s="26" r="F52">
        <f>D52-E52</f>
        <v>79.2</v>
      </c>
      <c s="19" r="G52">
        <f>D52/E52</f>
        <v>2.03125</v>
      </c>
      <c s="26" r="H52">
        <v>0</v>
      </c>
      <c s="26" r="I52"/>
    </row>
    <row r="53">
      <c s="4" r="A53">
        <v>41644</v>
      </c>
      <c t="s" r="C53">
        <v>456</v>
      </c>
      <c r="D53">
        <v>52</v>
      </c>
      <c r="E53">
        <v>50</v>
      </c>
      <c s="26" r="F53">
        <f>D53-E53</f>
        <v>2</v>
      </c>
      <c s="19" r="G53">
        <f>D53/E53</f>
        <v>1.04</v>
      </c>
      <c s="26" r="H53">
        <v>0</v>
      </c>
    </row>
    <row r="54">
      <c s="4" r="A54">
        <v>41645</v>
      </c>
      <c t="s" r="C54">
        <v>463</v>
      </c>
      <c r="D54">
        <v>29</v>
      </c>
      <c r="E54">
        <v>23.25</v>
      </c>
      <c s="26" r="F54">
        <f>D54-E54</f>
        <v>5.75</v>
      </c>
      <c s="19" r="G54">
        <f>D54/E54</f>
        <v>1.24731182795699</v>
      </c>
      <c s="26" r="H54">
        <v>0</v>
      </c>
    </row>
    <row r="55">
      <c s="4" r="A55">
        <v>41645</v>
      </c>
      <c t="s" r="C55">
        <v>463</v>
      </c>
      <c r="D55">
        <v>16</v>
      </c>
      <c r="E55">
        <v>12.75</v>
      </c>
      <c s="26" r="F55">
        <f>D55-E55</f>
        <v>3.25</v>
      </c>
      <c s="19" r="G55">
        <f>D55/E55</f>
        <v>1.25490196078431</v>
      </c>
      <c s="26" r="H55">
        <v>0</v>
      </c>
    </row>
    <row r="56">
      <c s="4" r="A56">
        <v>41645</v>
      </c>
      <c t="s" r="C56">
        <v>463</v>
      </c>
      <c r="D56">
        <v>21</v>
      </c>
      <c r="E56">
        <v>16.5</v>
      </c>
      <c s="26" r="F56">
        <f>D56-E56</f>
        <v>4.5</v>
      </c>
      <c s="19" r="G56">
        <f>D56/E56</f>
        <v>1.27272727272727</v>
      </c>
      <c s="26" r="H56">
        <v>0</v>
      </c>
    </row>
    <row r="57">
      <c s="4" r="A57">
        <v>41645</v>
      </c>
      <c t="s" r="C57">
        <v>762</v>
      </c>
      <c r="D57">
        <v>83</v>
      </c>
      <c r="E57">
        <v>79.5</v>
      </c>
      <c s="26" r="F57">
        <f>D57-E57</f>
        <v>3.5</v>
      </c>
      <c s="19" r="G57">
        <f>D57/E57</f>
        <v>1.0440251572327</v>
      </c>
      <c s="26" r="H57">
        <v>0</v>
      </c>
    </row>
    <row r="58">
      <c s="4" r="A58">
        <v>41646</v>
      </c>
      <c t="s" r="C58">
        <v>818</v>
      </c>
      <c r="D58">
        <v>27</v>
      </c>
      <c r="E58">
        <v>18</v>
      </c>
      <c s="26" r="F58">
        <f>D58-E58</f>
        <v>9</v>
      </c>
      <c s="19" r="G58">
        <f>D58/E58</f>
        <v>1.5</v>
      </c>
      <c s="26" r="H58">
        <v>0</v>
      </c>
    </row>
    <row r="59">
      <c s="4" r="A59">
        <v>41646</v>
      </c>
      <c t="s" r="C59">
        <v>818</v>
      </c>
      <c r="D59">
        <v>233</v>
      </c>
      <c r="E59">
        <v>153</v>
      </c>
      <c s="26" r="F59">
        <f>D59-E59</f>
        <v>80</v>
      </c>
      <c s="19" r="G59">
        <f>D59/E59</f>
        <v>1.52287581699346</v>
      </c>
      <c s="26" r="H59">
        <v>0</v>
      </c>
    </row>
    <row r="60">
      <c s="4" r="A60">
        <v>41646</v>
      </c>
      <c t="s" r="C60">
        <v>819</v>
      </c>
      <c r="D60">
        <v>32</v>
      </c>
      <c r="E60">
        <v>27.51</v>
      </c>
      <c s="26" r="F60">
        <f>D60-E60</f>
        <v>4.49</v>
      </c>
      <c s="19" r="G60">
        <f>D60/E60</f>
        <v>1.16321337695383</v>
      </c>
      <c s="26" r="H60">
        <v>0</v>
      </c>
    </row>
    <row r="61">
      <c s="4" r="A61">
        <v>41646</v>
      </c>
      <c t="s" r="C61">
        <v>393</v>
      </c>
      <c r="D61">
        <v>149</v>
      </c>
      <c r="E61">
        <v>115</v>
      </c>
      <c s="26" r="F61">
        <f>D61-E61</f>
        <v>34</v>
      </c>
      <c s="19" r="G61">
        <f>D61/E61</f>
        <v>1.29565217391304</v>
      </c>
      <c s="26" r="H61">
        <v>0</v>
      </c>
    </row>
    <row r="62">
      <c s="4" r="A62">
        <v>41646</v>
      </c>
      <c t="s" r="C62">
        <v>691</v>
      </c>
      <c r="D62">
        <v>105</v>
      </c>
      <c r="E62">
        <v>95.4</v>
      </c>
      <c s="26" r="F62">
        <f>D62-E62</f>
        <v>9.59999999999999</v>
      </c>
      <c s="19" r="G62">
        <f>D62/E62</f>
        <v>1.10062893081761</v>
      </c>
      <c s="26" r="H62">
        <v>0</v>
      </c>
    </row>
    <row r="63">
      <c s="4" r="A63">
        <v>41646</v>
      </c>
      <c t="s" r="C63">
        <v>736</v>
      </c>
      <c r="D63">
        <v>11</v>
      </c>
      <c r="E63">
        <v>10.8</v>
      </c>
      <c s="26" r="F63">
        <f>D63-E63</f>
        <v>0.199999999999999</v>
      </c>
      <c s="19" r="G63">
        <f>D63/E63</f>
        <v>1.01851851851852</v>
      </c>
      <c s="26" r="H63">
        <v>0</v>
      </c>
    </row>
    <row r="64">
      <c s="4" r="A64">
        <v>41646</v>
      </c>
      <c t="s" r="C64">
        <v>736</v>
      </c>
      <c r="D64">
        <v>41</v>
      </c>
      <c r="E64">
        <v>36.24</v>
      </c>
      <c s="26" r="F64">
        <f>D64-E64</f>
        <v>4.76</v>
      </c>
      <c s="19" r="G64">
        <f>D64/E64</f>
        <v>1.13134657836645</v>
      </c>
      <c s="26" r="H64">
        <v>0</v>
      </c>
    </row>
    <row r="65">
      <c s="4" r="A65">
        <v>41646</v>
      </c>
      <c t="s" r="C65">
        <v>818</v>
      </c>
      <c r="D65">
        <v>76</v>
      </c>
      <c r="E65">
        <v>49.5</v>
      </c>
      <c s="26" r="F65">
        <f>D65-E65</f>
        <v>26.5</v>
      </c>
      <c s="19" r="G65">
        <f>D65/E65</f>
        <v>1.53535353535354</v>
      </c>
      <c s="26" r="H65">
        <v>0</v>
      </c>
    </row>
    <row r="66">
      <c s="4" r="A66">
        <v>41646</v>
      </c>
      <c t="s" r="C66">
        <v>818</v>
      </c>
      <c r="D66">
        <v>35</v>
      </c>
      <c r="E66">
        <v>22.5</v>
      </c>
      <c s="26" r="F66">
        <f>D66-E66</f>
        <v>12.5</v>
      </c>
      <c s="19" r="G66">
        <f>D66/E66</f>
        <v>1.55555555555556</v>
      </c>
      <c s="26" r="H66">
        <v>0</v>
      </c>
    </row>
    <row r="67">
      <c s="4" r="A67">
        <v>41646</v>
      </c>
      <c t="s" r="C67">
        <v>818</v>
      </c>
      <c r="D67">
        <v>105</v>
      </c>
      <c r="E67">
        <v>67.5</v>
      </c>
      <c s="26" r="F67">
        <f>D67-E67</f>
        <v>37.5</v>
      </c>
      <c s="19" r="G67">
        <f>D67/E67</f>
        <v>1.55555555555556</v>
      </c>
      <c s="26" r="H67">
        <v>0</v>
      </c>
    </row>
    <row r="68">
      <c s="4" r="A68">
        <v>41646</v>
      </c>
      <c t="s" r="C68">
        <v>691</v>
      </c>
      <c r="D68">
        <v>21</v>
      </c>
      <c r="E68">
        <v>18.9</v>
      </c>
      <c s="26" r="F68">
        <f>D68-E68</f>
        <v>2.1</v>
      </c>
      <c s="19" r="G68">
        <f>D68/E68</f>
        <v>1.11111111111111</v>
      </c>
      <c s="26" r="H68">
        <v>0</v>
      </c>
    </row>
    <row r="69">
      <c s="4" r="A69">
        <v>41646</v>
      </c>
      <c t="s" r="C69">
        <v>691</v>
      </c>
      <c r="D69">
        <v>16</v>
      </c>
      <c r="E69">
        <v>14.4</v>
      </c>
      <c s="26" r="F69">
        <f>D69-E69</f>
        <v>1.6</v>
      </c>
      <c s="19" r="G69">
        <f>D69/E69</f>
        <v>1.11111111111111</v>
      </c>
      <c s="26" r="H69">
        <v>0</v>
      </c>
    </row>
    <row r="70">
      <c s="4" r="A70">
        <v>41646</v>
      </c>
      <c t="s" r="C70">
        <v>818</v>
      </c>
      <c r="D70">
        <v>112</v>
      </c>
      <c r="E70">
        <v>72</v>
      </c>
      <c s="26" r="F70">
        <f>D70-E70</f>
        <v>40</v>
      </c>
      <c s="19" r="G70">
        <f>D70/E70</f>
        <v>1.55555555555556</v>
      </c>
      <c s="26" r="H70">
        <v>0</v>
      </c>
    </row>
    <row r="71">
      <c s="4" r="A71">
        <v>41646</v>
      </c>
      <c t="s" r="C71">
        <v>506</v>
      </c>
      <c r="D71">
        <f>1.7*30</f>
        <v>51</v>
      </c>
      <c r="E71">
        <v>51</v>
      </c>
      <c s="26" r="F71">
        <f>D71-E71</f>
        <v>0</v>
      </c>
      <c s="19" r="G71">
        <f>D71/E71</f>
        <v>1</v>
      </c>
      <c s="26" r="H71">
        <v>0</v>
      </c>
    </row>
    <row r="72">
      <c s="4" r="A72">
        <v>41647</v>
      </c>
      <c t="s" r="C72">
        <v>481</v>
      </c>
      <c r="D72">
        <v>159</v>
      </c>
      <c r="E72">
        <v>143</v>
      </c>
      <c s="26" r="F72">
        <f>D72-E72</f>
        <v>16</v>
      </c>
      <c s="19" r="G72">
        <f>D72/E72</f>
        <v>1.11188811188811</v>
      </c>
      <c s="26" r="H72">
        <v>0</v>
      </c>
    </row>
    <row r="73">
      <c s="4" r="A73">
        <v>41647</v>
      </c>
      <c t="s" r="C73">
        <v>820</v>
      </c>
      <c r="D73">
        <v>113</v>
      </c>
      <c r="E73">
        <v>102</v>
      </c>
      <c s="26" r="F73">
        <f>D73-E73</f>
        <v>11</v>
      </c>
      <c s="19" r="G73">
        <f>D73/E73</f>
        <v>1.1078431372549</v>
      </c>
      <c s="26" r="H73">
        <v>0</v>
      </c>
    </row>
    <row r="74">
      <c s="4" r="A74">
        <v>41647</v>
      </c>
      <c t="s" r="C74">
        <v>817</v>
      </c>
      <c r="D74">
        <v>86</v>
      </c>
      <c r="E74">
        <v>61.83</v>
      </c>
      <c s="26" r="F74">
        <f>D74-E74</f>
        <v>24.17</v>
      </c>
      <c s="19" r="G74">
        <f>D74/E74</f>
        <v>1.39091056121624</v>
      </c>
      <c s="26" r="H74">
        <v>0</v>
      </c>
    </row>
    <row r="75">
      <c s="4" r="A75">
        <v>41647</v>
      </c>
      <c t="s" r="C75">
        <v>817</v>
      </c>
      <c r="D75">
        <v>105</v>
      </c>
      <c r="E75">
        <v>75</v>
      </c>
      <c s="26" r="F75">
        <f>D75-E75</f>
        <v>30</v>
      </c>
      <c s="19" r="G75">
        <f>D75/E75</f>
        <v>1.4</v>
      </c>
      <c s="26" r="H75">
        <v>0</v>
      </c>
    </row>
    <row r="76">
      <c s="4" r="A76">
        <v>41647</v>
      </c>
      <c t="s" r="C76">
        <v>817</v>
      </c>
      <c r="D76">
        <v>102</v>
      </c>
      <c r="E76">
        <v>72.81</v>
      </c>
      <c s="26" r="F76">
        <f>D76-E76</f>
        <v>29.19</v>
      </c>
      <c s="19" r="G76">
        <f>D76/E76</f>
        <v>1.40090646889164</v>
      </c>
      <c s="26" r="H76">
        <v>0</v>
      </c>
    </row>
    <row r="77">
      <c s="4" r="A77">
        <v>41647</v>
      </c>
      <c t="s" r="C77">
        <v>473</v>
      </c>
      <c r="D77">
        <v>69</v>
      </c>
      <c r="E77">
        <v>63</v>
      </c>
      <c s="26" r="F77">
        <f>D77-E77</f>
        <v>6</v>
      </c>
      <c s="19" r="G77">
        <f>D77/E77</f>
        <v>1.0952380952381</v>
      </c>
      <c s="26" r="H77">
        <v>0</v>
      </c>
    </row>
    <row r="78">
      <c s="4" r="A78">
        <v>41647</v>
      </c>
      <c t="s" r="C78">
        <v>473</v>
      </c>
      <c r="D78">
        <v>95</v>
      </c>
      <c r="E78">
        <v>85.8</v>
      </c>
      <c s="26" r="F78">
        <f>D78-E78</f>
        <v>9.2</v>
      </c>
      <c s="19" r="G78">
        <f>D78/E78</f>
        <v>1.10722610722611</v>
      </c>
      <c s="26" r="H78">
        <v>0</v>
      </c>
    </row>
    <row r="79">
      <c s="4" r="A79">
        <v>41647</v>
      </c>
      <c t="s" r="C79">
        <v>821</v>
      </c>
      <c r="D79">
        <v>42</v>
      </c>
      <c r="E79">
        <v>34.6</v>
      </c>
      <c s="26" r="F79">
        <f>D79-E79</f>
        <v>7.4</v>
      </c>
      <c s="19" r="G79">
        <f>D79/E79</f>
        <v>1.21387283236994</v>
      </c>
      <c s="26" r="H79">
        <v>0</v>
      </c>
    </row>
    <row r="80">
      <c s="4" r="A80">
        <v>41647</v>
      </c>
      <c t="s" r="C80">
        <v>481</v>
      </c>
      <c r="D80">
        <v>71</v>
      </c>
      <c r="E80">
        <v>60</v>
      </c>
      <c s="26" r="F80">
        <f>D80-E80</f>
        <v>11</v>
      </c>
      <c s="19" r="G80">
        <f>D80/E80</f>
        <v>1.18333333333333</v>
      </c>
      <c s="26" r="H80">
        <v>0</v>
      </c>
    </row>
    <row r="81">
      <c s="4" r="A81">
        <v>41647</v>
      </c>
      <c t="s" r="C81">
        <v>817</v>
      </c>
      <c r="D81">
        <v>217</v>
      </c>
      <c r="E81">
        <v>155.61</v>
      </c>
      <c s="26" r="F81">
        <f>D81-E81</f>
        <v>61.39</v>
      </c>
      <c s="19" r="G81">
        <f>D81/E81</f>
        <v>1.39451192082771</v>
      </c>
      <c s="26" r="H81">
        <v>0</v>
      </c>
    </row>
    <row r="82">
      <c s="4" r="A82">
        <v>41647</v>
      </c>
      <c t="s" r="C82">
        <v>822</v>
      </c>
      <c r="D82">
        <v>41</v>
      </c>
      <c r="E82">
        <v>37.35</v>
      </c>
      <c s="26" r="F82">
        <f>D82-E82</f>
        <v>3.65</v>
      </c>
      <c s="19" r="G82">
        <f>D82/E82</f>
        <v>1.09772423025435</v>
      </c>
      <c s="26" r="H82">
        <v>0</v>
      </c>
    </row>
    <row r="83">
      <c s="4" r="A83">
        <v>41647</v>
      </c>
      <c t="s" r="C83">
        <v>823</v>
      </c>
      <c r="D83">
        <v>194.4</v>
      </c>
      <c r="E83">
        <v>180</v>
      </c>
      <c s="26" r="F83">
        <f>D83-E83</f>
        <v>14.4</v>
      </c>
      <c s="19" r="G83">
        <f>D83/E83</f>
        <v>1.08</v>
      </c>
      <c s="26" r="H83">
        <v>0</v>
      </c>
    </row>
    <row r="84">
      <c s="4" r="A84">
        <v>41647</v>
      </c>
      <c t="s" r="C84">
        <v>818</v>
      </c>
      <c r="D84">
        <v>720</v>
      </c>
      <c r="E84">
        <v>480</v>
      </c>
      <c s="26" r="F84">
        <f>D84-E84</f>
        <v>240</v>
      </c>
      <c s="19" r="G84">
        <f>D84/E84</f>
        <v>1.5</v>
      </c>
      <c s="26" r="H84">
        <v>0</v>
      </c>
    </row>
    <row r="85">
      <c s="4" r="A85">
        <v>41647</v>
      </c>
      <c t="s" r="C85">
        <v>736</v>
      </c>
      <c r="D85">
        <v>119</v>
      </c>
      <c r="E85">
        <v>111.6</v>
      </c>
      <c s="26" r="F85">
        <f>D85-E85</f>
        <v>7.40000000000001</v>
      </c>
      <c s="19" r="G85">
        <f>D85/E85</f>
        <v>1.0663082437276</v>
      </c>
      <c s="26" r="H85">
        <v>0</v>
      </c>
    </row>
    <row r="86">
      <c s="4" r="A86">
        <v>41647</v>
      </c>
      <c t="s" r="C86">
        <v>819</v>
      </c>
      <c r="D86">
        <v>106</v>
      </c>
      <c r="E86">
        <v>90</v>
      </c>
      <c s="26" r="F86">
        <f>D86-E86</f>
        <v>16</v>
      </c>
      <c s="19" r="G86">
        <f>D86/E86</f>
        <v>1.17777777777778</v>
      </c>
      <c s="26" r="H86">
        <v>0</v>
      </c>
    </row>
    <row r="87">
      <c s="4" r="A87">
        <v>41647</v>
      </c>
      <c t="s" r="C87">
        <v>691</v>
      </c>
      <c r="D87">
        <v>98</v>
      </c>
      <c r="E87">
        <v>90</v>
      </c>
      <c s="26" r="F87">
        <f>D87-E87</f>
        <v>8</v>
      </c>
      <c s="19" r="G87">
        <f>D87/E87</f>
        <v>1.08888888888889</v>
      </c>
      <c s="26" r="H87">
        <v>0</v>
      </c>
    </row>
    <row r="88">
      <c s="4" r="A88">
        <v>41647</v>
      </c>
      <c t="s" r="C88">
        <v>818</v>
      </c>
      <c r="D88">
        <v>367</v>
      </c>
      <c r="E88">
        <v>238.5</v>
      </c>
      <c s="26" r="F88">
        <f>D88-E88</f>
        <v>128.5</v>
      </c>
      <c s="19" r="G88">
        <f>D88/E88</f>
        <v>1.53878406708595</v>
      </c>
      <c s="26" r="H88">
        <v>0</v>
      </c>
    </row>
    <row r="89">
      <c s="4" r="A89">
        <v>41647</v>
      </c>
      <c t="s" r="C89">
        <v>736</v>
      </c>
      <c r="D89">
        <v>20</v>
      </c>
      <c r="E89">
        <v>17.04</v>
      </c>
      <c s="26" r="F89">
        <f>D89-E89</f>
        <v>2.96</v>
      </c>
      <c s="19" r="G89">
        <f>D89/E89</f>
        <v>1.17370892018779</v>
      </c>
      <c s="26" r="H89">
        <v>0</v>
      </c>
    </row>
    <row r="90">
      <c s="4" r="A90">
        <v>41649</v>
      </c>
      <c t="s" r="C90">
        <v>525</v>
      </c>
      <c r="D90">
        <v>255</v>
      </c>
      <c r="E90">
        <v>247.11</v>
      </c>
      <c s="26" r="F90">
        <f>D90-E90</f>
        <v>7.88999999999999</v>
      </c>
      <c s="19" r="G90">
        <f>D90/E90</f>
        <v>1.03192910040063</v>
      </c>
      <c s="26" r="H90">
        <v>0</v>
      </c>
    </row>
    <row r="91">
      <c s="4" r="A91">
        <v>41649</v>
      </c>
      <c t="s" r="C91">
        <v>481</v>
      </c>
      <c r="D91">
        <v>79</v>
      </c>
      <c r="E91">
        <v>67.38</v>
      </c>
      <c s="26" r="F91">
        <f>D91-E91</f>
        <v>11.62</v>
      </c>
      <c s="19" r="G91">
        <f>D91/E91</f>
        <v>1.17245473434253</v>
      </c>
      <c s="26" r="H91">
        <v>0</v>
      </c>
    </row>
    <row r="92">
      <c s="4" r="A92">
        <v>41650</v>
      </c>
      <c t="s" r="C92">
        <v>525</v>
      </c>
      <c r="D92">
        <v>494</v>
      </c>
      <c r="E92">
        <v>483.78</v>
      </c>
      <c s="26" r="F92">
        <f>D92-E92</f>
        <v>10.22</v>
      </c>
      <c s="19" r="G92">
        <f>D92/E92</f>
        <v>1.02112530489065</v>
      </c>
      <c s="26" r="H92">
        <v>0</v>
      </c>
    </row>
    <row r="93">
      <c s="4" r="A93">
        <v>41651</v>
      </c>
      <c t="s" r="C93">
        <v>736</v>
      </c>
      <c r="D93">
        <v>84</v>
      </c>
      <c r="E93">
        <v>77.52</v>
      </c>
      <c s="26" r="F93">
        <f>D93-E93</f>
        <v>6.48</v>
      </c>
      <c s="19" r="G93">
        <f>D93/E93</f>
        <v>1.08359133126935</v>
      </c>
      <c s="26" r="H93">
        <v>0</v>
      </c>
    </row>
    <row r="94">
      <c s="4" r="A94">
        <v>41651</v>
      </c>
      <c t="s" r="C94">
        <v>537</v>
      </c>
      <c r="D94">
        <v>24</v>
      </c>
      <c r="E94">
        <v>15</v>
      </c>
      <c s="26" r="F94">
        <f>D94-E94</f>
        <v>9</v>
      </c>
      <c s="19" r="G94">
        <f>D94/E94</f>
        <v>1.6</v>
      </c>
      <c s="26" r="H94">
        <v>0</v>
      </c>
    </row>
    <row r="95">
      <c s="4" r="A95">
        <v>41651</v>
      </c>
      <c t="s" r="C95">
        <v>384</v>
      </c>
      <c r="D95">
        <v>217</v>
      </c>
      <c r="E95">
        <v>200</v>
      </c>
      <c s="26" r="F95">
        <f>D95-E95</f>
        <v>17</v>
      </c>
      <c s="19" r="G95">
        <f>D95/E95</f>
        <v>1.085</v>
      </c>
      <c s="26" r="H95">
        <v>0</v>
      </c>
    </row>
    <row r="96">
      <c s="4" r="A96">
        <v>41651</v>
      </c>
      <c t="s" r="C96">
        <v>384</v>
      </c>
      <c r="D96">
        <v>217</v>
      </c>
      <c r="E96">
        <v>200</v>
      </c>
      <c s="26" r="F96">
        <f>D96-E96</f>
        <v>17</v>
      </c>
      <c s="19" r="G96">
        <f>D96/E96</f>
        <v>1.085</v>
      </c>
      <c s="26" r="H96">
        <v>0</v>
      </c>
    </row>
    <row r="97">
      <c s="4" r="A97">
        <v>41651</v>
      </c>
      <c t="s" r="C97">
        <v>817</v>
      </c>
      <c r="D97">
        <v>89</v>
      </c>
      <c r="E97">
        <v>60</v>
      </c>
      <c s="26" r="F97">
        <f>D97-E97</f>
        <v>29</v>
      </c>
      <c s="19" r="G97">
        <f>D97/E97</f>
        <v>1.48333333333333</v>
      </c>
      <c s="26" r="H97">
        <v>0</v>
      </c>
    </row>
    <row r="98">
      <c s="4" r="A98">
        <v>41651</v>
      </c>
      <c t="s" r="C98">
        <v>824</v>
      </c>
      <c r="D98">
        <v>217.54</v>
      </c>
      <c r="E98">
        <v>159.53</v>
      </c>
      <c s="26" r="F98">
        <f>D98-E98</f>
        <v>58.01</v>
      </c>
      <c s="19" r="G98">
        <f>D98/E98</f>
        <v>1.36363066507867</v>
      </c>
      <c s="26" r="H98">
        <v>0</v>
      </c>
    </row>
    <row r="99">
      <c s="4" r="A99">
        <v>41651</v>
      </c>
      <c t="s" r="C99">
        <v>537</v>
      </c>
      <c r="D99">
        <v>46</v>
      </c>
      <c r="E99">
        <v>30</v>
      </c>
      <c s="26" r="F99">
        <f>D99-E99</f>
        <v>16</v>
      </c>
      <c s="19" r="G99">
        <f>D99/E99</f>
        <v>1.53333333333333</v>
      </c>
      <c s="26" r="H99">
        <v>0</v>
      </c>
    </row>
    <row r="100">
      <c s="4" r="A100">
        <v>41651</v>
      </c>
      <c t="s" r="C100">
        <v>825</v>
      </c>
      <c r="D100">
        <v>18</v>
      </c>
      <c r="E100">
        <v>16.74</v>
      </c>
      <c s="26" r="F100">
        <f>D100-E100</f>
        <v>1.26</v>
      </c>
      <c s="19" r="G100">
        <f>D100/E100</f>
        <v>1.0752688172043</v>
      </c>
      <c s="26" r="H100">
        <v>0</v>
      </c>
    </row>
    <row r="101">
      <c s="4" r="A101">
        <v>41651</v>
      </c>
      <c t="s" r="C101">
        <v>826</v>
      </c>
      <c r="D101">
        <v>120</v>
      </c>
      <c r="E101">
        <v>97.5</v>
      </c>
      <c s="26" r="F101">
        <f>D101-E101</f>
        <v>22.5</v>
      </c>
      <c s="19" r="G101">
        <f>D101/E101</f>
        <v>1.23076923076923</v>
      </c>
      <c s="26" r="H101">
        <v>0</v>
      </c>
    </row>
    <row r="102">
      <c s="4" r="A102">
        <v>41651</v>
      </c>
      <c t="s" r="C102">
        <v>827</v>
      </c>
      <c r="D102">
        <v>12</v>
      </c>
      <c r="E102">
        <v>9</v>
      </c>
      <c s="26" r="F102">
        <f>D102-E102</f>
        <v>3</v>
      </c>
      <c s="19" r="G102">
        <f>D102/E102</f>
        <v>1.33333333333333</v>
      </c>
      <c s="26" r="H102">
        <v>0</v>
      </c>
    </row>
    <row r="103">
      <c s="4" r="A103">
        <v>41651</v>
      </c>
      <c t="s" r="C103">
        <v>828</v>
      </c>
      <c r="D103">
        <v>99</v>
      </c>
      <c r="E103">
        <v>72</v>
      </c>
      <c s="26" r="F103">
        <f>D103-E103</f>
        <v>27</v>
      </c>
      <c s="19" r="G103">
        <f>D103/E103</f>
        <v>1.375</v>
      </c>
      <c s="26" r="H103">
        <v>0</v>
      </c>
    </row>
    <row r="104">
      <c s="4" r="A104">
        <v>41651</v>
      </c>
      <c t="s" r="C104">
        <v>463</v>
      </c>
      <c r="D104">
        <v>132</v>
      </c>
      <c r="E104">
        <v>99.75</v>
      </c>
      <c s="26" r="F104">
        <f>D104-E104</f>
        <v>32.25</v>
      </c>
      <c s="19" r="G104">
        <f>D104/E104</f>
        <v>1.32330827067669</v>
      </c>
      <c s="26" r="H104">
        <v>0</v>
      </c>
    </row>
    <row r="105">
      <c s="4" r="A105">
        <v>41651</v>
      </c>
      <c t="s" r="C105">
        <v>829</v>
      </c>
      <c r="D105">
        <v>35</v>
      </c>
      <c r="E105">
        <v>3.66</v>
      </c>
      <c s="26" r="F105">
        <f>D105-E105</f>
        <v>31.34</v>
      </c>
      <c s="19" r="G105">
        <f>D105/E105</f>
        <v>9.562841530054639</v>
      </c>
      <c s="26" r="H105">
        <v>0</v>
      </c>
    </row>
    <row r="106">
      <c s="4" r="A106">
        <v>41651</v>
      </c>
      <c t="s" r="C106">
        <v>384</v>
      </c>
      <c r="D106">
        <v>436</v>
      </c>
      <c r="E106">
        <v>400</v>
      </c>
      <c s="26" r="F106">
        <f>D106-E106</f>
        <v>36</v>
      </c>
      <c s="19" r="G106">
        <f>D106/E106</f>
        <v>1.09</v>
      </c>
      <c s="26" r="H106">
        <v>0</v>
      </c>
    </row>
    <row r="107">
      <c s="4" r="A107">
        <v>41651</v>
      </c>
      <c t="s" r="C107">
        <v>698</v>
      </c>
      <c r="D107">
        <v>281</v>
      </c>
      <c r="E107">
        <v>267.84</v>
      </c>
      <c s="26" r="F107">
        <f>D107-E107</f>
        <v>13.16</v>
      </c>
      <c s="19" r="G107">
        <f>D107/E107</f>
        <v>1.04913381123059</v>
      </c>
      <c s="26" r="H107">
        <v>0</v>
      </c>
    </row>
    <row r="108">
      <c s="4" r="A108">
        <v>41652</v>
      </c>
      <c t="s" r="C108">
        <v>691</v>
      </c>
      <c r="D108">
        <v>147</v>
      </c>
      <c r="E108">
        <v>136.8</v>
      </c>
      <c s="26" r="F108">
        <f>D108-E108</f>
        <v>10.2</v>
      </c>
      <c s="19" r="G108">
        <f>D108/E108</f>
        <v>1.07456140350877</v>
      </c>
      <c s="26" r="H108">
        <v>0</v>
      </c>
    </row>
    <row r="109">
      <c s="4" r="A109">
        <v>41652</v>
      </c>
      <c t="s" r="C109">
        <v>818</v>
      </c>
      <c r="D109">
        <v>242</v>
      </c>
      <c r="E109">
        <v>157.5</v>
      </c>
      <c s="26" r="F109">
        <f>D109-E109</f>
        <v>84.5</v>
      </c>
      <c s="19" r="G109">
        <f>D109/E109</f>
        <v>1.53650793650794</v>
      </c>
      <c s="26" r="H109">
        <v>0</v>
      </c>
    </row>
    <row r="110">
      <c s="4" r="A110">
        <v>41652</v>
      </c>
      <c t="s" r="C110">
        <v>818</v>
      </c>
      <c r="D110">
        <v>173</v>
      </c>
      <c r="E110">
        <v>112.5</v>
      </c>
      <c s="26" r="F110">
        <f>D110-E110</f>
        <v>60.5</v>
      </c>
      <c s="19" r="G110">
        <f>D110/E110</f>
        <v>1.53777777777778</v>
      </c>
      <c s="26" r="H110">
        <v>0</v>
      </c>
    </row>
    <row r="111">
      <c s="4" r="A111">
        <v>41652</v>
      </c>
      <c t="s" r="C111">
        <v>470</v>
      </c>
      <c r="D111">
        <v>38</v>
      </c>
      <c r="E111">
        <v>35.1</v>
      </c>
      <c s="26" r="F111">
        <f>D111-E111</f>
        <v>2.9</v>
      </c>
      <c s="19" r="G111">
        <f>D111/E111</f>
        <v>1.08262108262108</v>
      </c>
      <c s="26" r="H111">
        <v>0</v>
      </c>
    </row>
    <row r="112">
      <c s="26" r="F112"/>
      <c s="19" r="G112"/>
      <c s="26" r="H112"/>
    </row>
    <row r="113">
      <c s="26" r="F113"/>
      <c s="19" r="G113"/>
      <c s="26" r="H113"/>
    </row>
    <row r="114">
      <c s="26" r="F114"/>
      <c s="19" r="G114"/>
      <c s="26" r="H114"/>
    </row>
    <row r="115">
      <c s="26" r="F115"/>
      <c s="19" r="G115"/>
      <c s="26" r="H115"/>
    </row>
    <row r="116">
      <c s="26" r="F116"/>
      <c s="19" r="G116"/>
      <c s="26" r="H116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6.0"/>
  </cols>
  <sheetData>
    <row r="1">
      <c t="s" s="21" r="A1">
        <v>830</v>
      </c>
      <c t="s" s="21" r="B1">
        <v>422</v>
      </c>
      <c t="s" s="21" r="C1">
        <v>831</v>
      </c>
      <c t="s" s="21" r="D1">
        <v>832</v>
      </c>
      <c t="s" s="21" r="E1">
        <v>425</v>
      </c>
      <c t="s" s="21" r="F1">
        <v>426</v>
      </c>
      <c s="50" r="G1"/>
      <c s="50" r="H1"/>
      <c s="50" r="I1"/>
      <c s="50" r="J1"/>
      <c s="50" r="K1"/>
    </row>
    <row r="2">
      <c r="A2">
        <v>14</v>
      </c>
      <c t="s" r="B2">
        <v>833</v>
      </c>
      <c t="s" r="C2">
        <v>834</v>
      </c>
      <c r="D2">
        <v>1</v>
      </c>
      <c s="19" r="E2">
        <v>9.014199999999999</v>
      </c>
      <c s="26" r="F2">
        <f> D2*E2</f>
        <v>9.0142</v>
      </c>
    </row>
    <row r="3">
      <c r="A3">
        <v>17</v>
      </c>
      <c t="s" r="B3">
        <v>835</v>
      </c>
      <c t="s" r="C3">
        <v>836</v>
      </c>
      <c r="D3">
        <v>0.72</v>
      </c>
      <c s="19" r="E3">
        <v>10.4133</v>
      </c>
      <c s="26" r="F3">
        <f> D3*E3</f>
        <v>7.497576</v>
      </c>
    </row>
    <row r="4">
      <c r="A4">
        <v>18</v>
      </c>
      <c t="s" r="B4">
        <v>837</v>
      </c>
      <c t="s" r="C4">
        <v>838</v>
      </c>
      <c r="D4">
        <v>0.7</v>
      </c>
      <c s="19" r="E4">
        <v>8.88</v>
      </c>
      <c s="26" r="F4">
        <f> D4*E4</f>
        <v>6.216</v>
      </c>
    </row>
    <row r="5">
      <c r="A5">
        <v>23</v>
      </c>
      <c t="s" r="B5">
        <v>839</v>
      </c>
      <c t="s" r="C5">
        <v>840</v>
      </c>
      <c r="D5">
        <v>0.5</v>
      </c>
      <c s="19" r="E5">
        <v>20.1953</v>
      </c>
      <c s="26" r="F5">
        <f> D5*E5</f>
        <v>10.09765</v>
      </c>
    </row>
    <row r="6">
      <c r="A6">
        <v>34</v>
      </c>
      <c t="s" r="B6">
        <v>841</v>
      </c>
      <c t="s" r="C6">
        <v>842</v>
      </c>
      <c r="D6">
        <v>3</v>
      </c>
      <c s="19" r="E6">
        <v>10.2469</v>
      </c>
      <c s="26" r="F6">
        <f> D6*E6</f>
        <v>30.7407</v>
      </c>
    </row>
    <row r="7">
      <c r="A7">
        <v>41</v>
      </c>
      <c t="s" r="B7">
        <v>841</v>
      </c>
      <c t="s" r="C7">
        <v>843</v>
      </c>
      <c r="D7">
        <v>1.26</v>
      </c>
      <c s="19" r="E7">
        <v>10.2469</v>
      </c>
      <c s="26" r="F7">
        <f> D7*E7</f>
        <v>12.911094</v>
      </c>
    </row>
    <row r="8">
      <c r="A8">
        <v>41</v>
      </c>
      <c t="s" r="B8">
        <v>837</v>
      </c>
      <c t="s" r="C8">
        <v>844</v>
      </c>
      <c r="D8">
        <v>0.78</v>
      </c>
      <c s="19" r="E8">
        <v>9</v>
      </c>
      <c s="26" r="F8">
        <f> D8*E8</f>
        <v>7.02</v>
      </c>
    </row>
    <row r="9">
      <c r="A9">
        <v>46</v>
      </c>
      <c t="s" r="B9">
        <v>845</v>
      </c>
      <c t="s" r="C9">
        <v>846</v>
      </c>
      <c r="D9">
        <v>0.45</v>
      </c>
      <c s="19" r="E9">
        <v>11.5052</v>
      </c>
      <c s="26" r="F9">
        <f> D9*E9</f>
        <v>5.17734</v>
      </c>
    </row>
    <row r="10">
      <c r="A10">
        <v>61</v>
      </c>
      <c t="s" r="B10">
        <v>847</v>
      </c>
      <c t="s" r="C10">
        <v>848</v>
      </c>
      <c r="D10">
        <v>0.31</v>
      </c>
      <c s="19" r="E10">
        <v>20.6771</v>
      </c>
      <c s="26" r="F10">
        <f> D10*E10</f>
        <v>6.409901</v>
      </c>
    </row>
    <row r="11">
      <c r="A11">
        <v>63</v>
      </c>
      <c t="s" r="B11">
        <v>849</v>
      </c>
      <c t="s" r="C11">
        <v>850</v>
      </c>
      <c r="D11">
        <v>0.35</v>
      </c>
      <c s="19" r="E11">
        <v>9.7793</v>
      </c>
      <c s="26" r="F11">
        <f> D11*E11</f>
        <v>3.422755</v>
      </c>
    </row>
    <row r="12">
      <c r="A12">
        <v>64</v>
      </c>
      <c t="s" r="B12">
        <v>851</v>
      </c>
      <c t="s" r="C12">
        <v>852</v>
      </c>
      <c r="D12">
        <v>0.41</v>
      </c>
      <c s="19" r="E12">
        <v>12.2904</v>
      </c>
      <c s="26" r="F12">
        <f> D12*E12</f>
        <v>5.039064</v>
      </c>
    </row>
    <row r="13">
      <c r="A13">
        <v>124</v>
      </c>
      <c t="s" r="B13">
        <v>853</v>
      </c>
      <c t="s" r="C13">
        <v>854</v>
      </c>
      <c r="D13">
        <v>1.15</v>
      </c>
      <c s="19" r="E13">
        <v>10.7874</v>
      </c>
      <c s="26" r="F13">
        <f> D13*E13</f>
        <v>12.40551</v>
      </c>
    </row>
    <row r="14">
      <c r="A14">
        <v>130</v>
      </c>
      <c t="s" r="B14">
        <v>841</v>
      </c>
      <c t="s" r="C14">
        <v>855</v>
      </c>
      <c r="D14">
        <v>0.24</v>
      </c>
      <c s="19" r="E14">
        <v>10.2469</v>
      </c>
      <c s="26" r="F14">
        <f> D14*E14</f>
        <v>2.459256</v>
      </c>
    </row>
    <row r="15">
      <c r="A15">
        <v>131</v>
      </c>
      <c t="s" r="B15">
        <v>856</v>
      </c>
      <c t="s" r="C15">
        <v>857</v>
      </c>
      <c r="D15">
        <v>1.2</v>
      </c>
      <c s="19" r="E15">
        <v>15.9053</v>
      </c>
      <c s="26" r="F15">
        <f> D15*E15</f>
        <v>19.08636</v>
      </c>
    </row>
    <row r="16">
      <c r="A16">
        <v>162</v>
      </c>
      <c t="s" r="B16">
        <v>858</v>
      </c>
      <c t="s" r="C16">
        <v>859</v>
      </c>
      <c r="D16">
        <v>0.61</v>
      </c>
      <c s="19" r="E16">
        <v>12.015</v>
      </c>
      <c s="26" r="F16">
        <f> D16*E16</f>
        <v>7.32915</v>
      </c>
    </row>
    <row r="17">
      <c r="A17">
        <v>163</v>
      </c>
      <c t="s" r="B17">
        <v>851</v>
      </c>
      <c t="s" r="C17">
        <v>860</v>
      </c>
      <c r="D17">
        <v>1.05</v>
      </c>
      <c s="19" r="E17">
        <v>12.2904</v>
      </c>
      <c s="26" r="F17">
        <f> D17*E17</f>
        <v>12.90492</v>
      </c>
    </row>
    <row r="18">
      <c r="A18">
        <v>164</v>
      </c>
      <c t="s" r="B18">
        <v>849</v>
      </c>
      <c t="s" r="C18">
        <v>861</v>
      </c>
      <c r="D18">
        <v>14.38</v>
      </c>
      <c s="19" r="E18">
        <v>9.3204</v>
      </c>
      <c s="26" r="F18">
        <f> D18*E18</f>
        <v>134.027352</v>
      </c>
    </row>
    <row r="19">
      <c r="A19">
        <v>194</v>
      </c>
      <c t="s" r="B19">
        <v>845</v>
      </c>
      <c t="s" r="C19">
        <v>862</v>
      </c>
      <c r="D19">
        <v>1.1</v>
      </c>
      <c s="19" r="E19">
        <v>11.5052</v>
      </c>
      <c s="26" r="F19">
        <f> D19*E19</f>
        <v>12.65572</v>
      </c>
    </row>
    <row r="20">
      <c r="A20">
        <v>227</v>
      </c>
      <c t="s" r="B20">
        <v>863</v>
      </c>
      <c t="s" r="C20">
        <v>864</v>
      </c>
      <c r="D20">
        <v>1.94</v>
      </c>
      <c s="19" r="E20">
        <v>8.4</v>
      </c>
      <c s="26" r="F20">
        <f> D20*E20</f>
        <v>16.296</v>
      </c>
    </row>
    <row r="21">
      <c r="A21">
        <v>241</v>
      </c>
      <c t="s" r="B21">
        <v>847</v>
      </c>
      <c t="s" r="C21">
        <v>865</v>
      </c>
      <c r="D21">
        <v>1.56</v>
      </c>
      <c s="19" r="E21">
        <v>20.6771</v>
      </c>
      <c s="26" r="F21">
        <f> D21*E21</f>
        <v>32.256276</v>
      </c>
    </row>
    <row r="22">
      <c r="A22">
        <v>242</v>
      </c>
      <c t="s" r="B22">
        <v>866</v>
      </c>
      <c t="s" r="C22">
        <v>867</v>
      </c>
      <c r="D22">
        <v>0.13</v>
      </c>
      <c s="19" r="E22">
        <v>8.35</v>
      </c>
      <c s="26" r="F22">
        <f> D22*E22</f>
        <v>1.0855</v>
      </c>
    </row>
    <row r="23">
      <c r="A23">
        <v>263</v>
      </c>
      <c t="s" r="B23">
        <v>849</v>
      </c>
      <c t="s" r="C23">
        <v>868</v>
      </c>
      <c r="D23">
        <v>2.31</v>
      </c>
      <c s="19" r="E23">
        <v>9.3204</v>
      </c>
      <c s="26" r="F23">
        <f> D23*E23</f>
        <v>21.530124</v>
      </c>
    </row>
    <row r="24">
      <c r="A24">
        <v>264</v>
      </c>
      <c t="s" r="B24">
        <v>853</v>
      </c>
      <c t="s" r="C24">
        <v>869</v>
      </c>
      <c r="D24">
        <v>1.3</v>
      </c>
      <c s="19" r="E24">
        <v>10.2469</v>
      </c>
      <c s="26" r="F24">
        <f> D24*E24</f>
        <v>13.32097</v>
      </c>
    </row>
    <row r="25">
      <c r="A25">
        <v>276</v>
      </c>
      <c t="s" r="B25">
        <v>870</v>
      </c>
      <c t="s" r="C25">
        <v>871</v>
      </c>
      <c r="D25">
        <v>1.88</v>
      </c>
      <c s="19" r="E25">
        <v>10.17</v>
      </c>
      <c s="26" r="F25">
        <f> D25*E25</f>
        <v>19.1196</v>
      </c>
    </row>
    <row r="26">
      <c r="A26">
        <v>299</v>
      </c>
      <c t="s" r="B26">
        <v>847</v>
      </c>
      <c t="s" r="C26">
        <v>872</v>
      </c>
      <c r="D26">
        <v>1.51</v>
      </c>
      <c s="19" r="E26">
        <v>20.6771</v>
      </c>
      <c s="26" r="F26">
        <f> D26*E26</f>
        <v>31.222421</v>
      </c>
    </row>
    <row r="27">
      <c r="A27">
        <v>362</v>
      </c>
      <c t="s" r="B27">
        <v>849</v>
      </c>
      <c t="s" r="C27">
        <v>873</v>
      </c>
      <c r="D27">
        <v>1.67</v>
      </c>
      <c s="19" r="E27">
        <v>9.32</v>
      </c>
      <c s="26" r="F27">
        <f> D27*E27</f>
        <v>15.5644</v>
      </c>
    </row>
    <row r="28">
      <c r="A28">
        <v>410</v>
      </c>
      <c t="s" r="B28">
        <v>851</v>
      </c>
      <c t="s" r="C28">
        <v>874</v>
      </c>
      <c r="D28">
        <v>5.62</v>
      </c>
      <c s="19" r="E28">
        <v>12.2</v>
      </c>
      <c s="26" r="F28">
        <f> D28*E28</f>
        <v>68.564</v>
      </c>
    </row>
    <row r="29">
      <c r="A29">
        <v>418</v>
      </c>
      <c t="s" r="B29">
        <v>875</v>
      </c>
      <c t="s" r="C29">
        <v>876</v>
      </c>
      <c r="D29">
        <v>6.44</v>
      </c>
      <c s="19" r="E29">
        <v>12.3</v>
      </c>
      <c s="26" r="F29">
        <f> D29*E29</f>
        <v>79.212</v>
      </c>
    </row>
    <row r="30">
      <c r="A30">
        <v>424</v>
      </c>
      <c t="s" r="B30">
        <v>851</v>
      </c>
      <c t="s" r="C30">
        <v>877</v>
      </c>
      <c r="D30">
        <v>10.5</v>
      </c>
      <c s="19" r="E30">
        <v>12.2</v>
      </c>
      <c s="26" r="F30">
        <f> D30*E30</f>
        <v>128.1</v>
      </c>
    </row>
    <row r="31">
      <c r="A31">
        <v>431</v>
      </c>
      <c t="s" r="B31">
        <v>878</v>
      </c>
      <c t="s" r="C31">
        <v>879</v>
      </c>
      <c r="D31">
        <v>0.52</v>
      </c>
      <c s="19" r="E31">
        <v>20</v>
      </c>
      <c s="26" r="F31">
        <f> D31*E31</f>
        <v>10.4</v>
      </c>
    </row>
    <row r="32">
      <c r="A32">
        <v>487</v>
      </c>
      <c t="s" r="B32">
        <v>856</v>
      </c>
      <c t="s" r="C32">
        <v>880</v>
      </c>
      <c r="D32">
        <v>1.26</v>
      </c>
      <c s="19" r="E32">
        <v>15.9053</v>
      </c>
      <c s="26" r="F32">
        <f> D32*E32</f>
        <v>20.040678</v>
      </c>
    </row>
    <row r="33">
      <c r="A33">
        <v>496</v>
      </c>
      <c t="s" r="B33">
        <v>851</v>
      </c>
      <c t="s" r="C33">
        <v>881</v>
      </c>
      <c r="D33">
        <v>12.06</v>
      </c>
      <c s="19" r="E33">
        <v>12.6</v>
      </c>
      <c s="26" r="F33">
        <f> D33*E33</f>
        <v>151.956</v>
      </c>
    </row>
    <row r="34">
      <c r="A34">
        <v>510</v>
      </c>
      <c t="s" r="B34">
        <v>847</v>
      </c>
      <c t="s" r="C34">
        <v>882</v>
      </c>
      <c r="D34">
        <v>0.54</v>
      </c>
      <c s="19" r="E34">
        <v>22</v>
      </c>
      <c s="26" r="F34">
        <f> D34*E34</f>
        <v>11.88</v>
      </c>
    </row>
    <row r="35">
      <c r="A35">
        <v>554</v>
      </c>
      <c t="s" r="B35">
        <v>851</v>
      </c>
      <c t="s" r="C35">
        <v>883</v>
      </c>
      <c r="D35">
        <v>52.5</v>
      </c>
      <c s="19" r="E35">
        <v>11.75</v>
      </c>
      <c s="26" r="F35">
        <f> D35*E35</f>
        <v>616.875</v>
      </c>
    </row>
    <row r="36">
      <c r="A36">
        <v>581</v>
      </c>
      <c t="s" r="B36">
        <v>849</v>
      </c>
      <c t="s" r="C36">
        <v>884</v>
      </c>
      <c r="D36">
        <v>1.74</v>
      </c>
      <c s="19" r="E36">
        <v>11.3</v>
      </c>
      <c s="26" r="F36">
        <f> D36*E36</f>
        <v>19.662</v>
      </c>
    </row>
    <row r="37">
      <c r="A37">
        <v>670</v>
      </c>
      <c t="s" r="B37">
        <v>837</v>
      </c>
      <c t="s" r="C37">
        <v>885</v>
      </c>
      <c r="D37">
        <v>1.3</v>
      </c>
      <c s="19" r="E37">
        <v>9</v>
      </c>
      <c s="26" r="F37">
        <f> D37*E37</f>
        <v>11.7</v>
      </c>
    </row>
    <row r="38">
      <c r="A38">
        <v>676</v>
      </c>
      <c t="s" r="B38">
        <v>870</v>
      </c>
      <c t="s" r="C38">
        <v>886</v>
      </c>
      <c r="D38">
        <v>1.69</v>
      </c>
      <c s="19" r="E38">
        <v>14.51</v>
      </c>
      <c s="26" r="F38">
        <f> D38*E38</f>
        <v>24.5219</v>
      </c>
    </row>
    <row r="39">
      <c r="A39">
        <v>818</v>
      </c>
      <c t="s" r="B39">
        <v>866</v>
      </c>
      <c t="s" r="C39">
        <v>887</v>
      </c>
      <c r="D39">
        <v>2.33</v>
      </c>
      <c s="19" r="E39">
        <v>10</v>
      </c>
      <c s="26" r="F39">
        <f> D39*E39</f>
        <v>23.3</v>
      </c>
    </row>
    <row r="40">
      <c r="A40">
        <v>823</v>
      </c>
      <c t="s" r="B40">
        <v>845</v>
      </c>
      <c t="s" r="C40">
        <v>888</v>
      </c>
      <c r="D40">
        <v>6.5</v>
      </c>
      <c s="19" r="E40">
        <v>13.5</v>
      </c>
      <c s="26" r="F40">
        <f> D40*E40</f>
        <v>87.75</v>
      </c>
    </row>
    <row r="41">
      <c r="A41">
        <v>825</v>
      </c>
      <c t="s" r="B41">
        <v>837</v>
      </c>
      <c t="s" r="C41">
        <v>889</v>
      </c>
      <c r="D41">
        <v>5.78</v>
      </c>
      <c s="19" r="E41">
        <v>11.6</v>
      </c>
      <c s="26" r="F41">
        <f> D41*E41</f>
        <v>67.048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4.0"/>
    <col min="2" customWidth="1" max="2" width="4.14"/>
  </cols>
  <sheetData>
    <row r="1">
      <c t="s" s="21" r="A1">
        <v>314</v>
      </c>
      <c t="s" s="21" r="B1">
        <v>890</v>
      </c>
      <c t="s" s="49" r="C1">
        <v>832</v>
      </c>
      <c t="s" s="49" r="D1">
        <v>891</v>
      </c>
      <c t="s" s="48" r="E1">
        <v>892</v>
      </c>
      <c t="s" s="48" r="F1">
        <v>17</v>
      </c>
    </row>
    <row r="2">
      <c t="s" s="30" r="A2">
        <v>15</v>
      </c>
      <c s="30" r="B2"/>
      <c s="32" r="C2">
        <v>2670</v>
      </c>
      <c s="32" r="D2">
        <f>E2-C2</f>
        <v>4989</v>
      </c>
      <c s="14" r="E2">
        <v>7659</v>
      </c>
      <c s="14" r="F2">
        <f>#REF!</f>
        <v>0</v>
      </c>
    </row>
    <row r="3">
      <c t="s" s="30" r="A3">
        <v>893</v>
      </c>
      <c s="30" r="B3">
        <v>6.1</v>
      </c>
      <c s="32" r="C3">
        <v>2747</v>
      </c>
      <c s="32" r="D3">
        <v>15999</v>
      </c>
      <c s="14" r="E3">
        <f>C3+D3</f>
        <v>18746</v>
      </c>
      <c s="14" r="F3">
        <f>#REF!</f>
        <v>0</v>
      </c>
    </row>
    <row r="4">
      <c t="s" s="30" r="A4">
        <v>894</v>
      </c>
      <c t="s" s="30" r="B4">
        <v>895</v>
      </c>
      <c s="32" r="C4">
        <v>564</v>
      </c>
      <c s="32" r="D4">
        <f>E4-C4</f>
        <v>18436</v>
      </c>
      <c s="14" r="E4">
        <v>19000</v>
      </c>
      <c s="14" r="F4">
        <f>#REF!</f>
        <v>0</v>
      </c>
    </row>
    <row r="5">
      <c t="s" s="30" r="A5">
        <v>896</v>
      </c>
      <c s="30" r="B5"/>
      <c s="32" r="C5">
        <v>251.75</v>
      </c>
      <c s="32" r="D5">
        <v>13.87</v>
      </c>
      <c s="14" r="E5">
        <f>C5+D5</f>
        <v>265.62</v>
      </c>
      <c s="14" r="F5">
        <f>#REF!</f>
        <v>0</v>
      </c>
    </row>
    <row r="6">
      <c t="s" s="30" r="A6">
        <v>896</v>
      </c>
      <c s="30" r="B6"/>
      <c s="32" r="C6">
        <v>251.75</v>
      </c>
      <c s="32" r="D6">
        <v>13.87</v>
      </c>
      <c s="14" r="E6">
        <f>C6+D6</f>
        <v>265.62</v>
      </c>
      <c s="14" r="F6">
        <f>#REF!</f>
        <v>0</v>
      </c>
    </row>
    <row r="7">
      <c t="s" s="30" r="A7">
        <v>897</v>
      </c>
      <c s="30" r="B7"/>
      <c s="32" r="C7">
        <v>187</v>
      </c>
      <c s="32" r="D7">
        <v>9.56</v>
      </c>
      <c s="14" r="E7">
        <f>C7+D7</f>
        <v>196.56</v>
      </c>
      <c s="14" r="F7">
        <f>#REF!</f>
        <v>0</v>
      </c>
    </row>
    <row r="8">
      <c t="s" s="30" r="A8">
        <v>898</v>
      </c>
      <c s="30" r="B8"/>
      <c s="32" r="C8">
        <v>123</v>
      </c>
      <c s="32" r="D8">
        <v>84.86</v>
      </c>
      <c s="14" r="E8">
        <f>C8+D8</f>
        <v>207.86</v>
      </c>
      <c s="14" r="F8">
        <f>#REF!</f>
        <v>0</v>
      </c>
    </row>
    <row r="9">
      <c t="s" s="30" r="A9">
        <v>899</v>
      </c>
      <c s="30" r="B9"/>
      <c s="32" r="C9">
        <v>60</v>
      </c>
      <c s="32" r="D9">
        <v>2000</v>
      </c>
      <c s="14" r="E9">
        <f>C9+D9</f>
        <v>2060</v>
      </c>
      <c s="14" r="F9">
        <f>#REF!</f>
        <v>0</v>
      </c>
    </row>
    <row r="10">
      <c t="s" s="30" r="A10">
        <v>900</v>
      </c>
      <c s="30" r="B10"/>
      <c s="32" r="C10">
        <v>45</v>
      </c>
      <c s="32" r="D10">
        <v>6.81</v>
      </c>
      <c s="14" r="E10">
        <f>C10+D10</f>
        <v>51.81</v>
      </c>
      <c s="14" r="F10">
        <f>#REF!</f>
        <v>0</v>
      </c>
    </row>
    <row r="11">
      <c t="s" s="30" r="A11">
        <v>901</v>
      </c>
      <c s="30" r="B11"/>
      <c s="32" r="C11">
        <v>4.85</v>
      </c>
      <c s="32" r="D11">
        <v>1.15</v>
      </c>
      <c s="14" r="E11">
        <f>C11+D11</f>
        <v>6</v>
      </c>
      <c s="14" r="F11">
        <f>#REF!</f>
        <v>0</v>
      </c>
    </row>
    <row r="12">
      <c t="s" s="30" r="A12">
        <v>902</v>
      </c>
      <c s="30" r="B12"/>
      <c s="32" r="C12">
        <v>17.5</v>
      </c>
      <c s="32" r="D12">
        <v>1</v>
      </c>
      <c s="14" r="E12">
        <f>C12+D12</f>
        <v>18.5</v>
      </c>
      <c s="14" r="F12">
        <f>#REF!</f>
        <v>0</v>
      </c>
    </row>
    <row r="13">
      <c t="s" s="30" r="A13">
        <v>903</v>
      </c>
      <c s="30" r="B13"/>
      <c s="32" r="C13">
        <v>15</v>
      </c>
      <c s="32" r="D13">
        <v>1</v>
      </c>
      <c s="14" r="E13">
        <f>C13+D13</f>
        <v>16</v>
      </c>
      <c s="14" r="F13">
        <f>#REF!</f>
        <v>0</v>
      </c>
    </row>
    <row r="14">
      <c t="s" s="30" r="A14">
        <v>904</v>
      </c>
      <c s="30" r="B14">
        <v>3.6</v>
      </c>
      <c s="32" r="C14">
        <v>130</v>
      </c>
      <c s="32" r="D14">
        <v>401</v>
      </c>
      <c s="14" r="E14">
        <f>C14+D14</f>
        <v>531</v>
      </c>
      <c s="14" r="F14">
        <f>#REF!</f>
        <v>0</v>
      </c>
    </row>
    <row r="15">
      <c t="s" s="30" r="A15">
        <v>905</v>
      </c>
      <c s="30" r="B15"/>
      <c s="32" r="C15">
        <v>2.99</v>
      </c>
      <c s="32" r="D15">
        <f>SUMIF(Hunting!$C$2:$C$10073, $A14, Hunting!$N$2:$N$10073)</f>
        <v>0</v>
      </c>
      <c s="14" r="E15">
        <f>C15+D15</f>
        <v>2.99</v>
      </c>
      <c s="14" r="F15">
        <f>#REF!</f>
        <v>0</v>
      </c>
    </row>
    <row r="16">
      <c t="s" s="30" r="A16">
        <v>906</v>
      </c>
      <c s="30" r="B16"/>
      <c s="32" r="C16">
        <v>25</v>
      </c>
      <c s="32" r="D16">
        <v>3.84</v>
      </c>
      <c s="14" r="E16">
        <f>C16+D16</f>
        <v>28.84</v>
      </c>
      <c s="14" r="F16">
        <f>#REF!</f>
        <v>0</v>
      </c>
    </row>
    <row r="17">
      <c t="s" s="30" r="A17">
        <v>907</v>
      </c>
      <c s="30" r="B17"/>
      <c s="32" r="C17">
        <v>25</v>
      </c>
      <c s="32" r="D17">
        <v>47.74</v>
      </c>
      <c s="14" r="E17">
        <f>C17+D17</f>
        <v>72.74</v>
      </c>
      <c s="14" r="F17">
        <f>#REF!</f>
        <v>0</v>
      </c>
    </row>
    <row r="18">
      <c t="s" s="30" r="A18">
        <v>908</v>
      </c>
      <c s="30" r="B18"/>
      <c s="32" r="C18">
        <v>35</v>
      </c>
      <c s="32" r="D18">
        <v>6.48</v>
      </c>
      <c s="14" r="E18">
        <f>C18+D18</f>
        <v>41.48</v>
      </c>
      <c s="14" r="F18">
        <f>#REF!</f>
        <v>0</v>
      </c>
    </row>
    <row r="19">
      <c t="s" s="30" r="A19">
        <v>909</v>
      </c>
      <c s="30" r="B19">
        <v>0.5</v>
      </c>
      <c s="32" r="C19">
        <v>3.85</v>
      </c>
      <c s="32" r="D19">
        <v>1.15</v>
      </c>
      <c s="14" r="E19">
        <f>C19+D19</f>
        <v>5</v>
      </c>
      <c s="14" r="F19">
        <f>#REF!</f>
        <v>0</v>
      </c>
    </row>
    <row r="20">
      <c t="s" s="30" r="A20">
        <v>910</v>
      </c>
      <c s="30" r="B20"/>
      <c s="32" r="C20">
        <v>10</v>
      </c>
      <c s="32" r="D20">
        <v>1</v>
      </c>
      <c s="14" r="E20">
        <f>C20+D20</f>
        <v>11</v>
      </c>
      <c s="14" r="F20">
        <f>#REF!</f>
        <v>0</v>
      </c>
    </row>
    <row r="21">
      <c t="s" s="30" r="A21">
        <v>911</v>
      </c>
      <c s="30" r="B21"/>
      <c s="32" r="C21">
        <v>3.8</v>
      </c>
      <c s="32" r="D21">
        <v>1.2</v>
      </c>
      <c s="14" r="E21">
        <f>C21+D21</f>
        <v>5</v>
      </c>
      <c s="14" r="F21">
        <f>#REF!</f>
        <v>0</v>
      </c>
    </row>
    <row r="22">
      <c t="s" s="30" r="A22">
        <v>906</v>
      </c>
      <c s="30" r="B22"/>
      <c s="32" r="C22">
        <v>25</v>
      </c>
      <c s="32" r="D22">
        <v>3.84</v>
      </c>
      <c s="14" r="E22">
        <f>C22+D22</f>
        <v>28.84</v>
      </c>
      <c s="14" r="F22">
        <f>#REF!</f>
        <v>0</v>
      </c>
    </row>
    <row r="23">
      <c s="30" r="A23"/>
      <c s="30" r="B23"/>
      <c s="32" r="C23"/>
      <c s="32" r="D23"/>
      <c s="14" r="E23"/>
      <c s="14" r="F23"/>
    </row>
    <row r="24">
      <c t="s" s="30" r="A24">
        <v>912</v>
      </c>
      <c s="30" r="B24">
        <v>1.5</v>
      </c>
      <c s="32" r="C24">
        <v>120</v>
      </c>
      <c s="32" r="D24">
        <v>50</v>
      </c>
      <c s="14" r="E24">
        <f>C24+D24</f>
        <v>170</v>
      </c>
      <c s="14" r="F24">
        <f>#REF!</f>
        <v>0</v>
      </c>
    </row>
    <row r="25">
      <c t="s" s="30" r="A25">
        <v>913</v>
      </c>
      <c s="30" r="B25">
        <v>1.2</v>
      </c>
      <c s="32" r="C25">
        <v>80</v>
      </c>
      <c s="32" r="D25">
        <v>41.36</v>
      </c>
      <c s="14" r="E25">
        <f>C25+D25</f>
        <v>121.36</v>
      </c>
      <c s="14" r="F25">
        <f>#REF!</f>
        <v>0</v>
      </c>
    </row>
    <row r="26">
      <c t="s" s="30" r="A26">
        <v>914</v>
      </c>
      <c s="30" r="B26">
        <v>4</v>
      </c>
      <c s="32" r="C26">
        <v>82</v>
      </c>
      <c s="32" r="D26">
        <v>122.9</v>
      </c>
      <c s="14" r="E26">
        <f>C26+D26</f>
        <v>204.9</v>
      </c>
      <c s="14" r="F26">
        <f>#REF!</f>
        <v>0</v>
      </c>
    </row>
    <row r="27">
      <c t="s" s="30" r="A27">
        <v>915</v>
      </c>
      <c s="30" r="B27"/>
      <c s="32" r="C27">
        <v>34</v>
      </c>
      <c s="32" r="D27">
        <v>3.09</v>
      </c>
      <c s="14" r="E27">
        <f>C27+D27</f>
        <v>37.09</v>
      </c>
      <c s="14" r="F27">
        <f>#REF!</f>
        <v>0</v>
      </c>
    </row>
    <row r="28">
      <c t="s" s="30" r="A28">
        <v>916</v>
      </c>
      <c s="30" r="B28">
        <v>2</v>
      </c>
      <c s="32" r="C28">
        <v>44</v>
      </c>
      <c s="32" r="D28">
        <f>E28-C28</f>
        <v>6956</v>
      </c>
      <c s="14" r="E28">
        <v>7000</v>
      </c>
      <c s="14" r="F28">
        <f>#REF!</f>
        <v>0</v>
      </c>
    </row>
    <row r="29">
      <c t="s" s="53" r="A29">
        <v>917</v>
      </c>
      <c s="53" r="B29"/>
      <c s="73" r="C29">
        <v>2.5</v>
      </c>
      <c s="73" r="D29">
        <v>1</v>
      </c>
      <c s="1" r="E29">
        <f>C29+D29</f>
        <v>3.5</v>
      </c>
      <c s="1" r="F29">
        <f>#REF!</f>
        <v>0</v>
      </c>
    </row>
    <row r="30">
      <c s="11" r="A30"/>
      <c s="47" r="B30"/>
      <c s="6" r="C30">
        <f>SUM(C1:C29)</f>
        <v>7559.99</v>
      </c>
      <c s="6" r="D30">
        <f>SUM(D1:D29)</f>
        <v>49196.72</v>
      </c>
      <c s="13" r="E30">
        <f>SUM(E1:E29)</f>
        <v>56756.71</v>
      </c>
      <c s="13" r="F30">
        <f>SUM(F1:F29)</f>
        <v>0</v>
      </c>
    </row>
    <row r="31">
      <c s="30" r="A31"/>
      <c s="79" r="C31"/>
      <c s="79" r="D31"/>
      <c s="20" r="E31"/>
      <c s="17" r="F3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38.86"/>
    <col min="2" customWidth="1" max="2" width="8.57"/>
    <col min="3" customWidth="1" max="3" width="9.0"/>
    <col min="4" customWidth="1" max="4" width="9.43"/>
    <col min="5" customWidth="1" max="5" width="13.57"/>
    <col min="6" customWidth="1" max="6" width="10.57"/>
    <col min="8" customWidth="1" max="8" width="11.57"/>
    <col min="9" customWidth="1" max="9" width="10.71"/>
    <col min="10" customWidth="1" max="11" width="8.0"/>
    <col min="13" customWidth="1" max="13" width="7.71"/>
    <col min="14" customWidth="1" max="14" width="8.14"/>
    <col min="15" customWidth="1" max="15" width="8.57"/>
  </cols>
  <sheetData>
    <row r="1">
      <c s="77" r="Q1"/>
      <c s="77" r="R1"/>
      <c s="77" r="S1"/>
      <c s="77" r="T1"/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5" customWidth="1" max="5" width="9.86"/>
  </cols>
  <sheetData>
    <row r="1">
      <c t="s" s="21" r="A1">
        <v>918</v>
      </c>
      <c t="s" s="21" r="B1">
        <v>919</v>
      </c>
      <c t="s" r="D1">
        <v>920</v>
      </c>
      <c s="61" r="E1">
        <f> E9/(E7 + (E7 * 0.02))</f>
        <v>491.926182237601</v>
      </c>
      <c t="s" r="H1">
        <v>921</v>
      </c>
      <c s="26" r="I1">
        <f>(((((((((((125425+20968)+26476)+24114)+5054)+19748)+10238)+25330)+14976)+2269)+3356)+12414)+21119</f>
        <v>311487</v>
      </c>
    </row>
    <row r="2">
      <c r="A2">
        <v>17</v>
      </c>
      <c r="B2">
        <v>7927</v>
      </c>
      <c t="s" s="26" r="D2">
        <v>922</v>
      </c>
      <c s="61" r="E2">
        <f> E9/E7</f>
        <v>501.764705882353</v>
      </c>
      <c t="s" r="H2">
        <v>923</v>
      </c>
      <c s="26" r="I2">
        <v>15000000</v>
      </c>
    </row>
    <row r="3">
      <c r="A3">
        <v>18</v>
      </c>
      <c r="B3">
        <v>536</v>
      </c>
      <c t="s" r="H3">
        <v>924</v>
      </c>
      <c r="I3">
        <v>15</v>
      </c>
    </row>
    <row r="4">
      <c r="A4">
        <v>19</v>
      </c>
      <c r="B4">
        <f>(270*2)+10</f>
        <v>550</v>
      </c>
      <c t="s" s="26" r="D4">
        <v>925</v>
      </c>
      <c s="26" r="E4">
        <f>E2*30</f>
        <v>15052.9411764706</v>
      </c>
      <c t="s" r="H4">
        <v>922</v>
      </c>
      <c s="26" r="I4">
        <f>I1/I3</f>
        <v>20765.8</v>
      </c>
    </row>
    <row r="5">
      <c r="A5">
        <v>20</v>
      </c>
      <c r="B5">
        <v>532</v>
      </c>
      <c t="s" r="D5">
        <v>926</v>
      </c>
      <c s="26" r="E5">
        <f>E1*30</f>
        <v>14757.785467128</v>
      </c>
      <c t="s" r="H5">
        <v>927</v>
      </c>
      <c s="19" r="I5">
        <f>I1/I2</f>
        <v>0.0207658</v>
      </c>
    </row>
    <row r="6">
      <c r="A6">
        <v>21</v>
      </c>
      <c r="B6">
        <v>528</v>
      </c>
    </row>
    <row r="7">
      <c r="A7">
        <v>22</v>
      </c>
      <c r="B7">
        <v>530</v>
      </c>
      <c t="s" s="26" r="D7">
        <v>928</v>
      </c>
      <c s="26" r="E7">
        <f>MAX(A2:A500)</f>
        <v>34</v>
      </c>
      <c t="s" r="H7">
        <v>929</v>
      </c>
      <c s="26" r="I7">
        <f>(I2-I1)/I4</f>
        <v>707.341542343661</v>
      </c>
    </row>
    <row r="8">
      <c r="A8">
        <v>23</v>
      </c>
      <c r="B8">
        <v>540</v>
      </c>
      <c s="26" r="D8"/>
      <c s="26" r="E8"/>
    </row>
    <row r="9">
      <c r="A9">
        <v>24</v>
      </c>
      <c r="B9">
        <f>(264*2)+10</f>
        <v>538</v>
      </c>
      <c t="s" s="26" r="D9">
        <v>930</v>
      </c>
      <c s="26" r="E9">
        <f> SUM(B2:B50)</f>
        <v>17060</v>
      </c>
    </row>
    <row r="10">
      <c r="A10">
        <v>25</v>
      </c>
      <c r="B10">
        <v>524</v>
      </c>
      <c s="26" r="D10"/>
      <c s="26" r="E10"/>
    </row>
    <row r="11">
      <c r="A11">
        <v>26</v>
      </c>
      <c r="B11">
        <f>(268*2)+10</f>
        <v>546</v>
      </c>
      <c s="26" r="D11"/>
      <c s="26" r="E11"/>
    </row>
    <row r="12">
      <c r="A12">
        <v>27</v>
      </c>
      <c r="B12">
        <f>(270*2)+10</f>
        <v>550</v>
      </c>
      <c s="26" r="D12"/>
      <c s="26" r="E12"/>
    </row>
    <row r="13">
      <c r="A13">
        <v>28</v>
      </c>
      <c r="B13">
        <f>(268*2)+10</f>
        <v>546</v>
      </c>
      <c s="26" r="D13"/>
      <c s="26" r="E13"/>
    </row>
    <row r="14">
      <c r="A14">
        <v>29</v>
      </c>
      <c r="B14">
        <f>(268*2)+10</f>
        <v>546</v>
      </c>
      <c s="26" r="D14"/>
      <c s="26" r="E14"/>
    </row>
    <row r="15">
      <c r="A15">
        <v>30</v>
      </c>
      <c r="B15">
        <f>(264*2)+10</f>
        <v>538</v>
      </c>
      <c s="26" r="D15"/>
      <c s="26" r="E15"/>
    </row>
    <row r="16">
      <c r="A16">
        <v>31</v>
      </c>
      <c r="B16">
        <v>539</v>
      </c>
    </row>
    <row r="17">
      <c r="A17">
        <v>32</v>
      </c>
      <c r="B17">
        <f>(267*2)+10</f>
        <v>544</v>
      </c>
    </row>
    <row r="18">
      <c r="A18">
        <v>33</v>
      </c>
      <c r="B18">
        <f>(267*2)+10</f>
        <v>544</v>
      </c>
    </row>
    <row r="19">
      <c r="A19">
        <v>34</v>
      </c>
      <c r="B19">
        <f>251*2</f>
        <v>502</v>
      </c>
    </row>
  </sheetData>
</worksheet>
</file>