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tomicstorm\Documents\"/>
    </mc:Choice>
  </mc:AlternateContent>
  <xr:revisionPtr revIDLastSave="0" documentId="8_{E5A54C96-4ED2-4409-9C10-B33AD78B168C}" xr6:coauthVersionLast="45" xr6:coauthVersionMax="45" xr10:uidLastSave="{00000000-0000-0000-0000-000000000000}"/>
  <bookViews>
    <workbookView xWindow="3060" yWindow="1665" windowWidth="21600" windowHeight="11385" tabRatio="719" xr2:uid="{00000000-000D-0000-FFFF-FFFF00000000}"/>
  </bookViews>
  <sheets>
    <sheet name="StatSheet" sheetId="7" r:id="rId1"/>
    <sheet name="MiningTools" sheetId="23" r:id="rId2"/>
    <sheet name="Mining" sheetId="25" r:id="rId3"/>
    <sheet name="Improvements" sheetId="18" r:id="rId4"/>
    <sheet name="Inputs" sheetId="19" r:id="rId5"/>
    <sheet name="Creatures" sheetId="12" r:id="rId6"/>
    <sheet name="Weapon" sheetId="5" r:id="rId7"/>
    <sheet name="Aux" sheetId="14" r:id="rId8"/>
    <sheet name="Pills" sheetId="3" r:id="rId9"/>
    <sheet name="LRings" sheetId="9" r:id="rId10"/>
    <sheet name="RRings" sheetId="4" r:id="rId11"/>
    <sheet name="Amps" sheetId="6" r:id="rId12"/>
    <sheet name="Misc" sheetId="8" r:id="rId13"/>
    <sheet name="Sights" sheetId="11" r:id="rId14"/>
    <sheet name="Scope" sheetId="10" r:id="rId15"/>
    <sheet name="combo-imk2data" sheetId="16" state="hidden" r:id="rId16"/>
  </sheets>
  <definedNames>
    <definedName name="_xlnm._FilterDatabase" localSheetId="11" hidden="1">Amps!$A$1:$D$1</definedName>
    <definedName name="_xlnm._FilterDatabase" localSheetId="6" hidden="1">Weapon!$A$1:$I$1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23" l="1"/>
  <c r="B26" i="23"/>
  <c r="K26" i="23" s="1"/>
  <c r="E3" i="23"/>
  <c r="J26" i="23" s="1"/>
  <c r="L26" i="23" s="1"/>
  <c r="D3" i="23"/>
  <c r="C3" i="23"/>
  <c r="G5" i="23"/>
  <c r="G4" i="23"/>
  <c r="F4" i="23"/>
  <c r="J29" i="23" s="1"/>
  <c r="E4" i="23"/>
  <c r="J27" i="23" s="1"/>
  <c r="D4" i="23"/>
  <c r="F27" i="23" s="1"/>
  <c r="C4" i="23"/>
  <c r="B27" i="23" s="1"/>
  <c r="E5" i="23"/>
  <c r="D5" i="23"/>
  <c r="C5" i="23"/>
  <c r="B28" i="23" s="1"/>
  <c r="G27" i="23" l="1"/>
  <c r="H27" i="23" s="1"/>
  <c r="C27" i="23"/>
  <c r="K27" i="23"/>
  <c r="L27" i="23"/>
  <c r="C26" i="23"/>
  <c r="G26" i="23"/>
  <c r="H26" i="23" s="1"/>
  <c r="B29" i="23"/>
  <c r="F29" i="23"/>
  <c r="G28" i="23"/>
  <c r="K28" i="23"/>
  <c r="C28" i="23"/>
  <c r="F28" i="23"/>
  <c r="J28" i="23"/>
  <c r="D26" i="23"/>
  <c r="D27" i="23"/>
  <c r="B32" i="23"/>
  <c r="C9" i="23"/>
  <c r="D9" i="23"/>
  <c r="C10" i="23"/>
  <c r="D10" i="23"/>
  <c r="D14" i="23"/>
  <c r="G24" i="18"/>
  <c r="E13" i="18"/>
  <c r="E10" i="18"/>
  <c r="E11" i="18"/>
  <c r="E15" i="18"/>
  <c r="E16" i="18"/>
  <c r="E17" i="18"/>
  <c r="E14" i="18"/>
  <c r="E8" i="18"/>
  <c r="E20" i="18" s="1"/>
  <c r="E3" i="18"/>
  <c r="E37" i="18" s="1"/>
  <c r="E3" i="7"/>
  <c r="G7" i="19" s="1"/>
  <c r="F13" i="18"/>
  <c r="F10" i="18"/>
  <c r="F11" i="18"/>
  <c r="F15" i="18"/>
  <c r="F16" i="18"/>
  <c r="F17" i="18"/>
  <c r="F14" i="18"/>
  <c r="F8" i="18"/>
  <c r="F20" i="18" s="1"/>
  <c r="F3" i="18"/>
  <c r="E36" i="18" s="1"/>
  <c r="D13" i="18"/>
  <c r="D10" i="18"/>
  <c r="D11" i="18"/>
  <c r="D14" i="18"/>
  <c r="D8" i="18"/>
  <c r="D20" i="18" s="1"/>
  <c r="B34" i="7"/>
  <c r="C13" i="7" s="1"/>
  <c r="G15" i="18"/>
  <c r="G16" i="18"/>
  <c r="G17" i="18"/>
  <c r="F6" i="19"/>
  <c r="E24" i="18" s="1"/>
  <c r="D25" i="18"/>
  <c r="C3" i="18"/>
  <c r="D3" i="18"/>
  <c r="D26" i="18"/>
  <c r="C4" i="18"/>
  <c r="D4" i="18"/>
  <c r="G24" i="7"/>
  <c r="E29" i="7" s="1"/>
  <c r="F3" i="7"/>
  <c r="E36" i="7" s="1"/>
  <c r="F36" i="7" s="1"/>
  <c r="E10" i="7"/>
  <c r="E11" i="7"/>
  <c r="E13" i="7"/>
  <c r="E14" i="7"/>
  <c r="E15" i="7"/>
  <c r="E16" i="7"/>
  <c r="E17" i="7"/>
  <c r="E8" i="7"/>
  <c r="E20" i="7" s="1"/>
  <c r="F10" i="7"/>
  <c r="F11" i="7"/>
  <c r="F13" i="7"/>
  <c r="F14" i="7"/>
  <c r="F15" i="7"/>
  <c r="F16" i="7"/>
  <c r="F17" i="7"/>
  <c r="F8" i="7"/>
  <c r="F20" i="7" s="1"/>
  <c r="C3" i="7"/>
  <c r="D3" i="7"/>
  <c r="C4" i="7"/>
  <c r="D4" i="7"/>
  <c r="G15" i="7"/>
  <c r="G16" i="7"/>
  <c r="G17" i="7"/>
  <c r="D10" i="7"/>
  <c r="D11" i="7"/>
  <c r="D13" i="7"/>
  <c r="D14" i="7"/>
  <c r="D8" i="7"/>
  <c r="D20" i="7" s="1"/>
  <c r="I8" i="19"/>
  <c r="I7" i="19"/>
  <c r="B41" i="18"/>
  <c r="F15" i="19"/>
  <c r="F24" i="19" s="1"/>
  <c r="F25" i="19" s="1"/>
  <c r="H11" i="19"/>
  <c r="F11" i="19"/>
  <c r="F4" i="19"/>
  <c r="B12" i="19" s="1"/>
  <c r="B30" i="7"/>
  <c r="B29" i="7"/>
  <c r="B35" i="7"/>
  <c r="D4" i="11"/>
  <c r="D3" i="11"/>
  <c r="E30" i="7" l="1"/>
  <c r="B30" i="18" s="1"/>
  <c r="E29" i="18"/>
  <c r="E30" i="18"/>
  <c r="B15" i="19"/>
  <c r="B16" i="19"/>
  <c r="B14" i="19"/>
  <c r="B13" i="19"/>
  <c r="E19" i="7"/>
  <c r="E21" i="7" s="1"/>
  <c r="E35" i="7" s="1"/>
  <c r="F19" i="18"/>
  <c r="F21" i="18" s="1"/>
  <c r="E38" i="18" s="1"/>
  <c r="E26" i="7"/>
  <c r="F26" i="7" s="1"/>
  <c r="E24" i="7"/>
  <c r="F24" i="7" s="1"/>
  <c r="E26" i="18"/>
  <c r="F26" i="18" s="1"/>
  <c r="C11" i="7"/>
  <c r="B31" i="7"/>
  <c r="B32" i="7" s="1"/>
  <c r="C10" i="7"/>
  <c r="B39" i="7"/>
  <c r="G8" i="19"/>
  <c r="B48" i="7"/>
  <c r="B50" i="7" s="1"/>
  <c r="C14" i="7"/>
  <c r="E25" i="7"/>
  <c r="F25" i="7" s="1"/>
  <c r="D19" i="7"/>
  <c r="D21" i="7" s="1"/>
  <c r="C21" i="7" s="1"/>
  <c r="E34" i="7" s="1"/>
  <c r="G21" i="18"/>
  <c r="B24" i="19"/>
  <c r="E25" i="18"/>
  <c r="F25" i="18" s="1"/>
  <c r="E19" i="18"/>
  <c r="E21" i="18" s="1"/>
  <c r="E35" i="18" s="1"/>
  <c r="G21" i="7"/>
  <c r="F24" i="18"/>
  <c r="F19" i="7"/>
  <c r="F21" i="7" s="1"/>
  <c r="E38" i="7" s="1"/>
  <c r="D19" i="18"/>
  <c r="D21" i="18" s="1"/>
  <c r="C21" i="18" s="1"/>
  <c r="E34" i="18" s="1"/>
  <c r="G32" i="23"/>
  <c r="L28" i="23"/>
  <c r="J31" i="23"/>
  <c r="J32" i="23"/>
  <c r="F31" i="23"/>
  <c r="H28" i="23"/>
  <c r="H32" i="23" s="1"/>
  <c r="F32" i="23"/>
  <c r="F33" i="23" s="1"/>
  <c r="D13" i="23"/>
  <c r="D15" i="23" s="1"/>
  <c r="C15" i="23" s="1"/>
  <c r="B5" i="19"/>
  <c r="B3" i="19"/>
  <c r="B36" i="18"/>
  <c r="F36" i="18" s="1"/>
  <c r="H4" i="19"/>
  <c r="B11" i="19"/>
  <c r="F17" i="19"/>
  <c r="F22" i="19" s="1"/>
  <c r="F29" i="7"/>
  <c r="G29" i="7" s="1"/>
  <c r="C8" i="7"/>
  <c r="B10" i="19"/>
  <c r="B29" i="18"/>
  <c r="D28" i="23"/>
  <c r="D32" i="23" s="1"/>
  <c r="F5" i="19"/>
  <c r="H5" i="19" s="1"/>
  <c r="F23" i="19"/>
  <c r="B17" i="19"/>
  <c r="E37" i="7"/>
  <c r="E31" i="18" l="1"/>
  <c r="E39" i="18"/>
  <c r="E39" i="7"/>
  <c r="F39" i="7" s="1"/>
  <c r="F30" i="7"/>
  <c r="G30" i="7" s="1"/>
  <c r="F30" i="18"/>
  <c r="G30" i="18" s="1"/>
  <c r="E31" i="7"/>
  <c r="E32" i="7" s="1"/>
  <c r="F32" i="7" s="1"/>
  <c r="G32" i="7" s="1"/>
  <c r="F29" i="18"/>
  <c r="G29" i="18" s="1"/>
  <c r="B51" i="7"/>
  <c r="B41" i="7"/>
  <c r="B42" i="7" s="1"/>
  <c r="B49" i="7"/>
  <c r="F38" i="7"/>
  <c r="B38" i="18"/>
  <c r="F38" i="18" s="1"/>
  <c r="J33" i="23"/>
  <c r="F35" i="7"/>
  <c r="B35" i="18"/>
  <c r="F35" i="18" s="1"/>
  <c r="C32" i="23"/>
  <c r="B31" i="23"/>
  <c r="B33" i="23" s="1"/>
  <c r="F37" i="7"/>
  <c r="B20" i="19"/>
  <c r="B37" i="18"/>
  <c r="F37" i="18" s="1"/>
  <c r="E48" i="18"/>
  <c r="B6" i="19"/>
  <c r="B8" i="19" s="1"/>
  <c r="B7" i="19"/>
  <c r="B34" i="18"/>
  <c r="F34" i="18" s="1"/>
  <c r="G34" i="18" s="1"/>
  <c r="F34" i="7"/>
  <c r="G34" i="7" s="1"/>
  <c r="E48" i="7"/>
  <c r="E42" i="18"/>
  <c r="E32" i="18"/>
  <c r="E51" i="18"/>
  <c r="B39" i="18" l="1"/>
  <c r="F39" i="18" s="1"/>
  <c r="J29" i="7"/>
  <c r="J30" i="7" s="1"/>
  <c r="J31" i="7" s="1"/>
  <c r="J32" i="7" s="1"/>
  <c r="E51" i="7"/>
  <c r="B51" i="18" s="1"/>
  <c r="F51" i="18" s="1"/>
  <c r="G51" i="18" s="1"/>
  <c r="F31" i="7"/>
  <c r="G31" i="7" s="1"/>
  <c r="E42" i="7"/>
  <c r="E44" i="7" s="1"/>
  <c r="B31" i="18"/>
  <c r="F31" i="18" s="1"/>
  <c r="G31" i="18" s="1"/>
  <c r="F51" i="7"/>
  <c r="G51" i="7" s="1"/>
  <c r="B32" i="18"/>
  <c r="F32" i="18" s="1"/>
  <c r="G32" i="18" s="1"/>
  <c r="E50" i="18"/>
  <c r="E49" i="18"/>
  <c r="J48" i="18"/>
  <c r="B43" i="7"/>
  <c r="B44" i="7"/>
  <c r="E43" i="18"/>
  <c r="E44" i="18"/>
  <c r="B48" i="18"/>
  <c r="F48" i="18" s="1"/>
  <c r="G48" i="18" s="1"/>
  <c r="E49" i="7"/>
  <c r="F48" i="7"/>
  <c r="G48" i="7" s="1"/>
  <c r="B21" i="19"/>
  <c r="E50" i="7"/>
  <c r="C11" i="18"/>
  <c r="C10" i="18"/>
  <c r="C8" i="18"/>
  <c r="C13" i="18"/>
  <c r="C14" i="18"/>
  <c r="E52" i="18"/>
  <c r="B52" i="7"/>
  <c r="B53" i="7" s="1"/>
  <c r="E43" i="7" l="1"/>
  <c r="B43" i="18" s="1"/>
  <c r="F43" i="18" s="1"/>
  <c r="G43" i="18" s="1"/>
  <c r="F42" i="7"/>
  <c r="G42" i="7" s="1"/>
  <c r="B25" i="19"/>
  <c r="B27" i="19" s="1"/>
  <c r="B30" i="19" s="1"/>
  <c r="B31" i="19" s="1"/>
  <c r="C31" i="19" s="1"/>
  <c r="B42" i="18"/>
  <c r="F42" i="18" s="1"/>
  <c r="G42" i="18" s="1"/>
  <c r="E52" i="7"/>
  <c r="B52" i="18" s="1"/>
  <c r="F52" i="18" s="1"/>
  <c r="G52" i="18" s="1"/>
  <c r="E53" i="18"/>
  <c r="B50" i="18"/>
  <c r="F50" i="18" s="1"/>
  <c r="G50" i="18" s="1"/>
  <c r="F50" i="7"/>
  <c r="G50" i="7" s="1"/>
  <c r="E58" i="18"/>
  <c r="E59" i="18" s="1"/>
  <c r="E56" i="18"/>
  <c r="E57" i="18" s="1"/>
  <c r="E61" i="18"/>
  <c r="E62" i="18" s="1"/>
  <c r="J50" i="18"/>
  <c r="F44" i="7"/>
  <c r="G44" i="7" s="1"/>
  <c r="B44" i="18"/>
  <c r="F44" i="18" s="1"/>
  <c r="G44" i="18" s="1"/>
  <c r="J23" i="18"/>
  <c r="J25" i="18" s="1"/>
  <c r="L25" i="18" s="1"/>
  <c r="J25" i="7"/>
  <c r="K25" i="7" s="1"/>
  <c r="E45" i="7"/>
  <c r="F49" i="7"/>
  <c r="G49" i="7" s="1"/>
  <c r="B49" i="18"/>
  <c r="F49" i="18" s="1"/>
  <c r="G49" i="18" s="1"/>
  <c r="J24" i="7"/>
  <c r="J26" i="7" s="1"/>
  <c r="J27" i="7" s="1"/>
  <c r="J34" i="7"/>
  <c r="J35" i="7" s="1"/>
  <c r="J36" i="7" s="1"/>
  <c r="B22" i="19"/>
  <c r="C22" i="19" s="1"/>
  <c r="B58" i="7"/>
  <c r="B59" i="7" s="1"/>
  <c r="B56" i="7"/>
  <c r="B57" i="7" s="1"/>
  <c r="J24" i="18"/>
  <c r="J43" i="18"/>
  <c r="B26" i="19" l="1"/>
  <c r="B28" i="19" s="1"/>
  <c r="C28" i="19" s="1"/>
  <c r="F43" i="7"/>
  <c r="G43" i="7" s="1"/>
  <c r="E56" i="7"/>
  <c r="F18" i="19"/>
  <c r="F19" i="19" s="1"/>
  <c r="F20" i="19" s="1"/>
  <c r="E58" i="7"/>
  <c r="B58" i="18" s="1"/>
  <c r="E53" i="7"/>
  <c r="B53" i="18" s="1"/>
  <c r="F53" i="18" s="1"/>
  <c r="G53" i="18" s="1"/>
  <c r="F52" i="7"/>
  <c r="G52" i="7" s="1"/>
  <c r="E45" i="18"/>
  <c r="E46" i="18" s="1"/>
  <c r="F46" i="18" s="1"/>
  <c r="G46" i="18" s="1"/>
  <c r="F45" i="7"/>
  <c r="E46" i="7"/>
  <c r="F46" i="7" s="1"/>
  <c r="G46" i="7" s="1"/>
  <c r="K24" i="18"/>
  <c r="L24" i="18" s="1"/>
  <c r="J26" i="18"/>
  <c r="J27" i="18" s="1"/>
  <c r="E57" i="7"/>
  <c r="B57" i="18" s="1"/>
  <c r="B56" i="18"/>
  <c r="J52" i="18"/>
  <c r="K52" i="18" s="1"/>
  <c r="J51" i="18"/>
  <c r="E59" i="7" l="1"/>
  <c r="B59" i="18" s="1"/>
  <c r="F45" i="18"/>
  <c r="F53" i="7"/>
  <c r="G53" i="7" s="1"/>
</calcChain>
</file>

<file path=xl/sharedStrings.xml><?xml version="1.0" encoding="utf-8"?>
<sst xmlns="http://schemas.openxmlformats.org/spreadsheetml/2006/main" count="732" uniqueCount="471">
  <si>
    <t>Setup</t>
  </si>
  <si>
    <t>Decay</t>
  </si>
  <si>
    <t>Ammo Use</t>
  </si>
  <si>
    <t>Hit Maxed</t>
  </si>
  <si>
    <t>Dmg Maxed</t>
  </si>
  <si>
    <t>Weapon</t>
  </si>
  <si>
    <t>Improved Mako FAL</t>
  </si>
  <si>
    <t>Amp</t>
  </si>
  <si>
    <t>Melee Trauma Amplifier X</t>
  </si>
  <si>
    <t>Bonuses</t>
  </si>
  <si>
    <t>Atk/Min</t>
  </si>
  <si>
    <t>Fast Reload</t>
  </si>
  <si>
    <t>Crit %</t>
  </si>
  <si>
    <t>Crit Dmg %</t>
  </si>
  <si>
    <t>Active Pill 1</t>
  </si>
  <si>
    <t>Merry Mayhem Candy Cane</t>
  </si>
  <si>
    <t>Left-Hand Ring</t>
  </si>
  <si>
    <t>Halloween Ring 2015</t>
  </si>
  <si>
    <t>Right-Hand Ring</t>
  </si>
  <si>
    <t>Summer Ring 2016</t>
  </si>
  <si>
    <t>Other 1</t>
  </si>
  <si>
    <t>Modified Viceroy</t>
  </si>
  <si>
    <t>Other 2</t>
  </si>
  <si>
    <t>None</t>
  </si>
  <si>
    <t>Sight 1</t>
  </si>
  <si>
    <t>Sight 2</t>
  </si>
  <si>
    <t>Scope</t>
  </si>
  <si>
    <t>Item Buffs w/Cap</t>
  </si>
  <si>
    <t>Action Buffs w/Cap</t>
  </si>
  <si>
    <t>Total Buffs</t>
  </si>
  <si>
    <t>Qty</t>
  </si>
  <si>
    <t>TT Value (pecs)</t>
  </si>
  <si>
    <t>Markup %</t>
  </si>
  <si>
    <t>Enh Use/Shot</t>
  </si>
  <si>
    <t>Cost Per Shot</t>
  </si>
  <si>
    <t>Decay Inc</t>
  </si>
  <si>
    <t>ECO to Compare</t>
  </si>
  <si>
    <t>Damage Enhancers</t>
  </si>
  <si>
    <t>Cycle Per Hour</t>
  </si>
  <si>
    <t>Accurancy Enhancers</t>
  </si>
  <si>
    <t>Differential Dmg/Pec</t>
  </si>
  <si>
    <t>Economy Enhancers</t>
  </si>
  <si>
    <t>Cheaper Hunting/HR in PED</t>
  </si>
  <si>
    <t>Cheaper Hunting per Month</t>
  </si>
  <si>
    <t>Maxed Base Stats</t>
  </si>
  <si>
    <t>Stats with Rings/Other</t>
  </si>
  <si>
    <t>Change</t>
  </si>
  <si>
    <t>% Inc</t>
  </si>
  <si>
    <t>Base Damage</t>
  </si>
  <si>
    <t>Shots Per Day</t>
  </si>
  <si>
    <t>Amp Damage</t>
  </si>
  <si>
    <t>Expected Break Rate/Day</t>
  </si>
  <si>
    <t>Max Damage</t>
  </si>
  <si>
    <t>Enhancer Cost/Day</t>
  </si>
  <si>
    <t>Max Crit</t>
  </si>
  <si>
    <t>% Increase in Cost</t>
  </si>
  <si>
    <t>Base Atk/Min</t>
  </si>
  <si>
    <t>Skill Gains Per Hour</t>
  </si>
  <si>
    <t>Base Crit</t>
  </si>
  <si>
    <t xml:space="preserve">Hours to Max </t>
  </si>
  <si>
    <t>Damage %</t>
  </si>
  <si>
    <t>Months to Max</t>
  </si>
  <si>
    <t>Hit %</t>
  </si>
  <si>
    <t>Base Crit Additional Dmg</t>
  </si>
  <si>
    <t>Total Cost Per Shot (Pecs)</t>
  </si>
  <si>
    <t>Average Damage</t>
  </si>
  <si>
    <t>Effective Damage Theory</t>
  </si>
  <si>
    <t>Base DPS</t>
  </si>
  <si>
    <t>Damage Per Second</t>
  </si>
  <si>
    <t>Base DPP</t>
  </si>
  <si>
    <t>Damage Per Point</t>
  </si>
  <si>
    <t>+/- Per Hour</t>
  </si>
  <si>
    <t>Savings/Month Per Month</t>
  </si>
  <si>
    <t>Shots Per Hour</t>
  </si>
  <si>
    <t>Avg Cycle Per Hour</t>
  </si>
  <si>
    <t>Number of Crits</t>
  </si>
  <si>
    <t>Bonus Crit Damage</t>
  </si>
  <si>
    <t>Savings Per Crit</t>
  </si>
  <si>
    <t>Savings For Crits By Hour</t>
  </si>
  <si>
    <t>Hunting Lower/Upper Bounds</t>
  </si>
  <si>
    <t>Kill Rate (Min)</t>
  </si>
  <si>
    <t>Cost to Kill (Min)</t>
  </si>
  <si>
    <t>Kill Rate (Max)</t>
  </si>
  <si>
    <t>Cost to Kill (Max)</t>
  </si>
  <si>
    <t>Max Probes</t>
  </si>
  <si>
    <t>Markup</t>
  </si>
  <si>
    <t>Amplifier</t>
  </si>
  <si>
    <t>Level 5 Finder Amplifier (L)</t>
  </si>
  <si>
    <t>Finder</t>
  </si>
  <si>
    <t>Excavator</t>
  </si>
  <si>
    <t>Christmas Ring 2016</t>
  </si>
  <si>
    <t>Simulated Rounds</t>
  </si>
  <si>
    <t>Hit Rate</t>
  </si>
  <si>
    <t>Avg Pulls Per Claim</t>
  </si>
  <si>
    <t>Expected TT %</t>
  </si>
  <si>
    <t>Triple Drop</t>
  </si>
  <si>
    <t>Claims</t>
  </si>
  <si>
    <t>TT</t>
  </si>
  <si>
    <t>MU</t>
  </si>
  <si>
    <t>Total</t>
  </si>
  <si>
    <t xml:space="preserve">Amplifier Cost </t>
  </si>
  <si>
    <t>Finder Cost</t>
  </si>
  <si>
    <t>Excavator Cost</t>
  </si>
  <si>
    <t>Probes Cost</t>
  </si>
  <si>
    <t>Total Decay Input Cost</t>
  </si>
  <si>
    <t>Total Cycle Cost</t>
  </si>
  <si>
    <t>Total Input Cost %</t>
  </si>
  <si>
    <t>A-3 Justifier MK.II Improved</t>
  </si>
  <si>
    <t>Hypercharged Omegaton A204</t>
  </si>
  <si>
    <t>Ares Ring Perfected</t>
  </si>
  <si>
    <t>Value</t>
  </si>
  <si>
    <t>AmountChg</t>
  </si>
  <si>
    <t>%Chg</t>
  </si>
  <si>
    <t>Simulation</t>
  </si>
  <si>
    <t>Hours</t>
  </si>
  <si>
    <t>Total Ped Cycled</t>
  </si>
  <si>
    <t>Shots</t>
  </si>
  <si>
    <t>Crits</t>
  </si>
  <si>
    <t>Total Savings of Crits</t>
  </si>
  <si>
    <t>EST Bound (Max)</t>
  </si>
  <si>
    <t>Current Bankroll</t>
  </si>
  <si>
    <t>Inputs</t>
  </si>
  <si>
    <t>Skills Returned</t>
  </si>
  <si>
    <t>Lower Bound Risk</t>
  </si>
  <si>
    <t>Skills Rate</t>
  </si>
  <si>
    <t>Lower Bound Result</t>
  </si>
  <si>
    <t>Base Turnover</t>
  </si>
  <si>
    <t>Markup Avg</t>
  </si>
  <si>
    <t>Daily Turnover</t>
  </si>
  <si>
    <t>Markup/Day</t>
  </si>
  <si>
    <t>Monthly Turnover</t>
  </si>
  <si>
    <t>LB w/Mkup</t>
  </si>
  <si>
    <t>Enhancer Break Rate</t>
  </si>
  <si>
    <t>Risk of Ruin</t>
  </si>
  <si>
    <t>Hit Level</t>
  </si>
  <si>
    <t>Risk of Ruin w/MU</t>
  </si>
  <si>
    <t>Damage Level</t>
  </si>
  <si>
    <t>Remaining Skill to Max</t>
  </si>
  <si>
    <t>3PPM</t>
  </si>
  <si>
    <t>Hours Played/Wk</t>
  </si>
  <si>
    <t>6PPM</t>
  </si>
  <si>
    <t>8PPM</t>
  </si>
  <si>
    <t>10PPM</t>
  </si>
  <si>
    <t>12PPM</t>
  </si>
  <si>
    <t>Creature Name</t>
  </si>
  <si>
    <t>Beladoth Young</t>
  </si>
  <si>
    <t>16PPM</t>
  </si>
  <si>
    <t>HP</t>
  </si>
  <si>
    <t>20PPM</t>
  </si>
  <si>
    <t>35PPM</t>
  </si>
  <si>
    <t>Base Cost to Kill (3DPP)</t>
  </si>
  <si>
    <t>Seconds to Kill</t>
  </si>
  <si>
    <t>Buffed Cost to Kill with Regen</t>
  </si>
  <si>
    <t>Miss Rate</t>
  </si>
  <si>
    <t>Differential</t>
  </si>
  <si>
    <t>PED Leak From Misses/Hr</t>
  </si>
  <si>
    <t>PED Leak from Misses/Mo</t>
  </si>
  <si>
    <t>Min Loot</t>
  </si>
  <si>
    <t>Avg Loot</t>
  </si>
  <si>
    <t>Damage Loss Rate</t>
  </si>
  <si>
    <t>Max Loot</t>
  </si>
  <si>
    <t>Damage Lost Per Hour</t>
  </si>
  <si>
    <t>Min Multiplier (3.5x)</t>
  </si>
  <si>
    <t>Damage Lost Per Month</t>
  </si>
  <si>
    <t>PED Leak from DmgLoss/Hr</t>
  </si>
  <si>
    <t>PED Leak from DmgLoss/Mo</t>
  </si>
  <si>
    <t>Total PED Leak Per Hr</t>
  </si>
  <si>
    <t>Estimated Loss Per Month</t>
  </si>
  <si>
    <t>Regen</t>
  </si>
  <si>
    <t>Damage</t>
  </si>
  <si>
    <t>Dmg Level</t>
  </si>
  <si>
    <t>Mutated Beladoth Young</t>
  </si>
  <si>
    <t>Mutated Beladoth Mature</t>
  </si>
  <si>
    <t>Mutated Beladoth Old</t>
  </si>
  <si>
    <t>Mutated Beladoth Provider</t>
  </si>
  <si>
    <t>Mutated Beladoth Guardian</t>
  </si>
  <si>
    <t>Mutated Beladoth Dominant</t>
  </si>
  <si>
    <t>Mutated Beladoth Alpha</t>
  </si>
  <si>
    <t>Mutated Beladoth Old Alpha</t>
  </si>
  <si>
    <t>Mutated Beladoth Prowler</t>
  </si>
  <si>
    <t>Mutated Beladoth Stalker</t>
  </si>
  <si>
    <t>Mutated Otorugi Young</t>
  </si>
  <si>
    <t>Mutated Otorugi Mature</t>
  </si>
  <si>
    <t>Mutated Otorugi Old</t>
  </si>
  <si>
    <t>Mutated Otorugi Provider</t>
  </si>
  <si>
    <t>Mutated Otorugi Guardian</t>
  </si>
  <si>
    <t>Mutated Otorugi Dominant</t>
  </si>
  <si>
    <t>Mutated Otorugi Alpha</t>
  </si>
  <si>
    <t>Mutated Otorugi Old Alpha</t>
  </si>
  <si>
    <t>Mutated Otorugi Prowler</t>
  </si>
  <si>
    <t>Mutated Otorugi Stalker</t>
  </si>
  <si>
    <t>Ubo</t>
  </si>
  <si>
    <t>Ubo Mature</t>
  </si>
  <si>
    <t>Ubo Old</t>
  </si>
  <si>
    <t>Ubo Provider</t>
  </si>
  <si>
    <t>Ubo Guardian</t>
  </si>
  <si>
    <t>Ubo Dominant</t>
  </si>
  <si>
    <t>Ubo Alpha</t>
  </si>
  <si>
    <t>Ubo Old Alpha</t>
  </si>
  <si>
    <t>Ubo Prowler</t>
  </si>
  <si>
    <t>Ubo Stalker</t>
  </si>
  <si>
    <t>Sumima Young</t>
  </si>
  <si>
    <t>Sumima Mature</t>
  </si>
  <si>
    <t>Sumima Old</t>
  </si>
  <si>
    <t>Sumima Provider</t>
  </si>
  <si>
    <t>Sumima Guardian</t>
  </si>
  <si>
    <t>Sumima Dominant</t>
  </si>
  <si>
    <t>Sumima Alpha</t>
  </si>
  <si>
    <t>Sumima Old Alpha</t>
  </si>
  <si>
    <t>Sumima Prowler</t>
  </si>
  <si>
    <t>Sumima Stalker</t>
  </si>
  <si>
    <t>Bristlehog Stalker</t>
  </si>
  <si>
    <t>Kreltin Young</t>
  </si>
  <si>
    <t>Kreltin Mature</t>
  </si>
  <si>
    <t>Kreltin Old</t>
  </si>
  <si>
    <t>Kreltin Provider</t>
  </si>
  <si>
    <t>Kreltin Guardian</t>
  </si>
  <si>
    <t>Kreltin Dominant</t>
  </si>
  <si>
    <t>Kreltin Alpha</t>
  </si>
  <si>
    <t>Kreltin Old Alpha</t>
  </si>
  <si>
    <t>Kreltin Prowler</t>
  </si>
  <si>
    <t>Kreltin Stalker</t>
  </si>
  <si>
    <t>Brood of Bram</t>
  </si>
  <si>
    <t>Brood of Dotty - Hatching</t>
  </si>
  <si>
    <t>Brood of Dotty - Leech of Devastation</t>
  </si>
  <si>
    <t>Brood of Dotty - Dissector</t>
  </si>
  <si>
    <t>Brood of Dotty - Lairkeeper</t>
  </si>
  <si>
    <t>Brood of Dotty - Hatchling Guard</t>
  </si>
  <si>
    <t>Merfolken Spearman Gladiator</t>
  </si>
  <si>
    <t>Warlock Gen 07</t>
  </si>
  <si>
    <t>Eomon Young</t>
  </si>
  <si>
    <t>Eomon Mature</t>
  </si>
  <si>
    <t>Eomon Old</t>
  </si>
  <si>
    <t>Longtooth Young</t>
  </si>
  <si>
    <t>Longtooth Dominant</t>
  </si>
  <si>
    <t>Longtooth Alpha</t>
  </si>
  <si>
    <t>Longtooth Old Alpha</t>
  </si>
  <si>
    <t>Longtooth Prowler</t>
  </si>
  <si>
    <t>Longtooth Stalker</t>
  </si>
  <si>
    <t>Legionnaire Gen 05</t>
  </si>
  <si>
    <t>Legionnaire Gen 06</t>
  </si>
  <si>
    <t>Legionnaire Gen 07</t>
  </si>
  <si>
    <t>Legionnaire Gen 08</t>
  </si>
  <si>
    <t>Legionnaire Gen 09</t>
  </si>
  <si>
    <t>Legionnaire Gen 10</t>
  </si>
  <si>
    <t>Trooper Gen 07</t>
  </si>
  <si>
    <t>Trooper Gen 10</t>
  </si>
  <si>
    <t>Eviscerator Gen 04</t>
  </si>
  <si>
    <t>Eviscerator Gen 06</t>
  </si>
  <si>
    <t>Harbinger Gamma</t>
  </si>
  <si>
    <t>Harbinger Delta</t>
  </si>
  <si>
    <t>Harbinger Epsilon</t>
  </si>
  <si>
    <t>Harbinger Digamma</t>
  </si>
  <si>
    <t>Harbinger Zeta</t>
  </si>
  <si>
    <t>Harbinger Eta</t>
  </si>
  <si>
    <t>Harbinger Theta</t>
  </si>
  <si>
    <t>Huon Young</t>
  </si>
  <si>
    <t>Magurg Breeder 2</t>
  </si>
  <si>
    <t>Magurg Breeder 3</t>
  </si>
  <si>
    <t>Magurg Breeder 4</t>
  </si>
  <si>
    <t>Kadra Young</t>
  </si>
  <si>
    <t>Core Eviscerator Gen 6</t>
  </si>
  <si>
    <t>Core Eviscerator Gen 8</t>
  </si>
  <si>
    <t>Core Harbinger Gen 6</t>
  </si>
  <si>
    <t>Core Harbinger Gen 8</t>
  </si>
  <si>
    <t>Young Rhino Beetle</t>
  </si>
  <si>
    <t>Type</t>
  </si>
  <si>
    <t>Max Level Hit</t>
  </si>
  <si>
    <t>Max Level Dmg</t>
  </si>
  <si>
    <t>Melee</t>
  </si>
  <si>
    <t>Omegaton m83 Predator</t>
  </si>
  <si>
    <t>Laser</t>
  </si>
  <si>
    <t>Genesis Sparkbite E.L.M</t>
  </si>
  <si>
    <t>Genesis Niflheim</t>
  </si>
  <si>
    <t>Embra Spectral Enblade E.L.M</t>
  </si>
  <si>
    <t>A-3 Justifier MK.III Improved</t>
  </si>
  <si>
    <t>EWE LC-340 Ranger (L)</t>
  </si>
  <si>
    <t>EWE LC-120 Purpose (L)</t>
  </si>
  <si>
    <t>Rip M6600 Modified</t>
  </si>
  <si>
    <t>Ardora Ballista MK9 (L)</t>
  </si>
  <si>
    <t>Castorian Chromatic Cleaver (L)</t>
  </si>
  <si>
    <t>Arsonistic Chip III TEN Edition</t>
  </si>
  <si>
    <t>Mindforce</t>
  </si>
  <si>
    <t>EWE LC-350 Dissolver (L)</t>
  </si>
  <si>
    <t>CDF XTLC800</t>
  </si>
  <si>
    <t>Mayhem Scintillator Viridian</t>
  </si>
  <si>
    <t>Ecotron v.26b Prototype</t>
  </si>
  <si>
    <t>Castorian Combat EnBlade-10, SGA Edition</t>
  </si>
  <si>
    <t>Mayhem Scintillator Azure</t>
  </si>
  <si>
    <t>CDF XTLC1000</t>
  </si>
  <si>
    <t>DOA Slugstorm</t>
  </si>
  <si>
    <t>BLP</t>
  </si>
  <si>
    <t>Piron PBR-25</t>
  </si>
  <si>
    <t>Adjusted A-3 Justified MK.II</t>
  </si>
  <si>
    <t>King Kong TG-Elite</t>
  </si>
  <si>
    <t>Herman XLR Chulan Edition</t>
  </si>
  <si>
    <t>Pill</t>
  </si>
  <si>
    <t>Easter Egg</t>
  </si>
  <si>
    <t>Neurostim-X</t>
  </si>
  <si>
    <t>Neurostim-X2</t>
  </si>
  <si>
    <t>Neurostim-Z2</t>
  </si>
  <si>
    <t>Energy Booster</t>
  </si>
  <si>
    <t>Nanobot - Accuracy</t>
  </si>
  <si>
    <t>Nanobot - Adernaline Boost</t>
  </si>
  <si>
    <t>Nanobot - Kill Strike</t>
  </si>
  <si>
    <t>Ring</t>
  </si>
  <si>
    <t>Hand</t>
  </si>
  <si>
    <t>Left</t>
  </si>
  <si>
    <t>Halloween Ring 2016</t>
  </si>
  <si>
    <t>Unique Helios Ring</t>
  </si>
  <si>
    <t>Easter Ring 2016</t>
  </si>
  <si>
    <t>Right</t>
  </si>
  <si>
    <t>Ares Ring (L)</t>
  </si>
  <si>
    <t>Ares Ring Adjusted</t>
  </si>
  <si>
    <t>Ares Ring Improved</t>
  </si>
  <si>
    <t>Ares Ring Modified</t>
  </si>
  <si>
    <t>Ares Ring Augmented</t>
  </si>
  <si>
    <t>Christmas Ring 2015</t>
  </si>
  <si>
    <t>Easter Ring 2017</t>
  </si>
  <si>
    <t>Base Dmg</t>
  </si>
  <si>
    <t>[No Amp]</t>
  </si>
  <si>
    <t>Melee Trauma Amplifier I</t>
  </si>
  <si>
    <t>Melee Trauma Amplifier I (L)</t>
  </si>
  <si>
    <t>Melee Trauma Amplifier II</t>
  </si>
  <si>
    <t>Adjusted Melee Trauma Amplifier II</t>
  </si>
  <si>
    <t>Melee Trauma Amplifier III</t>
  </si>
  <si>
    <t>Melee Trauma Amplifier III (L)</t>
  </si>
  <si>
    <t>Melee Trauma Amplifier IV</t>
  </si>
  <si>
    <t>Melee Trauma Amplifier V</t>
  </si>
  <si>
    <t>Melee Trauma Amplifier V (L)</t>
  </si>
  <si>
    <t>Melee Trauma Amplifier VI</t>
  </si>
  <si>
    <t>Improved Melee Trauma Amplifier VI</t>
  </si>
  <si>
    <t>Melee Trauma Amplifier VII</t>
  </si>
  <si>
    <t>Melee Trauma Amplifier VIII</t>
  </si>
  <si>
    <t>Modified Melee Trauma Amplifier VIII</t>
  </si>
  <si>
    <t>Melee Trauma Amplifier IX</t>
  </si>
  <si>
    <t>Omegaton A102</t>
  </si>
  <si>
    <t>Improved Omegaton A105</t>
  </si>
  <si>
    <t>Hypercharged Omegaton A105</t>
  </si>
  <si>
    <t>Improved Omegaton A204</t>
  </si>
  <si>
    <t>Overcharged Omegaton A204</t>
  </si>
  <si>
    <t>Hotfoot 30 (L)</t>
  </si>
  <si>
    <t>Omegaton A104</t>
  </si>
  <si>
    <t>RDI Energy Amplifier Alpha (L)</t>
  </si>
  <si>
    <t>RDI Energy Amplifier Beta (L)</t>
  </si>
  <si>
    <t>Hotfoot 40 (L)</t>
  </si>
  <si>
    <t>Hotfoot 45 (L)</t>
  </si>
  <si>
    <t>Hotfoot 50 (L)</t>
  </si>
  <si>
    <t>Omegaton A106</t>
  </si>
  <si>
    <t>Fi/Ra/Co Dante</t>
  </si>
  <si>
    <t>Fi/Ra/Co/Evil</t>
  </si>
  <si>
    <t>Fi/Ra/Co Evil Modified</t>
  </si>
  <si>
    <t>Omegaton A105</t>
  </si>
  <si>
    <t>Adjusted Omegaton A105</t>
  </si>
  <si>
    <t>Neopsion Kinetic Amplifier V (L)</t>
  </si>
  <si>
    <t>Neopsion Kinetic Amplifier VII (L)</t>
  </si>
  <si>
    <t>Flimsy Thorifoid Berserker's Helmet (L)</t>
  </si>
  <si>
    <t>Earth Shock Armor Set (L)</t>
  </si>
  <si>
    <t>Thorifoid Berzerker Helmet (L)</t>
  </si>
  <si>
    <t>Superior Thorifoid Berserker's Helmet</t>
  </si>
  <si>
    <t>Adjusted Viceroy</t>
  </si>
  <si>
    <t>Improved Viceroy</t>
  </si>
  <si>
    <t>Sights</t>
  </si>
  <si>
    <t>Omegaton Laser Sight MK.I</t>
  </si>
  <si>
    <t>Omegaton Laser Sight MK.II</t>
  </si>
  <si>
    <t>Omegaton Laser Scope MK.I</t>
  </si>
  <si>
    <t>Omegaton Laser Scope MK.II</t>
  </si>
  <si>
    <t>Ammo</t>
  </si>
  <si>
    <t>Gun</t>
  </si>
  <si>
    <t>Attach</t>
  </si>
  <si>
    <t>Amps</t>
  </si>
  <si>
    <t>Armours</t>
  </si>
  <si>
    <t>Fap</t>
  </si>
  <si>
    <t>Return</t>
  </si>
  <si>
    <t>TOTAL DECAY</t>
  </si>
  <si>
    <t>Loot+</t>
  </si>
  <si>
    <t>Return%</t>
  </si>
  <si>
    <t>Prof +/-</t>
  </si>
  <si>
    <t>Enhancers</t>
  </si>
  <si>
    <t>enh cump</t>
  </si>
  <si>
    <t>Enh consumate</t>
  </si>
  <si>
    <t>Enh break/1000shots/tier</t>
  </si>
  <si>
    <t>Shoots fired</t>
  </si>
  <si>
    <t>Total ehn</t>
  </si>
  <si>
    <t>AVG dmg /1000rounds</t>
  </si>
  <si>
    <t>cumparat 100 lvl1 si 100 lvl1</t>
  </si>
  <si>
    <t>Total imk2usese</t>
  </si>
  <si>
    <t>tier2.9</t>
  </si>
  <si>
    <t>Enh comsumption/1000uses</t>
  </si>
  <si>
    <t>cumparat 109dmg eh lvl3</t>
  </si>
  <si>
    <t>full tier 3</t>
  </si>
  <si>
    <t>team</t>
  </si>
  <si>
    <t>16esi, 240enh cumparate</t>
  </si>
  <si>
    <t>10.7esi</t>
  </si>
  <si>
    <t>10.5esi</t>
  </si>
  <si>
    <t>10.71esi 232enh cump</t>
  </si>
  <si>
    <t>MM armor</t>
  </si>
  <si>
    <t>mutated bone</t>
  </si>
  <si>
    <t>POE</t>
  </si>
  <si>
    <t>tier4 19.9 esi</t>
  </si>
  <si>
    <t>used lc-300</t>
  </si>
  <si>
    <t>11esi</t>
  </si>
  <si>
    <t>15esi</t>
  </si>
  <si>
    <t>gno</t>
  </si>
  <si>
    <t>Superior helm</t>
  </si>
  <si>
    <t>11.57 esi</t>
  </si>
  <si>
    <t>50%enhancer</t>
  </si>
  <si>
    <t>12.85esi</t>
  </si>
  <si>
    <t>13esi</t>
  </si>
  <si>
    <t>19esi</t>
  </si>
  <si>
    <t>TIER 5</t>
  </si>
  <si>
    <t>18esi</t>
  </si>
  <si>
    <t>tier 6</t>
  </si>
  <si>
    <t>tier VI</t>
  </si>
  <si>
    <t>Finders</t>
  </si>
  <si>
    <t>Excavators</t>
  </si>
  <si>
    <t>Level 7 Finder Amplifier (L)</t>
  </si>
  <si>
    <t>Level 8 Finder Amplifier (L)</t>
  </si>
  <si>
    <t>D-Class Amplifier (L)</t>
  </si>
  <si>
    <t>Level 5 Finder Amplifier (UL)</t>
  </si>
  <si>
    <t>Level 7 Finder Amplifier (UL)</t>
  </si>
  <si>
    <t>Level 8 Finder Amplifier (UL)</t>
  </si>
  <si>
    <t>Terra Amp 1 (UL)</t>
  </si>
  <si>
    <t>Genesis Star Excavator Adjusted</t>
  </si>
  <si>
    <t>Genesis Star Excavator Improved</t>
  </si>
  <si>
    <t>Genesis Star Excavator Modified</t>
  </si>
  <si>
    <t>Rock Ripper 3 Gold Rush</t>
  </si>
  <si>
    <t>DSEC 30 Seeker (L)</t>
  </si>
  <si>
    <t>Efficiency</t>
  </si>
  <si>
    <t>Efficiency/Second</t>
  </si>
  <si>
    <t>Genesis Star Earth Excavator ME/05</t>
  </si>
  <si>
    <t>Genesis Star Earth Excavator ME/05, SGA Edition</t>
  </si>
  <si>
    <t>TerraMaster 3 Gold Rush (UL)</t>
  </si>
  <si>
    <t>Probe Multi</t>
  </si>
  <si>
    <t>ROCTEC C0UGR Finder (L)</t>
  </si>
  <si>
    <t>ROCTEC M1-LF Finder (L)</t>
  </si>
  <si>
    <t>Single Drop</t>
  </si>
  <si>
    <t>Double Drop</t>
  </si>
  <si>
    <t>Terra Amp 1 (L)</t>
  </si>
  <si>
    <t>Single Drop (Ore)</t>
  </si>
  <si>
    <t>Double Drop (Ore/Enm)</t>
  </si>
  <si>
    <t>Triple Drop (All)</t>
  </si>
  <si>
    <t>Single Drop TT</t>
  </si>
  <si>
    <t>Double Drop TT</t>
  </si>
  <si>
    <t>Triple Drop TT</t>
  </si>
  <si>
    <t>Castorian Combat Mace Mk. 6 FEN Edition</t>
  </si>
  <si>
    <t>Melee Trauma Amplifier X Fen Edition</t>
  </si>
  <si>
    <t>Castorian Combat Mace Mk. 6</t>
  </si>
  <si>
    <t>Strong Argonaut Claw, FEN Edition</t>
  </si>
  <si>
    <t>Great Argonaut Claw, FEN Edition</t>
  </si>
  <si>
    <t>Melee Trauma Amplifier VI, Improved</t>
  </si>
  <si>
    <t>A&amp;P Series Mayhem LP-100, Modified</t>
  </si>
  <si>
    <t>Summer Ring 2018</t>
  </si>
  <si>
    <t>Summer Ring 2020</t>
  </si>
  <si>
    <t>Christmas Ring 2018</t>
  </si>
  <si>
    <t>Christmas Ring 2019</t>
  </si>
  <si>
    <t>Easter Ring 2020</t>
  </si>
  <si>
    <t>Monria Horns</t>
  </si>
  <si>
    <t>Mayhem Set</t>
  </si>
  <si>
    <t>Mayhem L-Amplifier Alpha (L)</t>
  </si>
  <si>
    <t>Mayhem L-Amplifier Gamma (L)</t>
  </si>
  <si>
    <t>Mayhem L-Amplifier Beta (L)</t>
  </si>
  <si>
    <t>Mayhem L-Amplifier Delta (L)</t>
  </si>
  <si>
    <t>Halloween Ring 2018</t>
  </si>
  <si>
    <t>Halloween Ring 2019</t>
  </si>
  <si>
    <t>A&amp;P Series Mayhem BP-70, Perfected</t>
  </si>
  <si>
    <t>Mayhem B-Amplifier Alpha (L)</t>
  </si>
  <si>
    <t>Mayhem B-Amplifier Beta (L)</t>
  </si>
  <si>
    <t>Mayhem B-Amplifier Gamma (L)</t>
  </si>
  <si>
    <t>Mayhem B-Amplifier Delta (L)</t>
  </si>
  <si>
    <t>A&amp;P Series Mayhem LP-70, FEN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</si>
</sst>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_);[Red]\(0.00\)"/>
    <numFmt numFmtId="167" formatCode="0.0000_);[Red]\(0.00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165" fontId="2" fillId="0" borderId="0" xfId="0" applyNumberFormat="1" applyFont="1"/>
    <xf numFmtId="9" fontId="0" fillId="0" borderId="0" xfId="0" applyNumberFormat="1"/>
    <xf numFmtId="0" fontId="0" fillId="0" borderId="0" xfId="0" applyFont="1"/>
    <xf numFmtId="10" fontId="0" fillId="0" borderId="0" xfId="0" applyNumberFormat="1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Border="1" applyAlignment="1">
      <alignment horizontal="center"/>
    </xf>
    <xf numFmtId="166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2" fillId="3" borderId="0" xfId="0" applyFont="1" applyFill="1"/>
    <xf numFmtId="10" fontId="0" fillId="3" borderId="0" xfId="0" applyNumberFormat="1" applyFill="1"/>
    <xf numFmtId="0" fontId="2" fillId="0" borderId="0" xfId="0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64" fontId="0" fillId="3" borderId="0" xfId="0" applyNumberFormat="1" applyFill="1"/>
    <xf numFmtId="0" fontId="3" fillId="2" borderId="0" xfId="0" applyFont="1" applyFill="1"/>
    <xf numFmtId="9" fontId="0" fillId="0" borderId="0" xfId="1" applyFont="1"/>
    <xf numFmtId="164" fontId="0" fillId="2" borderId="0" xfId="0" applyNumberFormat="1" applyFill="1" applyBorder="1" applyAlignment="1">
      <alignment horizontal="center"/>
    </xf>
    <xf numFmtId="165" fontId="0" fillId="3" borderId="0" xfId="0" applyNumberFormat="1" applyFill="1"/>
    <xf numFmtId="0" fontId="2" fillId="4" borderId="0" xfId="0" applyFont="1" applyFill="1"/>
    <xf numFmtId="10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2" fillId="5" borderId="0" xfId="0" applyFont="1" applyFill="1"/>
    <xf numFmtId="0" fontId="0" fillId="5" borderId="0" xfId="0" applyFill="1"/>
    <xf numFmtId="10" fontId="0" fillId="5" borderId="0" xfId="0" applyNumberFormat="1" applyFill="1"/>
    <xf numFmtId="1" fontId="0" fillId="5" borderId="0" xfId="0" applyNumberFormat="1" applyFill="1"/>
    <xf numFmtId="165" fontId="0" fillId="0" borderId="0" xfId="0" applyNumberFormat="1"/>
    <xf numFmtId="10" fontId="2" fillId="0" borderId="0" xfId="0" applyNumberFormat="1" applyFont="1"/>
    <xf numFmtId="0" fontId="0" fillId="0" borderId="0" xfId="0" applyAlignment="1"/>
    <xf numFmtId="0" fontId="0" fillId="0" borderId="0" xfId="0" applyNumberFormat="1"/>
    <xf numFmtId="167" fontId="0" fillId="0" borderId="0" xfId="0" applyNumberFormat="1"/>
    <xf numFmtId="0" fontId="0" fillId="4" borderId="0" xfId="0" applyFont="1" applyFill="1"/>
    <xf numFmtId="10" fontId="0" fillId="0" borderId="0" xfId="1" applyNumberFormat="1" applyFont="1"/>
    <xf numFmtId="0" fontId="0" fillId="2" borderId="0" xfId="0" applyNumberFormat="1" applyFill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65" fontId="0" fillId="6" borderId="0" xfId="0" applyNumberFormat="1" applyFill="1"/>
    <xf numFmtId="0" fontId="2" fillId="6" borderId="0" xfId="0" applyFont="1" applyFill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/>
    <xf numFmtId="10" fontId="0" fillId="2" borderId="0" xfId="0" applyNumberFormat="1" applyFont="1" applyFill="1"/>
    <xf numFmtId="0" fontId="3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9" fontId="0" fillId="2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Alignment="1">
      <alignment horizontal="center"/>
    </xf>
    <xf numFmtId="10" fontId="0" fillId="0" borderId="0" xfId="0" applyNumberFormat="1" applyFill="1"/>
    <xf numFmtId="0" fontId="2" fillId="7" borderId="0" xfId="0" applyFont="1" applyFill="1"/>
    <xf numFmtId="0" fontId="3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workbookViewId="0">
      <selection activeCell="B3" sqref="B3"/>
    </sheetView>
  </sheetViews>
  <sheetFormatPr defaultRowHeight="15" x14ac:dyDescent="0.25"/>
  <cols>
    <col min="1" max="1" width="23.42578125" customWidth="1"/>
    <col min="2" max="2" width="36.28515625" bestFit="1" customWidth="1"/>
    <col min="3" max="3" width="14.140625" customWidth="1"/>
    <col min="4" max="4" width="24.7109375" customWidth="1"/>
    <col min="5" max="5" width="17.140625" bestFit="1" customWidth="1"/>
    <col min="6" max="6" width="14.28515625" customWidth="1"/>
    <col min="7" max="7" width="9.42578125" bestFit="1" customWidth="1"/>
    <col min="8" max="8" width="8.85546875" customWidth="1"/>
    <col min="9" max="9" width="25.140625" bestFit="1" customWidth="1"/>
    <col min="10" max="10" width="26.140625" bestFit="1" customWidth="1"/>
    <col min="11" max="11" width="11.140625" bestFit="1" customWidth="1"/>
    <col min="12" max="13" width="14.5703125" bestFit="1" customWidth="1"/>
    <col min="14" max="14" width="19" bestFit="1" customWidth="1"/>
    <col min="15" max="15" width="16.140625" customWidth="1"/>
    <col min="17" max="17" width="13.5703125" customWidth="1"/>
  </cols>
  <sheetData>
    <row r="1" spans="1:13" ht="18.75" x14ac:dyDescent="0.3">
      <c r="A1" s="74" t="s">
        <v>0</v>
      </c>
      <c r="B1" s="74"/>
      <c r="C1" s="74"/>
      <c r="D1" s="74"/>
      <c r="E1" s="74"/>
      <c r="F1" s="74"/>
      <c r="G1" s="74"/>
    </row>
    <row r="2" spans="1:13" x14ac:dyDescent="0.25">
      <c r="A2" s="15"/>
      <c r="B2" s="15"/>
      <c r="C2" s="61" t="s">
        <v>1</v>
      </c>
      <c r="D2" s="61" t="s">
        <v>2</v>
      </c>
      <c r="E2" s="30" t="s">
        <v>3</v>
      </c>
      <c r="F2" s="30" t="s">
        <v>4</v>
      </c>
      <c r="G2" s="15"/>
    </row>
    <row r="3" spans="1:13" x14ac:dyDescent="0.25">
      <c r="A3" s="16" t="s">
        <v>5</v>
      </c>
      <c r="B3" s="17" t="s">
        <v>451</v>
      </c>
      <c r="C3" s="18">
        <f>SUMIF(Weapon!$A$2:$A$103,$B$3,Weapon!$E$2:$E$103)</f>
        <v>1.3620000000000001</v>
      </c>
      <c r="D3" s="18">
        <f>SUMIF(Weapon!$A$2:$A$103,$B$3,Weapon!$F$2:$F$103) / 100</f>
        <v>17.100000000000001</v>
      </c>
      <c r="E3" s="15" t="str">
        <f>IF(SUMIF(Weapon!$A$2:$A$103,$B$3,Weapon!$G$2:$G$103) &gt;= Inputs!$F$7, "N", "Y")</f>
        <v>Y</v>
      </c>
      <c r="F3" s="15" t="str">
        <f>IF(SUMIF(Weapon!$A$2:$A$103,$B$3,Weapon!$H$2:$H$103) &gt;= Inputs!$F$8, "N", "Y")</f>
        <v>Y</v>
      </c>
      <c r="G3" s="15"/>
    </row>
    <row r="4" spans="1:13" x14ac:dyDescent="0.25">
      <c r="A4" s="16" t="s">
        <v>7</v>
      </c>
      <c r="B4" s="17" t="s">
        <v>339</v>
      </c>
      <c r="C4" s="18">
        <f>SUMIF(Amps!$A$18:$A$123,$B$4,Amps!$C$18:$C$123)</f>
        <v>3.3109999999999999</v>
      </c>
      <c r="D4" s="18">
        <f>SUMIF(Amps!$A$18:$A$123,$B$4,Amps!$D$18:$D$123) / 100</f>
        <v>1.43</v>
      </c>
      <c r="E4" s="15"/>
      <c r="F4" s="15"/>
      <c r="G4" s="15"/>
    </row>
    <row r="5" spans="1:13" x14ac:dyDescent="0.25">
      <c r="A5" s="16"/>
      <c r="B5" s="19"/>
      <c r="C5" s="19"/>
      <c r="D5" s="19"/>
      <c r="E5" s="15"/>
      <c r="F5" s="15"/>
      <c r="G5" s="15"/>
    </row>
    <row r="6" spans="1:13" x14ac:dyDescent="0.25">
      <c r="A6" s="16"/>
      <c r="B6" s="19"/>
      <c r="C6" s="72" t="s">
        <v>9</v>
      </c>
      <c r="D6" s="72"/>
      <c r="E6" s="72"/>
      <c r="F6" s="72"/>
      <c r="G6" s="15"/>
    </row>
    <row r="7" spans="1:13" x14ac:dyDescent="0.25">
      <c r="A7" s="15"/>
      <c r="B7" s="15"/>
      <c r="C7" s="20" t="s">
        <v>10</v>
      </c>
      <c r="D7" s="20" t="s">
        <v>11</v>
      </c>
      <c r="E7" s="20" t="s">
        <v>12</v>
      </c>
      <c r="F7" s="20" t="s">
        <v>13</v>
      </c>
      <c r="G7" s="20" t="s">
        <v>1</v>
      </c>
    </row>
    <row r="8" spans="1:13" x14ac:dyDescent="0.25">
      <c r="A8" s="16" t="s">
        <v>14</v>
      </c>
      <c r="B8" s="17" t="s">
        <v>15</v>
      </c>
      <c r="C8" s="19">
        <f>SUMIF(Pills!$A$2:$A$104,$B$8,Pills!$D$2:$D$104) * B34</f>
        <v>7.2</v>
      </c>
      <c r="D8" s="21">
        <f>SUMIF(Pills!$A$2:$A$104,$B$8,Pills!$D$2:$D$104)</f>
        <v>0.1</v>
      </c>
      <c r="E8" s="21">
        <f>SUMIF(Pills!$A$2:$A$104,$B$8,Pills!$C$2:$C$104)</f>
        <v>0.01</v>
      </c>
      <c r="F8" s="21">
        <f>SUMIF(Pills!$A$2:$A$104,$B$8,Pills!$B$2:$B$104)</f>
        <v>0</v>
      </c>
      <c r="G8" s="21"/>
    </row>
    <row r="9" spans="1:13" x14ac:dyDescent="0.25">
      <c r="A9" s="15"/>
      <c r="B9" s="15"/>
      <c r="C9" s="15"/>
      <c r="D9" s="15"/>
      <c r="E9" s="15"/>
      <c r="F9" s="15"/>
      <c r="G9" s="15"/>
      <c r="M9" s="43"/>
    </row>
    <row r="10" spans="1:13" x14ac:dyDescent="0.25">
      <c r="A10" s="16" t="s">
        <v>16</v>
      </c>
      <c r="B10" s="17" t="s">
        <v>308</v>
      </c>
      <c r="C10" s="19">
        <f>SUMIF(LRings!$A$2:$A$106,$B$10,LRings!$E$2:$E$106) * B34</f>
        <v>9.36</v>
      </c>
      <c r="D10" s="21">
        <f>SUMIF(LRings!$A$2:$A$106,$B$10,LRings!$E$2:$E$106)</f>
        <v>0.13</v>
      </c>
      <c r="E10" s="21">
        <f>SUMIF(LRings!$A$2:$A$106,$B$10,LRings!$D$2:$D$106)</f>
        <v>0</v>
      </c>
      <c r="F10" s="21">
        <f>SUMIF(LRings!$A$2:$A$106,$B$10,LRings!$C$2:$C$106)</f>
        <v>0</v>
      </c>
      <c r="G10" s="21"/>
      <c r="M10" s="43"/>
    </row>
    <row r="11" spans="1:13" x14ac:dyDescent="0.25">
      <c r="A11" s="16" t="s">
        <v>18</v>
      </c>
      <c r="B11" s="17" t="s">
        <v>453</v>
      </c>
      <c r="C11" s="19">
        <f>SUMIF(RRings!$A$2:$A$101,$B$11,RRings!$E$2:$E$101) *B34</f>
        <v>0</v>
      </c>
      <c r="D11" s="21">
        <f>SUMIF(RRings!$A$2:$A$101,$B$11,RRings!$E$2:$E$101)</f>
        <v>0</v>
      </c>
      <c r="E11" s="21">
        <f>SUMIF(RRings!$A$2:$A$101,$B$11,RRings!$D$2:$D$101)</f>
        <v>0.03</v>
      </c>
      <c r="F11" s="21">
        <f>SUMIF(RRings!$A$2:$A$101,$B$11,RRings!$C$2:$C$101)</f>
        <v>0.2</v>
      </c>
      <c r="G11" s="21"/>
    </row>
    <row r="12" spans="1:13" x14ac:dyDescent="0.25">
      <c r="A12" s="16"/>
      <c r="B12" s="17"/>
      <c r="C12" s="19"/>
      <c r="D12" s="21"/>
      <c r="E12" s="21"/>
      <c r="F12" s="21"/>
      <c r="G12" s="21"/>
    </row>
    <row r="13" spans="1:13" x14ac:dyDescent="0.25">
      <c r="A13" s="16" t="s">
        <v>20</v>
      </c>
      <c r="B13" s="17" t="s">
        <v>21</v>
      </c>
      <c r="C13" s="19">
        <f>SUMIF(Misc!$A$2:$A$106,$B$13,Misc!$D$2:$D$106) *B34</f>
        <v>0</v>
      </c>
      <c r="D13" s="21">
        <f>SUMIF(Misc!$A$2:$A$106,$B$13,Misc!$D$2:$D$106)</f>
        <v>0</v>
      </c>
      <c r="E13" s="21">
        <f>SUMIF(Misc!$A$2:$A$106,$B$13,Misc!$C$2:$C$106)</f>
        <v>0.01</v>
      </c>
      <c r="F13" s="21">
        <f>SUMIF(Misc!$A$2:$A$106,$B$13,Misc!$B$2:$B$106)</f>
        <v>0</v>
      </c>
      <c r="G13" s="21"/>
    </row>
    <row r="14" spans="1:13" x14ac:dyDescent="0.25">
      <c r="A14" s="16" t="s">
        <v>22</v>
      </c>
      <c r="B14" s="17" t="s">
        <v>23</v>
      </c>
      <c r="C14" s="19">
        <f>SUMIF(Misc!$A$2:$A$106,$B$14,Misc!$D$2:$D$106) *B34</f>
        <v>0</v>
      </c>
      <c r="D14" s="21">
        <f>SUMIF(Misc!$A$2:$A$106,$B$14,Misc!$D$2:$D$106)</f>
        <v>0</v>
      </c>
      <c r="E14" s="21">
        <f>SUMIF(Misc!$A$2:$A$106,$B$14,Misc!$C$2:$C$106)</f>
        <v>0</v>
      </c>
      <c r="F14" s="21">
        <f>SUMIF(Misc!$A$2:$A$106,$B$14,Misc!$B$2:$B$106)</f>
        <v>0</v>
      </c>
      <c r="G14" s="21"/>
    </row>
    <row r="15" spans="1:13" x14ac:dyDescent="0.25">
      <c r="A15" s="16" t="s">
        <v>24</v>
      </c>
      <c r="B15" s="17"/>
      <c r="C15" s="19"/>
      <c r="D15" s="21"/>
      <c r="E15" s="21">
        <f>SUMIF(Sights!$A$2:$A$105,$B$15,Sights!$C$2:$C$105)</f>
        <v>0</v>
      </c>
      <c r="F15" s="21">
        <f>SUMIF(Sights!$A$2:$A$105,$B$15,Sights!$B$2:$B$105)</f>
        <v>0</v>
      </c>
      <c r="G15" s="32">
        <f>SUMIF(Sights!$A$3:$A$105,$B$15,Sights!$D$3:$D$105)</f>
        <v>0</v>
      </c>
    </row>
    <row r="16" spans="1:13" x14ac:dyDescent="0.25">
      <c r="A16" s="16" t="s">
        <v>25</v>
      </c>
      <c r="B16" s="17"/>
      <c r="C16" s="19"/>
      <c r="D16" s="21"/>
      <c r="E16" s="21">
        <f>SUMIF(Sights!$A$2:$A$104,$B$16,Sights!$C$2:$C$104)</f>
        <v>0</v>
      </c>
      <c r="F16" s="21">
        <f>SUMIF(Sights!$A$2:$A$104,$B$16,Sights!$B$2:$B$104)</f>
        <v>0</v>
      </c>
      <c r="G16" s="32">
        <f>SUMIF(Sights!$A$2:$A$104,$B$16,Sights!$D$2:$D$104)</f>
        <v>0</v>
      </c>
    </row>
    <row r="17" spans="1:11" x14ac:dyDescent="0.25">
      <c r="A17" s="16" t="s">
        <v>26</v>
      </c>
      <c r="B17" s="17" t="s">
        <v>23</v>
      </c>
      <c r="C17" s="19"/>
      <c r="D17" s="21"/>
      <c r="E17" s="21">
        <f>SUMIF(Scope!$A$2:$A$104,$B$17,Scope!$C$2:$C$104)</f>
        <v>0</v>
      </c>
      <c r="F17" s="21">
        <f>SUMIF(Scope!$A$2:$A$104,$B$17,Scope!$B$2:$B$104)</f>
        <v>0</v>
      </c>
      <c r="G17" s="32">
        <f>SUMIF(Scope!$A$2:$A$104,$B$17,Scope!$D$2:$D$104)</f>
        <v>0</v>
      </c>
    </row>
    <row r="18" spans="1:11" x14ac:dyDescent="0.25">
      <c r="A18" s="16"/>
      <c r="B18" s="19"/>
      <c r="C18" s="19"/>
      <c r="D18" s="21"/>
      <c r="E18" s="21"/>
      <c r="F18" s="21"/>
      <c r="G18" s="32"/>
    </row>
    <row r="19" spans="1:11" x14ac:dyDescent="0.25">
      <c r="A19" s="16" t="s">
        <v>27</v>
      </c>
      <c r="B19" s="19"/>
      <c r="C19" s="19"/>
      <c r="D19" s="21">
        <f>IF(D10+D11+D13+D14&lt;0.15, SUM(D10:D14), 0.15)</f>
        <v>0.13</v>
      </c>
      <c r="E19" s="21">
        <f>IF((E10+E11+E13+E14+E15+E16+E17)&lt;0.05, (E10+E11+E13+E14+E15+E16+E17), 0.05)</f>
        <v>0.04</v>
      </c>
      <c r="F19" s="21">
        <f>IF((F10+F11+F13+F14+F15+F16+F17)&lt;1, (F10+F11+F13+F14+F15+F16+F17), 1)</f>
        <v>0.2</v>
      </c>
      <c r="G19" s="21"/>
    </row>
    <row r="20" spans="1:11" x14ac:dyDescent="0.25">
      <c r="A20" s="16" t="s">
        <v>28</v>
      </c>
      <c r="B20" s="19"/>
      <c r="C20" s="19"/>
      <c r="D20" s="21">
        <f>D8</f>
        <v>0.1</v>
      </c>
      <c r="E20" s="21">
        <f>E8</f>
        <v>0.01</v>
      </c>
      <c r="F20" s="21">
        <f>F8</f>
        <v>0</v>
      </c>
      <c r="G20" s="21"/>
    </row>
    <row r="21" spans="1:11" x14ac:dyDescent="0.25">
      <c r="A21" s="16" t="s">
        <v>29</v>
      </c>
      <c r="B21" s="19"/>
      <c r="C21" s="19">
        <f>$B$34*(1+D21)</f>
        <v>88.56</v>
      </c>
      <c r="D21" s="21">
        <f>IF(D19+D20&lt;0.3, D19+D20, 0.3)</f>
        <v>0.23</v>
      </c>
      <c r="E21" s="21">
        <f>IF(E19+E20&lt;0.1, E19+E20, 0.1)</f>
        <v>0.05</v>
      </c>
      <c r="F21" s="21">
        <f>IF(F19+F20&lt;3.5, F19+F20, 3.5)</f>
        <v>0.2</v>
      </c>
      <c r="G21" s="50">
        <f>SUM(G15:G17)</f>
        <v>0</v>
      </c>
    </row>
    <row r="22" spans="1:11" x14ac:dyDescent="0.25">
      <c r="A22" s="1"/>
      <c r="B22" s="10"/>
      <c r="C22" s="10"/>
      <c r="D22" s="10"/>
      <c r="E22" s="12"/>
      <c r="F22" s="12"/>
    </row>
    <row r="23" spans="1:11" x14ac:dyDescent="0.25">
      <c r="A23" s="1"/>
      <c r="B23" s="27" t="s">
        <v>30</v>
      </c>
      <c r="C23" s="27" t="s">
        <v>31</v>
      </c>
      <c r="D23" s="27" t="s">
        <v>32</v>
      </c>
      <c r="E23" s="1" t="s">
        <v>33</v>
      </c>
      <c r="F23" s="28" t="s">
        <v>34</v>
      </c>
      <c r="G23" s="1" t="s">
        <v>35</v>
      </c>
      <c r="I23" s="1" t="s">
        <v>36</v>
      </c>
      <c r="J23">
        <v>3.56</v>
      </c>
    </row>
    <row r="24" spans="1:11" x14ac:dyDescent="0.25">
      <c r="A24" s="1" t="s">
        <v>37</v>
      </c>
      <c r="B24" s="10">
        <v>3</v>
      </c>
      <c r="C24" s="10">
        <v>80</v>
      </c>
      <c r="D24" s="12">
        <v>2.4</v>
      </c>
      <c r="E24">
        <f>Inputs!$F$6*B24</f>
        <v>1.1111111111111111E-3</v>
      </c>
      <c r="F24" s="11">
        <f>C24*D24*E24</f>
        <v>0.21333333333333332</v>
      </c>
      <c r="G24" s="2">
        <f>0.1*B24</f>
        <v>0.30000000000000004</v>
      </c>
      <c r="I24" s="1" t="s">
        <v>38</v>
      </c>
      <c r="J24" s="3">
        <f>E49</f>
        <v>1405.6742383200003</v>
      </c>
    </row>
    <row r="25" spans="1:11" x14ac:dyDescent="0.25">
      <c r="A25" s="1" t="s">
        <v>39</v>
      </c>
      <c r="B25" s="10">
        <v>0</v>
      </c>
      <c r="C25" s="10">
        <v>40</v>
      </c>
      <c r="D25" s="12">
        <v>10</v>
      </c>
      <c r="E25">
        <f>Inputs!$F$6*B25</f>
        <v>0</v>
      </c>
      <c r="F25" s="11">
        <f>C25*D25*E25</f>
        <v>0</v>
      </c>
      <c r="G25" s="2">
        <v>0</v>
      </c>
      <c r="I25" s="1" t="s">
        <v>40</v>
      </c>
      <c r="J25" s="4">
        <f>ABS(J23-E44)</f>
        <v>0.31728446975725921</v>
      </c>
      <c r="K25" s="2">
        <f>J25/E44</f>
        <v>8.1831620102180189E-2</v>
      </c>
    </row>
    <row r="26" spans="1:11" x14ac:dyDescent="0.25">
      <c r="A26" s="1" t="s">
        <v>41</v>
      </c>
      <c r="B26" s="10">
        <v>0</v>
      </c>
      <c r="C26" s="10">
        <v>100</v>
      </c>
      <c r="D26" s="12">
        <v>5.5</v>
      </c>
      <c r="E26">
        <f>Inputs!$F$6*B26</f>
        <v>0</v>
      </c>
      <c r="F26" s="11">
        <f>C26*D26*E26</f>
        <v>0</v>
      </c>
      <c r="G26" s="2">
        <v>0</v>
      </c>
      <c r="I26" s="1" t="s">
        <v>42</v>
      </c>
      <c r="J26" s="4">
        <f>(J24 - ((J24*E44)/J23)) * -1</f>
        <v>125.28050712269669</v>
      </c>
    </row>
    <row r="27" spans="1:11" x14ac:dyDescent="0.25">
      <c r="I27" s="1" t="s">
        <v>43</v>
      </c>
      <c r="J27" s="3">
        <f>J26 *Inputs!F10 *4</f>
        <v>25056.101424539338</v>
      </c>
    </row>
    <row r="28" spans="1:11" x14ac:dyDescent="0.25">
      <c r="A28" s="71" t="s">
        <v>44</v>
      </c>
      <c r="B28" s="71"/>
      <c r="D28" s="60" t="s">
        <v>45</v>
      </c>
      <c r="E28" s="60"/>
      <c r="F28" s="1" t="s">
        <v>46</v>
      </c>
      <c r="G28" s="60" t="s">
        <v>47</v>
      </c>
      <c r="I28" s="1"/>
    </row>
    <row r="29" spans="1:11" x14ac:dyDescent="0.25">
      <c r="A29" s="1" t="s">
        <v>48</v>
      </c>
      <c r="B29">
        <f>SUMIF(Weapon!$A$2:$A$103,$B$3,Weapon!$C$2:$C$103)</f>
        <v>97</v>
      </c>
      <c r="D29" s="1" t="s">
        <v>48</v>
      </c>
      <c r="E29">
        <f>SUMIF(Weapon!$A$2:$A$103,$B$3,Weapon!$C$2:$C$103) * (1+$G$24)</f>
        <v>126.10000000000001</v>
      </c>
      <c r="F29" s="13">
        <f>E29-B29</f>
        <v>29.100000000000009</v>
      </c>
      <c r="G29" s="2">
        <f t="shared" ref="G29:G31" si="0">F29/E29</f>
        <v>0.23076923076923081</v>
      </c>
      <c r="I29" s="1" t="s">
        <v>49</v>
      </c>
      <c r="J29">
        <f>Inputs!F4/E39*100</f>
        <v>26044.941994352474</v>
      </c>
    </row>
    <row r="30" spans="1:11" x14ac:dyDescent="0.25">
      <c r="A30" s="1" t="s">
        <v>50</v>
      </c>
      <c r="B30">
        <f>SUMIF(Amps!$A$18:$A$123,$B$4,Amps!$B$18:$B$123)</f>
        <v>22</v>
      </c>
      <c r="D30" s="1" t="s">
        <v>50</v>
      </c>
      <c r="E30">
        <f>SUMIF(Amps!$A$18:$A$123,$B$4,Amps!$B$18:$B$123) * (1+$G$24)</f>
        <v>28.6</v>
      </c>
      <c r="F30" s="13">
        <f>E30-B30</f>
        <v>6.6000000000000014</v>
      </c>
      <c r="G30" s="2">
        <f t="shared" si="0"/>
        <v>0.23076923076923081</v>
      </c>
      <c r="I30" s="1" t="s">
        <v>51</v>
      </c>
      <c r="J30">
        <f>J29*Inputs!F6*B24</f>
        <v>28.938824438169416</v>
      </c>
    </row>
    <row r="31" spans="1:11" x14ac:dyDescent="0.25">
      <c r="A31" s="1" t="s">
        <v>52</v>
      </c>
      <c r="B31">
        <f>B29+B30</f>
        <v>119</v>
      </c>
      <c r="D31" s="1" t="s">
        <v>52</v>
      </c>
      <c r="E31">
        <f>E29+E30</f>
        <v>154.70000000000002</v>
      </c>
      <c r="F31" s="13">
        <f>E31-B31</f>
        <v>35.700000000000017</v>
      </c>
      <c r="G31" s="2">
        <f t="shared" si="0"/>
        <v>0.23076923076923087</v>
      </c>
      <c r="I31" s="1" t="s">
        <v>53</v>
      </c>
      <c r="J31">
        <f>J30*D24</f>
        <v>69.453178651606592</v>
      </c>
    </row>
    <row r="32" spans="1:11" x14ac:dyDescent="0.25">
      <c r="A32" s="1" t="s">
        <v>54</v>
      </c>
      <c r="B32">
        <f>(B31*2) + (B31 * (B38 - 1))</f>
        <v>238</v>
      </c>
      <c r="D32" s="1" t="s">
        <v>54</v>
      </c>
      <c r="E32">
        <f>(E31*2) + (E31 * (E38 - 1))</f>
        <v>340.34000000000003</v>
      </c>
      <c r="F32" s="13">
        <f>E32-B32</f>
        <v>102.34000000000003</v>
      </c>
      <c r="G32" s="2">
        <f>F32/E32</f>
        <v>0.30069930069930079</v>
      </c>
      <c r="I32" s="1" t="s">
        <v>55</v>
      </c>
      <c r="J32" s="2">
        <f>J31/Inputs!F4</f>
        <v>8.9042536732828956E-3</v>
      </c>
    </row>
    <row r="33" spans="1:13" x14ac:dyDescent="0.25">
      <c r="A33" s="1"/>
      <c r="D33" s="1"/>
      <c r="F33" s="13"/>
    </row>
    <row r="34" spans="1:13" x14ac:dyDescent="0.25">
      <c r="A34" s="1" t="s">
        <v>56</v>
      </c>
      <c r="B34">
        <f>SUMIF(Weapon!$A$2:$A$103,$B$3,Weapon!$D$2:$D$103)</f>
        <v>72</v>
      </c>
      <c r="D34" s="1" t="s">
        <v>10</v>
      </c>
      <c r="E34" s="46">
        <f>C21</f>
        <v>88.56</v>
      </c>
      <c r="F34" s="13">
        <f t="shared" ref="F34:F39" si="1">E34-B34</f>
        <v>16.560000000000002</v>
      </c>
      <c r="G34" s="2">
        <f>F34/E34</f>
        <v>0.18699186991869921</v>
      </c>
      <c r="I34" s="1" t="s">
        <v>57</v>
      </c>
      <c r="J34" s="3">
        <f>E49*Inputs!$F$2</f>
        <v>8.4340454299200012</v>
      </c>
      <c r="M34" s="46"/>
    </row>
    <row r="35" spans="1:13" x14ac:dyDescent="0.25">
      <c r="A35" s="1" t="s">
        <v>58</v>
      </c>
      <c r="B35" s="2">
        <f>0.02*(1+$G$25)</f>
        <v>0.02</v>
      </c>
      <c r="D35" s="1" t="s">
        <v>12</v>
      </c>
      <c r="E35" s="2">
        <f>(IF($E$3 = "N", 0.01+(Inputs!$G$7/1000), 0.02)) + ($B$25*0.004)+$E$21</f>
        <v>7.0000000000000007E-2</v>
      </c>
      <c r="F35" s="47">
        <f t="shared" si="1"/>
        <v>0.05</v>
      </c>
      <c r="I35" s="1" t="s">
        <v>59</v>
      </c>
      <c r="J35" s="3">
        <f>Inputs!$F$9/J34</f>
        <v>65.29488186610628</v>
      </c>
    </row>
    <row r="36" spans="1:13" x14ac:dyDescent="0.25">
      <c r="A36" s="1" t="s">
        <v>60</v>
      </c>
      <c r="B36" s="2">
        <v>0.75</v>
      </c>
      <c r="D36" s="1" t="s">
        <v>60</v>
      </c>
      <c r="E36" s="2">
        <f>IF($F$3 = "N", (0.65+Inputs!$F$8/SUMIF(Weapon!$A$2:$A$103,$B$3,Weapon!$H$2:$H$103)/10), 0.75)</f>
        <v>0.75</v>
      </c>
      <c r="F36" s="47">
        <f t="shared" si="1"/>
        <v>0</v>
      </c>
      <c r="I36" s="1" t="s">
        <v>61</v>
      </c>
      <c r="J36" s="3">
        <f>J35/(Inputs!F10*4)</f>
        <v>0.3264744093305314</v>
      </c>
    </row>
    <row r="37" spans="1:13" x14ac:dyDescent="0.25">
      <c r="A37" s="1" t="s">
        <v>62</v>
      </c>
      <c r="B37" s="7">
        <v>0.9</v>
      </c>
      <c r="D37" s="1" t="s">
        <v>62</v>
      </c>
      <c r="E37" s="2">
        <f>IF($E$3 = "N", (0.8+Inputs!$F$7/SUMIF(Weapon!$A$2:$A$103,$B$3,Weapon!$H$2:$H$103)/10), 0.9)</f>
        <v>0.9</v>
      </c>
      <c r="F37" s="47">
        <f t="shared" si="1"/>
        <v>0</v>
      </c>
    </row>
    <row r="38" spans="1:13" x14ac:dyDescent="0.25">
      <c r="A38" s="1" t="s">
        <v>63</v>
      </c>
      <c r="B38" s="2">
        <v>1</v>
      </c>
      <c r="D38" s="1" t="s">
        <v>63</v>
      </c>
      <c r="E38" s="2">
        <f>$B$38+($F$21)</f>
        <v>1.2</v>
      </c>
      <c r="F38" s="13">
        <f t="shared" si="1"/>
        <v>0.19999999999999996</v>
      </c>
    </row>
    <row r="39" spans="1:13" x14ac:dyDescent="0.25">
      <c r="A39" s="1" t="s">
        <v>64</v>
      </c>
      <c r="B39" s="4">
        <f>$C$3 +$C$4 + $D$3 + $D$4</f>
        <v>23.203000000000003</v>
      </c>
      <c r="D39" s="1" t="s">
        <v>64</v>
      </c>
      <c r="E39" s="4">
        <f>($C$3 * (1+$G$24)) +($C$4 * (1+$G$24)) +$F$24+$F$25+$F$26 + (($D$3) * (1+$G$24) + $D$4) + $G$21</f>
        <v>29.948233333333338</v>
      </c>
      <c r="F39" s="13">
        <f t="shared" si="1"/>
        <v>6.745233333333335</v>
      </c>
    </row>
    <row r="41" spans="1:13" x14ac:dyDescent="0.25">
      <c r="A41" s="1" t="s">
        <v>65</v>
      </c>
      <c r="B41">
        <f>(B31+(0.5*B31)) / 2</f>
        <v>89.25</v>
      </c>
    </row>
    <row r="42" spans="1:13" x14ac:dyDescent="0.25">
      <c r="A42" s="1" t="s">
        <v>66</v>
      </c>
      <c r="B42">
        <f>B41*B37+((B32/2) * B35)</f>
        <v>82.704999999999998</v>
      </c>
      <c r="D42" s="1" t="s">
        <v>66</v>
      </c>
      <c r="E42" s="4">
        <f>E31*E37*E36+(E31*E37*E38*E35)</f>
        <v>116.11782000000002</v>
      </c>
      <c r="F42" s="13">
        <f>E42-B42</f>
        <v>33.412820000000025</v>
      </c>
      <c r="G42" s="2">
        <f>F42/E42</f>
        <v>0.28774928774928793</v>
      </c>
    </row>
    <row r="43" spans="1:13" x14ac:dyDescent="0.25">
      <c r="A43" s="1" t="s">
        <v>67</v>
      </c>
      <c r="B43">
        <f>B42/(60/B34)</f>
        <v>99.245999999999995</v>
      </c>
      <c r="D43" s="70" t="s">
        <v>68</v>
      </c>
      <c r="E43" s="4">
        <f>E42/(60/E34)</f>
        <v>171.38990232000003</v>
      </c>
      <c r="F43" s="13">
        <f>E43-B43</f>
        <v>72.143902320000038</v>
      </c>
      <c r="G43" s="2">
        <f t="shared" ref="G43:G46" si="2">F43/E43</f>
        <v>0.4209343802839739</v>
      </c>
    </row>
    <row r="44" spans="1:13" x14ac:dyDescent="0.25">
      <c r="A44" s="1" t="s">
        <v>69</v>
      </c>
      <c r="B44" s="4">
        <f>B42/B39</f>
        <v>3.5644097745981118</v>
      </c>
      <c r="D44" s="70" t="s">
        <v>70</v>
      </c>
      <c r="E44" s="43">
        <f>E42/E39</f>
        <v>3.8772844697572593</v>
      </c>
      <c r="F44" s="13">
        <f>E44-B44</f>
        <v>0.31287469515914745</v>
      </c>
      <c r="G44" s="2">
        <f t="shared" si="2"/>
        <v>8.0694284259915358E-2</v>
      </c>
    </row>
    <row r="45" spans="1:13" x14ac:dyDescent="0.25">
      <c r="A45" s="1"/>
      <c r="B45" s="4"/>
      <c r="D45" s="1" t="s">
        <v>71</v>
      </c>
      <c r="E45" s="4">
        <f>(E49 - ((E49*B44)/E44))</f>
        <v>113.42987656383411</v>
      </c>
      <c r="F45" s="13">
        <f>E45-B45</f>
        <v>113.42987656383411</v>
      </c>
      <c r="G45" s="2"/>
    </row>
    <row r="46" spans="1:13" x14ac:dyDescent="0.25">
      <c r="D46" s="1" t="s">
        <v>72</v>
      </c>
      <c r="E46" s="14">
        <f>(E45*(Inputs!$F$10*4))</f>
        <v>22685.975312766823</v>
      </c>
      <c r="F46" s="13">
        <f>E46-B46</f>
        <v>22685.975312766823</v>
      </c>
      <c r="G46" s="2">
        <f t="shared" si="2"/>
        <v>1</v>
      </c>
    </row>
    <row r="48" spans="1:13" x14ac:dyDescent="0.25">
      <c r="A48" s="1" t="s">
        <v>73</v>
      </c>
      <c r="B48">
        <f>B34*50</f>
        <v>3600</v>
      </c>
      <c r="D48" s="1" t="s">
        <v>73</v>
      </c>
      <c r="E48">
        <f>E34*53</f>
        <v>4693.68</v>
      </c>
      <c r="F48" s="3">
        <f t="shared" ref="F48:F53" si="3">E48-B48</f>
        <v>1093.6800000000003</v>
      </c>
      <c r="G48" s="2">
        <f t="shared" ref="G48:G53" si="4">F48/E48</f>
        <v>0.23301119803650872</v>
      </c>
    </row>
    <row r="49" spans="1:7" x14ac:dyDescent="0.25">
      <c r="A49" s="1" t="s">
        <v>74</v>
      </c>
      <c r="B49" s="4">
        <f>(B48*B39) / 100</f>
        <v>835.30800000000022</v>
      </c>
      <c r="D49" s="1" t="s">
        <v>74</v>
      </c>
      <c r="E49" s="3">
        <f>(E48*E39) / 100</f>
        <v>1405.6742383200003</v>
      </c>
      <c r="F49" s="3">
        <f t="shared" si="3"/>
        <v>570.36623832000009</v>
      </c>
      <c r="G49" s="2">
        <f t="shared" si="4"/>
        <v>0.40575989996208267</v>
      </c>
    </row>
    <row r="50" spans="1:7" x14ac:dyDescent="0.25">
      <c r="A50" s="1" t="s">
        <v>75</v>
      </c>
      <c r="B50">
        <f>B48*B35</f>
        <v>72</v>
      </c>
      <c r="D50" s="1" t="s">
        <v>75</v>
      </c>
      <c r="E50" s="3">
        <f>E48*E35</f>
        <v>328.55760000000004</v>
      </c>
      <c r="F50" s="3">
        <f t="shared" si="3"/>
        <v>256.55760000000004</v>
      </c>
      <c r="G50" s="2">
        <f t="shared" si="4"/>
        <v>0.78086034229614532</v>
      </c>
    </row>
    <row r="51" spans="1:7" x14ac:dyDescent="0.25">
      <c r="A51" s="1" t="s">
        <v>76</v>
      </c>
      <c r="B51">
        <f>B31*(B38-1)</f>
        <v>0</v>
      </c>
      <c r="D51" s="1" t="s">
        <v>76</v>
      </c>
      <c r="E51">
        <f>E31*(E38-1)</f>
        <v>30.939999999999998</v>
      </c>
      <c r="F51" s="3">
        <f t="shared" si="3"/>
        <v>30.939999999999998</v>
      </c>
      <c r="G51" s="2">
        <f t="shared" si="4"/>
        <v>1</v>
      </c>
    </row>
    <row r="52" spans="1:7" x14ac:dyDescent="0.25">
      <c r="A52" s="1" t="s">
        <v>77</v>
      </c>
      <c r="B52">
        <f>((B51/B42) / B39) * 100</f>
        <v>0</v>
      </c>
      <c r="D52" s="1" t="s">
        <v>77</v>
      </c>
      <c r="E52" s="4">
        <f>((E51/E42) * E39) / 100</f>
        <v>7.9798117061906024E-2</v>
      </c>
      <c r="F52" s="3">
        <f t="shared" si="3"/>
        <v>7.9798117061906024E-2</v>
      </c>
      <c r="G52" s="2">
        <f t="shared" si="4"/>
        <v>1</v>
      </c>
    </row>
    <row r="53" spans="1:7" x14ac:dyDescent="0.25">
      <c r="A53" s="6" t="s">
        <v>78</v>
      </c>
      <c r="B53">
        <f>B52*B50</f>
        <v>0</v>
      </c>
      <c r="D53" s="6" t="s">
        <v>78</v>
      </c>
      <c r="E53" s="4">
        <f>E52*E50</f>
        <v>26.218277826378898</v>
      </c>
      <c r="F53" s="3">
        <f t="shared" si="3"/>
        <v>26.218277826378898</v>
      </c>
      <c r="G53" s="2">
        <f t="shared" si="4"/>
        <v>1</v>
      </c>
    </row>
    <row r="55" spans="1:7" x14ac:dyDescent="0.25">
      <c r="A55" s="73" t="s">
        <v>79</v>
      </c>
      <c r="B55" s="73"/>
      <c r="C55" s="73"/>
      <c r="D55" s="73"/>
      <c r="E55" s="73"/>
      <c r="F55" s="45"/>
      <c r="G55" s="45"/>
    </row>
    <row r="56" spans="1:7" x14ac:dyDescent="0.25">
      <c r="A56" s="1" t="s">
        <v>80</v>
      </c>
      <c r="B56" s="3">
        <f xml:space="preserve"> (B$43) * 20</f>
        <v>1984.9199999999998</v>
      </c>
      <c r="D56" s="1" t="s">
        <v>80</v>
      </c>
      <c r="E56" s="3">
        <f xml:space="preserve"> (E$43) * 20</f>
        <v>3427.7980464000007</v>
      </c>
    </row>
    <row r="57" spans="1:7" x14ac:dyDescent="0.25">
      <c r="A57" s="1" t="s">
        <v>81</v>
      </c>
      <c r="B57" s="3">
        <f>B56 / 3 / 100</f>
        <v>6.6163999999999996</v>
      </c>
      <c r="D57" s="1" t="s">
        <v>81</v>
      </c>
      <c r="E57" s="3">
        <f>E56 / 3 / 100</f>
        <v>11.425993488000001</v>
      </c>
    </row>
    <row r="58" spans="1:7" x14ac:dyDescent="0.25">
      <c r="A58" s="1" t="s">
        <v>82</v>
      </c>
      <c r="B58" s="3">
        <f xml:space="preserve"> (B$43) * 30</f>
        <v>2977.3799999999997</v>
      </c>
      <c r="D58" s="1" t="s">
        <v>82</v>
      </c>
      <c r="E58" s="3">
        <f xml:space="preserve"> (E$43) * 30</f>
        <v>5141.6970696000008</v>
      </c>
    </row>
    <row r="59" spans="1:7" x14ac:dyDescent="0.25">
      <c r="A59" s="1" t="s">
        <v>83</v>
      </c>
      <c r="B59" s="3">
        <f>B58 / 3 / 100</f>
        <v>9.9245999999999999</v>
      </c>
      <c r="D59" s="1" t="s">
        <v>83</v>
      </c>
      <c r="E59" s="3">
        <f>E58 / 3 / 100</f>
        <v>17.138990232000005</v>
      </c>
    </row>
  </sheetData>
  <mergeCells count="4">
    <mergeCell ref="A28:B28"/>
    <mergeCell ref="C6:F6"/>
    <mergeCell ref="A55:E55"/>
    <mergeCell ref="A1:G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Misc!$A$2:$A$102</xm:f>
          </x14:formula1>
          <xm:sqref>B13:B14</xm:sqref>
        </x14:dataValidation>
        <x14:dataValidation type="list" allowBlank="1" showInputMessage="1" showErrorMessage="1" xr:uid="{00000000-0002-0000-0000-000001000000}">
          <x14:formula1>
            <xm:f>Sights!$A$2:$A$101</xm:f>
          </x14:formula1>
          <xm:sqref>B15:B16 B18</xm:sqref>
        </x14:dataValidation>
        <x14:dataValidation type="list" allowBlank="1" showInputMessage="1" showErrorMessage="1" xr:uid="{00000000-0002-0000-0000-000002000000}">
          <x14:formula1>
            <xm:f>Scope!$A$2:$A$99</xm:f>
          </x14:formula1>
          <xm:sqref>B17</xm:sqref>
        </x14:dataValidation>
        <x14:dataValidation type="list" allowBlank="1" showInputMessage="1" showErrorMessage="1" xr:uid="{00000000-0002-0000-0000-000003000000}">
          <x14:formula1>
            <xm:f>RRings!$A$2:$A$99</xm:f>
          </x14:formula1>
          <xm:sqref>B11:B12</xm:sqref>
        </x14:dataValidation>
        <x14:dataValidation type="list" allowBlank="1" showInputMessage="1" showErrorMessage="1" xr:uid="{00000000-0002-0000-0000-000004000000}">
          <x14:formula1>
            <xm:f>LRings!$A$2:$A$103</xm:f>
          </x14:formula1>
          <xm:sqref>B10</xm:sqref>
        </x14:dataValidation>
        <x14:dataValidation type="list" allowBlank="1" showInputMessage="1" showErrorMessage="1" xr:uid="{00000000-0002-0000-0000-000005000000}">
          <x14:formula1>
            <xm:f>Amps!A3:A1019</xm:f>
          </x14:formula1>
          <xm:sqref>B4</xm:sqref>
        </x14:dataValidation>
        <x14:dataValidation type="list" allowBlank="1" showInputMessage="1" showErrorMessage="1" xr:uid="{00000000-0002-0000-0000-000006000000}">
          <x14:formula1>
            <xm:f>Pills!A2:A1000</xm:f>
          </x14:formula1>
          <xm:sqref>B8</xm:sqref>
        </x14:dataValidation>
        <x14:dataValidation type="list" allowBlank="1" showInputMessage="1" showErrorMessage="1" xr:uid="{00000000-0002-0000-0000-000007000000}">
          <x14:formula1>
            <xm:f>Weapon!A2:A999</xm:f>
          </x14:formula1>
          <xm:sqref>B3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>
      <selection activeCell="B6" sqref="B6"/>
    </sheetView>
  </sheetViews>
  <sheetFormatPr defaultRowHeight="15" x14ac:dyDescent="0.25"/>
  <cols>
    <col min="1" max="1" width="19.7109375" bestFit="1" customWidth="1"/>
    <col min="3" max="3" width="10.5703125" bestFit="1" customWidth="1"/>
    <col min="4" max="4" width="6.140625" bestFit="1" customWidth="1"/>
    <col min="5" max="5" width="11.140625" bestFit="1" customWidth="1"/>
  </cols>
  <sheetData>
    <row r="1" spans="1:5" x14ac:dyDescent="0.25">
      <c r="A1" s="5" t="s">
        <v>305</v>
      </c>
      <c r="B1" s="5" t="s">
        <v>306</v>
      </c>
      <c r="C1" s="5" t="s">
        <v>13</v>
      </c>
      <c r="D1" s="5" t="s">
        <v>12</v>
      </c>
      <c r="E1" s="5" t="s">
        <v>11</v>
      </c>
    </row>
    <row r="2" spans="1:5" x14ac:dyDescent="0.25">
      <c r="A2" s="8" t="s">
        <v>23</v>
      </c>
      <c r="B2" s="8" t="s">
        <v>307</v>
      </c>
      <c r="C2" s="9">
        <v>0</v>
      </c>
      <c r="D2" s="9">
        <v>0</v>
      </c>
      <c r="E2" s="9">
        <v>0</v>
      </c>
    </row>
    <row r="3" spans="1:5" x14ac:dyDescent="0.25">
      <c r="A3" t="s">
        <v>17</v>
      </c>
      <c r="B3" t="s">
        <v>307</v>
      </c>
      <c r="C3" s="2">
        <v>0.13</v>
      </c>
      <c r="D3" s="2">
        <v>0</v>
      </c>
      <c r="E3" s="2">
        <v>0</v>
      </c>
    </row>
    <row r="4" spans="1:5" x14ac:dyDescent="0.25">
      <c r="A4" t="s">
        <v>308</v>
      </c>
      <c r="B4" t="s">
        <v>307</v>
      </c>
      <c r="C4" s="2">
        <v>0</v>
      </c>
      <c r="D4" s="2">
        <v>0</v>
      </c>
      <c r="E4" s="2">
        <v>0.13</v>
      </c>
    </row>
    <row r="5" spans="1:5" x14ac:dyDescent="0.25">
      <c r="A5" t="s">
        <v>463</v>
      </c>
      <c r="B5" t="s">
        <v>307</v>
      </c>
      <c r="C5" s="2">
        <v>0.13</v>
      </c>
      <c r="D5" s="2">
        <v>0.02</v>
      </c>
      <c r="E5" s="2">
        <v>0.06</v>
      </c>
    </row>
    <row r="6" spans="1:5" x14ac:dyDescent="0.25">
      <c r="A6" t="s">
        <v>464</v>
      </c>
      <c r="B6" t="s">
        <v>307</v>
      </c>
      <c r="C6" s="2">
        <v>0.16</v>
      </c>
      <c r="D6" s="2">
        <v>1.7999999999999999E-2</v>
      </c>
      <c r="E6" s="2">
        <v>0.03</v>
      </c>
    </row>
    <row r="7" spans="1:5" x14ac:dyDescent="0.25">
      <c r="A7" t="s">
        <v>309</v>
      </c>
      <c r="B7" t="s">
        <v>307</v>
      </c>
      <c r="C7" s="2">
        <v>0.1</v>
      </c>
      <c r="D7" s="2">
        <v>0</v>
      </c>
      <c r="E7" s="2">
        <v>0</v>
      </c>
    </row>
    <row r="8" spans="1:5" x14ac:dyDescent="0.25">
      <c r="A8" t="s">
        <v>310</v>
      </c>
      <c r="B8" t="s">
        <v>307</v>
      </c>
      <c r="C8" s="2">
        <v>0.08</v>
      </c>
      <c r="D8" s="2">
        <v>0.03</v>
      </c>
      <c r="E8" s="2">
        <v>0</v>
      </c>
    </row>
    <row r="9" spans="1:5" x14ac:dyDescent="0.25">
      <c r="A9" t="s">
        <v>90</v>
      </c>
      <c r="B9" t="s">
        <v>307</v>
      </c>
      <c r="C9" s="2">
        <v>0</v>
      </c>
      <c r="D9" s="2">
        <v>0</v>
      </c>
      <c r="E9" s="2">
        <v>0.15</v>
      </c>
    </row>
    <row r="10" spans="1:5" x14ac:dyDescent="0.25">
      <c r="A10" t="s">
        <v>452</v>
      </c>
      <c r="B10" t="s">
        <v>307</v>
      </c>
      <c r="C10" s="2">
        <v>0.15</v>
      </c>
      <c r="D10" s="2">
        <v>0.01</v>
      </c>
      <c r="E10" s="2">
        <v>0</v>
      </c>
    </row>
    <row r="11" spans="1:5" x14ac:dyDescent="0.25">
      <c r="A11" t="s">
        <v>455</v>
      </c>
      <c r="B11" t="s">
        <v>307</v>
      </c>
      <c r="C11" s="2">
        <v>0</v>
      </c>
      <c r="D11" s="2">
        <v>0</v>
      </c>
      <c r="E11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4"/>
  <sheetViews>
    <sheetView workbookViewId="0">
      <selection activeCell="F14" sqref="F14"/>
    </sheetView>
  </sheetViews>
  <sheetFormatPr defaultRowHeight="15" x14ac:dyDescent="0.25"/>
  <cols>
    <col min="1" max="1" width="31.42578125" customWidth="1"/>
    <col min="3" max="3" width="10.7109375" bestFit="1" customWidth="1"/>
    <col min="4" max="4" width="8.28515625" bestFit="1" customWidth="1"/>
    <col min="5" max="5" width="11.28515625" bestFit="1" customWidth="1"/>
  </cols>
  <sheetData>
    <row r="1" spans="1:5" x14ac:dyDescent="0.25">
      <c r="A1" s="5" t="s">
        <v>305</v>
      </c>
      <c r="B1" s="5" t="s">
        <v>306</v>
      </c>
      <c r="C1" s="5" t="s">
        <v>13</v>
      </c>
      <c r="D1" s="5" t="s">
        <v>12</v>
      </c>
      <c r="E1" s="5" t="s">
        <v>11</v>
      </c>
    </row>
    <row r="2" spans="1:5" x14ac:dyDescent="0.25">
      <c r="A2" s="8" t="s">
        <v>23</v>
      </c>
      <c r="B2" s="8" t="s">
        <v>311</v>
      </c>
      <c r="C2" s="9">
        <v>0</v>
      </c>
      <c r="D2" s="9">
        <v>0</v>
      </c>
      <c r="E2" s="9">
        <v>0</v>
      </c>
    </row>
    <row r="3" spans="1:5" x14ac:dyDescent="0.25">
      <c r="A3" t="s">
        <v>312</v>
      </c>
      <c r="B3" t="s">
        <v>311</v>
      </c>
      <c r="C3" s="2">
        <v>0.04</v>
      </c>
      <c r="D3" s="2">
        <v>2E-3</v>
      </c>
      <c r="E3" s="2">
        <v>0.04</v>
      </c>
    </row>
    <row r="4" spans="1:5" x14ac:dyDescent="0.25">
      <c r="A4" t="s">
        <v>313</v>
      </c>
      <c r="B4" t="s">
        <v>311</v>
      </c>
      <c r="C4" s="2">
        <v>0.06</v>
      </c>
      <c r="D4" s="2">
        <v>4.0000000000000001E-3</v>
      </c>
      <c r="E4" s="2">
        <v>0.06</v>
      </c>
    </row>
    <row r="5" spans="1:5" x14ac:dyDescent="0.25">
      <c r="A5" t="s">
        <v>314</v>
      </c>
      <c r="B5" t="s">
        <v>311</v>
      </c>
      <c r="C5" s="2">
        <v>0.08</v>
      </c>
      <c r="D5" s="2">
        <v>6.0000000000000001E-3</v>
      </c>
      <c r="E5" s="2">
        <v>0.08</v>
      </c>
    </row>
    <row r="6" spans="1:5" x14ac:dyDescent="0.25">
      <c r="A6" t="s">
        <v>315</v>
      </c>
      <c r="B6" t="s">
        <v>311</v>
      </c>
      <c r="C6" s="2">
        <v>0.1</v>
      </c>
      <c r="D6" s="2">
        <v>8.0000000000000002E-3</v>
      </c>
      <c r="E6" s="2">
        <v>0.1</v>
      </c>
    </row>
    <row r="7" spans="1:5" x14ac:dyDescent="0.25">
      <c r="A7" t="s">
        <v>316</v>
      </c>
      <c r="B7" t="s">
        <v>311</v>
      </c>
      <c r="C7" s="2">
        <v>0.12</v>
      </c>
      <c r="D7" s="2">
        <v>0.01</v>
      </c>
      <c r="E7" s="2">
        <v>0.12</v>
      </c>
    </row>
    <row r="8" spans="1:5" x14ac:dyDescent="0.25">
      <c r="A8" t="s">
        <v>109</v>
      </c>
      <c r="B8" t="s">
        <v>311</v>
      </c>
      <c r="C8" s="2">
        <v>0.14000000000000001</v>
      </c>
      <c r="D8" s="2">
        <v>1.2E-2</v>
      </c>
      <c r="E8" s="2">
        <v>0.14000000000000001</v>
      </c>
    </row>
    <row r="9" spans="1:5" x14ac:dyDescent="0.25">
      <c r="A9" t="s">
        <v>317</v>
      </c>
      <c r="B9" t="s">
        <v>311</v>
      </c>
      <c r="C9" s="2">
        <v>0.12</v>
      </c>
      <c r="D9" s="2">
        <v>0</v>
      </c>
      <c r="E9" s="2">
        <v>0.12</v>
      </c>
    </row>
    <row r="10" spans="1:5" x14ac:dyDescent="0.25">
      <c r="A10" t="s">
        <v>19</v>
      </c>
      <c r="B10" t="s">
        <v>311</v>
      </c>
      <c r="C10" s="2">
        <v>0</v>
      </c>
      <c r="D10" s="2">
        <v>0.02</v>
      </c>
      <c r="E10" s="2">
        <v>0.08</v>
      </c>
    </row>
    <row r="11" spans="1:5" x14ac:dyDescent="0.25">
      <c r="A11" t="s">
        <v>318</v>
      </c>
      <c r="B11" t="s">
        <v>311</v>
      </c>
      <c r="C11" s="2">
        <v>0</v>
      </c>
      <c r="D11" s="2">
        <v>0.02</v>
      </c>
      <c r="E11" s="2">
        <v>0.12</v>
      </c>
    </row>
    <row r="12" spans="1:5" x14ac:dyDescent="0.25">
      <c r="A12" t="s">
        <v>453</v>
      </c>
      <c r="B12" t="s">
        <v>311</v>
      </c>
      <c r="C12" s="2">
        <v>0.2</v>
      </c>
      <c r="D12" s="2">
        <v>0.03</v>
      </c>
      <c r="E12" s="2">
        <v>0</v>
      </c>
    </row>
    <row r="13" spans="1:5" x14ac:dyDescent="0.25">
      <c r="A13" t="s">
        <v>454</v>
      </c>
      <c r="B13" t="s">
        <v>311</v>
      </c>
      <c r="C13" s="2">
        <v>0</v>
      </c>
      <c r="D13" s="2">
        <v>0.02</v>
      </c>
      <c r="E13" s="2">
        <v>0.12</v>
      </c>
    </row>
    <row r="14" spans="1:5" x14ac:dyDescent="0.25">
      <c r="A14" t="s">
        <v>456</v>
      </c>
      <c r="B14" t="s">
        <v>311</v>
      </c>
      <c r="C14" s="2">
        <v>0</v>
      </c>
      <c r="D14" s="2">
        <v>0.03</v>
      </c>
      <c r="E14" s="2">
        <v>0.15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0"/>
  <sheetViews>
    <sheetView workbookViewId="0">
      <pane ySplit="1" topLeftCell="A20" activePane="bottomLeft" state="frozen"/>
      <selection pane="bottomLeft" activeCell="C47" sqref="C47:D50"/>
    </sheetView>
  </sheetViews>
  <sheetFormatPr defaultRowHeight="15" x14ac:dyDescent="0.25"/>
  <cols>
    <col min="1" max="1" width="35.5703125" bestFit="1" customWidth="1"/>
    <col min="2" max="2" width="12.140625" customWidth="1"/>
    <col min="4" max="4" width="10.85546875" bestFit="1" customWidth="1"/>
  </cols>
  <sheetData>
    <row r="1" spans="1:4" x14ac:dyDescent="0.25">
      <c r="A1" s="5" t="s">
        <v>7</v>
      </c>
      <c r="B1" s="5" t="s">
        <v>319</v>
      </c>
      <c r="C1" s="5" t="s">
        <v>1</v>
      </c>
      <c r="D1" s="1" t="s">
        <v>2</v>
      </c>
    </row>
    <row r="2" spans="1:4" x14ac:dyDescent="0.25">
      <c r="A2" t="s">
        <v>320</v>
      </c>
      <c r="B2" s="8">
        <v>0</v>
      </c>
      <c r="C2" s="8">
        <v>0</v>
      </c>
      <c r="D2" s="8">
        <v>0</v>
      </c>
    </row>
    <row r="3" spans="1:4" x14ac:dyDescent="0.25">
      <c r="A3" s="8" t="s">
        <v>321</v>
      </c>
      <c r="B3" s="8">
        <v>4</v>
      </c>
      <c r="C3" s="8">
        <v>0.88900000000000001</v>
      </c>
      <c r="D3">
        <v>0</v>
      </c>
    </row>
    <row r="4" spans="1:4" x14ac:dyDescent="0.25">
      <c r="A4" s="8" t="s">
        <v>322</v>
      </c>
      <c r="B4" s="8">
        <v>4</v>
      </c>
      <c r="C4" s="8">
        <v>0.88900000000000001</v>
      </c>
      <c r="D4">
        <v>0</v>
      </c>
    </row>
    <row r="5" spans="1:4" x14ac:dyDescent="0.25">
      <c r="A5" s="8" t="s">
        <v>323</v>
      </c>
      <c r="B5" s="8">
        <v>8</v>
      </c>
      <c r="C5" s="8">
        <v>1.778</v>
      </c>
      <c r="D5">
        <v>0</v>
      </c>
    </row>
    <row r="6" spans="1:4" x14ac:dyDescent="0.25">
      <c r="A6" s="8" t="s">
        <v>324</v>
      </c>
      <c r="B6" s="8">
        <v>8</v>
      </c>
      <c r="C6" s="8">
        <v>1.768</v>
      </c>
      <c r="D6">
        <v>0</v>
      </c>
    </row>
    <row r="7" spans="1:4" x14ac:dyDescent="0.25">
      <c r="A7" s="8" t="s">
        <v>325</v>
      </c>
      <c r="B7" s="8">
        <v>16</v>
      </c>
      <c r="C7" s="8">
        <v>3.556</v>
      </c>
      <c r="D7">
        <v>0</v>
      </c>
    </row>
    <row r="8" spans="1:4" x14ac:dyDescent="0.25">
      <c r="A8" s="8" t="s">
        <v>326</v>
      </c>
      <c r="B8" s="8">
        <v>16</v>
      </c>
      <c r="C8" s="8">
        <v>3.556</v>
      </c>
      <c r="D8">
        <v>0</v>
      </c>
    </row>
    <row r="9" spans="1:4" x14ac:dyDescent="0.25">
      <c r="A9" s="8" t="s">
        <v>327</v>
      </c>
      <c r="B9" s="8">
        <v>20</v>
      </c>
      <c r="C9" s="8">
        <v>4.444</v>
      </c>
      <c r="D9">
        <v>0</v>
      </c>
    </row>
    <row r="10" spans="1:4" x14ac:dyDescent="0.25">
      <c r="A10" s="8" t="s">
        <v>328</v>
      </c>
      <c r="B10" s="8">
        <v>24</v>
      </c>
      <c r="C10" s="8">
        <v>5.3339999999999996</v>
      </c>
      <c r="D10">
        <v>0</v>
      </c>
    </row>
    <row r="11" spans="1:4" x14ac:dyDescent="0.25">
      <c r="A11" s="8" t="s">
        <v>329</v>
      </c>
      <c r="B11" s="8">
        <v>24</v>
      </c>
      <c r="C11" s="8">
        <v>5.3339999999999996</v>
      </c>
      <c r="D11">
        <v>0</v>
      </c>
    </row>
    <row r="12" spans="1:4" x14ac:dyDescent="0.25">
      <c r="A12" s="8" t="s">
        <v>330</v>
      </c>
      <c r="B12" s="8">
        <v>28</v>
      </c>
      <c r="C12" s="8">
        <v>6.2229999999999999</v>
      </c>
      <c r="D12">
        <v>0</v>
      </c>
    </row>
    <row r="13" spans="1:4" x14ac:dyDescent="0.25">
      <c r="A13" s="8" t="s">
        <v>331</v>
      </c>
      <c r="B13" s="8">
        <v>28</v>
      </c>
      <c r="C13" s="8">
        <v>6.1079999999999997</v>
      </c>
      <c r="D13">
        <v>0</v>
      </c>
    </row>
    <row r="14" spans="1:4" x14ac:dyDescent="0.25">
      <c r="A14" s="8" t="s">
        <v>332</v>
      </c>
      <c r="B14" s="8">
        <v>32</v>
      </c>
      <c r="C14" s="8">
        <v>7.1120000000000001</v>
      </c>
      <c r="D14">
        <v>0</v>
      </c>
    </row>
    <row r="15" spans="1:4" x14ac:dyDescent="0.25">
      <c r="A15" s="8" t="s">
        <v>333</v>
      </c>
      <c r="B15" s="8">
        <v>36</v>
      </c>
      <c r="C15" s="8">
        <v>8.0009999999999994</v>
      </c>
      <c r="D15">
        <v>0</v>
      </c>
    </row>
    <row r="16" spans="1:4" x14ac:dyDescent="0.25">
      <c r="A16" s="8" t="s">
        <v>334</v>
      </c>
      <c r="B16" s="8">
        <v>36</v>
      </c>
      <c r="C16" s="8">
        <v>7.766</v>
      </c>
      <c r="D16">
        <v>0</v>
      </c>
    </row>
    <row r="17" spans="1:4" x14ac:dyDescent="0.25">
      <c r="A17" s="8" t="s">
        <v>335</v>
      </c>
      <c r="B17" s="8">
        <v>40</v>
      </c>
      <c r="C17" s="8">
        <v>8.89</v>
      </c>
      <c r="D17">
        <v>0</v>
      </c>
    </row>
    <row r="18" spans="1:4" x14ac:dyDescent="0.25">
      <c r="A18" t="s">
        <v>8</v>
      </c>
      <c r="B18">
        <v>44</v>
      </c>
      <c r="C18">
        <v>9.7789999999999999</v>
      </c>
      <c r="D18">
        <v>0</v>
      </c>
    </row>
    <row r="19" spans="1:4" x14ac:dyDescent="0.25">
      <c r="A19" t="s">
        <v>336</v>
      </c>
      <c r="B19">
        <v>7</v>
      </c>
      <c r="C19">
        <v>0.52100000000000002</v>
      </c>
      <c r="D19">
        <v>100</v>
      </c>
    </row>
    <row r="20" spans="1:4" x14ac:dyDescent="0.25">
      <c r="A20" t="s">
        <v>337</v>
      </c>
      <c r="B20">
        <v>18</v>
      </c>
      <c r="C20">
        <v>2.4729999999999999</v>
      </c>
      <c r="D20">
        <v>143</v>
      </c>
    </row>
    <row r="21" spans="1:4" x14ac:dyDescent="0.25">
      <c r="A21" t="s">
        <v>338</v>
      </c>
      <c r="B21">
        <v>21</v>
      </c>
      <c r="C21">
        <v>2.4700000000000002</v>
      </c>
      <c r="D21">
        <v>228</v>
      </c>
    </row>
    <row r="22" spans="1:4" x14ac:dyDescent="0.25">
      <c r="A22" t="s">
        <v>339</v>
      </c>
      <c r="B22">
        <v>22</v>
      </c>
      <c r="C22">
        <v>3.3109999999999999</v>
      </c>
      <c r="D22">
        <v>143</v>
      </c>
    </row>
    <row r="23" spans="1:4" x14ac:dyDescent="0.25">
      <c r="A23" t="s">
        <v>340</v>
      </c>
      <c r="B23">
        <v>26</v>
      </c>
      <c r="C23">
        <v>3.31</v>
      </c>
      <c r="D23">
        <v>242</v>
      </c>
    </row>
    <row r="24" spans="1:4" x14ac:dyDescent="0.25">
      <c r="A24" t="s">
        <v>108</v>
      </c>
      <c r="B24">
        <v>32</v>
      </c>
      <c r="C24">
        <v>3.3149999999999999</v>
      </c>
      <c r="D24">
        <v>374</v>
      </c>
    </row>
    <row r="25" spans="1:4" x14ac:dyDescent="0.25">
      <c r="A25" t="s">
        <v>341</v>
      </c>
      <c r="B25">
        <v>36</v>
      </c>
      <c r="C25">
        <v>1.589</v>
      </c>
      <c r="D25">
        <v>700</v>
      </c>
    </row>
    <row r="26" spans="1:4" x14ac:dyDescent="0.25">
      <c r="A26" t="s">
        <v>342</v>
      </c>
      <c r="B26">
        <v>14</v>
      </c>
      <c r="C26">
        <v>2.0390000000000001</v>
      </c>
      <c r="D26">
        <v>100</v>
      </c>
    </row>
    <row r="27" spans="1:4" x14ac:dyDescent="0.25">
      <c r="A27" t="s">
        <v>343</v>
      </c>
      <c r="B27">
        <v>17</v>
      </c>
      <c r="C27">
        <v>0.01</v>
      </c>
      <c r="D27">
        <v>350</v>
      </c>
    </row>
    <row r="28" spans="1:4" x14ac:dyDescent="0.25">
      <c r="A28" t="s">
        <v>344</v>
      </c>
      <c r="B28">
        <v>34</v>
      </c>
      <c r="C28">
        <v>0.02</v>
      </c>
      <c r="D28">
        <v>700</v>
      </c>
    </row>
    <row r="29" spans="1:4" x14ac:dyDescent="0.25">
      <c r="A29" t="s">
        <v>345</v>
      </c>
      <c r="B29">
        <v>47</v>
      </c>
      <c r="C29">
        <v>2.077</v>
      </c>
      <c r="D29">
        <v>915</v>
      </c>
    </row>
    <row r="30" spans="1:4" x14ac:dyDescent="0.25">
      <c r="A30" t="s">
        <v>346</v>
      </c>
      <c r="B30">
        <v>54</v>
      </c>
      <c r="C30">
        <v>2.351</v>
      </c>
      <c r="D30">
        <v>1055</v>
      </c>
    </row>
    <row r="31" spans="1:4" x14ac:dyDescent="0.25">
      <c r="A31" t="s">
        <v>347</v>
      </c>
      <c r="B31">
        <v>58</v>
      </c>
      <c r="C31">
        <v>2.5089999999999999</v>
      </c>
      <c r="D31">
        <v>1135</v>
      </c>
    </row>
    <row r="32" spans="1:4" x14ac:dyDescent="0.25">
      <c r="A32" t="s">
        <v>348</v>
      </c>
      <c r="B32">
        <v>18</v>
      </c>
      <c r="C32">
        <v>2.9020000000000001</v>
      </c>
      <c r="D32">
        <v>100</v>
      </c>
    </row>
    <row r="33" spans="1:4" x14ac:dyDescent="0.25">
      <c r="A33" t="s">
        <v>349</v>
      </c>
      <c r="B33">
        <v>31</v>
      </c>
      <c r="C33">
        <v>4</v>
      </c>
      <c r="D33">
        <v>300</v>
      </c>
    </row>
    <row r="34" spans="1:4" x14ac:dyDescent="0.25">
      <c r="A34" t="s">
        <v>350</v>
      </c>
      <c r="B34">
        <v>36</v>
      </c>
      <c r="C34">
        <v>5.95</v>
      </c>
      <c r="D34">
        <v>300</v>
      </c>
    </row>
    <row r="35" spans="1:4" x14ac:dyDescent="0.25">
      <c r="A35" t="s">
        <v>351</v>
      </c>
      <c r="B35">
        <v>43</v>
      </c>
      <c r="C35">
        <v>5.95</v>
      </c>
      <c r="D35">
        <v>386</v>
      </c>
    </row>
    <row r="36" spans="1:4" x14ac:dyDescent="0.25">
      <c r="A36" t="s">
        <v>352</v>
      </c>
      <c r="B36">
        <v>16</v>
      </c>
      <c r="C36">
        <v>2.4700000000000002</v>
      </c>
      <c r="D36">
        <v>100</v>
      </c>
    </row>
    <row r="37" spans="1:4" x14ac:dyDescent="0.25">
      <c r="A37" t="s">
        <v>353</v>
      </c>
      <c r="B37">
        <v>17</v>
      </c>
      <c r="C37">
        <v>2.476</v>
      </c>
      <c r="D37">
        <v>121</v>
      </c>
    </row>
    <row r="38" spans="1:4" x14ac:dyDescent="0.25">
      <c r="A38" t="s">
        <v>354</v>
      </c>
      <c r="B38">
        <v>18</v>
      </c>
      <c r="C38">
        <v>0.35899999999999999</v>
      </c>
      <c r="D38">
        <v>353</v>
      </c>
    </row>
    <row r="39" spans="1:4" x14ac:dyDescent="0.25">
      <c r="A39" t="s">
        <v>355</v>
      </c>
      <c r="B39">
        <v>36</v>
      </c>
      <c r="C39">
        <v>0.71</v>
      </c>
      <c r="D39">
        <v>706</v>
      </c>
    </row>
    <row r="40" spans="1:4" x14ac:dyDescent="0.25">
      <c r="A40" t="s">
        <v>446</v>
      </c>
      <c r="B40">
        <v>48</v>
      </c>
      <c r="C40">
        <v>10.667999999999999</v>
      </c>
      <c r="D40">
        <v>0</v>
      </c>
    </row>
    <row r="41" spans="1:4" x14ac:dyDescent="0.25">
      <c r="A41" t="s">
        <v>330</v>
      </c>
      <c r="B41">
        <v>28</v>
      </c>
      <c r="C41">
        <v>6.2229999999999999</v>
      </c>
      <c r="D41">
        <v>0</v>
      </c>
    </row>
    <row r="42" spans="1:4" x14ac:dyDescent="0.25">
      <c r="A42" t="s">
        <v>450</v>
      </c>
      <c r="B42">
        <v>28</v>
      </c>
      <c r="C42">
        <v>6.1079999999999997</v>
      </c>
      <c r="D42">
        <v>0</v>
      </c>
    </row>
    <row r="43" spans="1:4" x14ac:dyDescent="0.25">
      <c r="A43" t="s">
        <v>459</v>
      </c>
      <c r="B43">
        <v>39</v>
      </c>
      <c r="C43">
        <v>1.9E-2</v>
      </c>
      <c r="D43">
        <v>998</v>
      </c>
    </row>
    <row r="44" spans="1:4" x14ac:dyDescent="0.25">
      <c r="A44" t="s">
        <v>461</v>
      </c>
      <c r="B44">
        <v>49</v>
      </c>
      <c r="C44">
        <v>1.9E-2</v>
      </c>
      <c r="D44">
        <v>998</v>
      </c>
    </row>
    <row r="45" spans="1:4" x14ac:dyDescent="0.25">
      <c r="A45" t="s">
        <v>460</v>
      </c>
      <c r="B45">
        <v>59</v>
      </c>
      <c r="C45">
        <v>1.9E-2</v>
      </c>
      <c r="D45">
        <v>998</v>
      </c>
    </row>
    <row r="46" spans="1:4" x14ac:dyDescent="0.25">
      <c r="A46" t="s">
        <v>462</v>
      </c>
      <c r="B46">
        <v>69</v>
      </c>
      <c r="C46">
        <v>1.9E-2</v>
      </c>
      <c r="D46">
        <v>998</v>
      </c>
    </row>
    <row r="47" spans="1:4" x14ac:dyDescent="0.25">
      <c r="A47" t="s">
        <v>466</v>
      </c>
      <c r="B47">
        <v>45</v>
      </c>
      <c r="C47">
        <v>1.9E-2</v>
      </c>
      <c r="D47">
        <v>998</v>
      </c>
    </row>
    <row r="48" spans="1:4" x14ac:dyDescent="0.25">
      <c r="A48" t="s">
        <v>467</v>
      </c>
      <c r="B48">
        <v>50</v>
      </c>
      <c r="C48">
        <v>1.9E-2</v>
      </c>
      <c r="D48">
        <v>998</v>
      </c>
    </row>
    <row r="49" spans="1:4" x14ac:dyDescent="0.25">
      <c r="A49" t="s">
        <v>468</v>
      </c>
      <c r="B49">
        <v>55</v>
      </c>
      <c r="C49">
        <v>1.9E-2</v>
      </c>
      <c r="D49">
        <v>998</v>
      </c>
    </row>
    <row r="50" spans="1:4" x14ac:dyDescent="0.25">
      <c r="A50" t="s">
        <v>469</v>
      </c>
      <c r="B50">
        <v>60</v>
      </c>
      <c r="C50">
        <v>1.9E-2</v>
      </c>
      <c r="D50">
        <v>998</v>
      </c>
    </row>
  </sheetData>
  <autoFilter ref="A1:D1" xr:uid="{70DC85DD-B406-44DA-8C05-8A7A1A0530B5}"/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>
      <selection activeCell="E11" sqref="E11"/>
    </sheetView>
  </sheetViews>
  <sheetFormatPr defaultRowHeight="15" x14ac:dyDescent="0.25"/>
  <cols>
    <col min="1" max="1" width="36.140625" bestFit="1" customWidth="1"/>
    <col min="4" max="4" width="10.7109375" customWidth="1"/>
  </cols>
  <sheetData>
    <row r="1" spans="1:4" x14ac:dyDescent="0.25">
      <c r="A1" s="5" t="s">
        <v>296</v>
      </c>
      <c r="B1" s="5" t="s">
        <v>13</v>
      </c>
      <c r="C1" s="5" t="s">
        <v>12</v>
      </c>
      <c r="D1" s="5" t="s">
        <v>11</v>
      </c>
    </row>
    <row r="2" spans="1:4" x14ac:dyDescent="0.25">
      <c r="A2" s="8" t="s">
        <v>23</v>
      </c>
      <c r="B2" s="9">
        <v>0</v>
      </c>
      <c r="C2" s="9">
        <v>0</v>
      </c>
      <c r="D2" s="9">
        <v>0</v>
      </c>
    </row>
    <row r="3" spans="1:4" x14ac:dyDescent="0.25">
      <c r="A3" t="s">
        <v>356</v>
      </c>
      <c r="B3" s="2">
        <v>0</v>
      </c>
      <c r="C3" s="2">
        <v>0</v>
      </c>
      <c r="D3" s="2">
        <v>0.03</v>
      </c>
    </row>
    <row r="4" spans="1:4" x14ac:dyDescent="0.25">
      <c r="A4" t="s">
        <v>357</v>
      </c>
      <c r="B4" s="2">
        <v>0.6</v>
      </c>
      <c r="C4" s="2">
        <v>0</v>
      </c>
      <c r="D4" s="2">
        <v>0</v>
      </c>
    </row>
    <row r="5" spans="1:4" x14ac:dyDescent="0.25">
      <c r="A5" t="s">
        <v>358</v>
      </c>
      <c r="B5" s="2">
        <v>0</v>
      </c>
      <c r="C5" s="2">
        <v>0</v>
      </c>
      <c r="D5" s="2">
        <v>0.06</v>
      </c>
    </row>
    <row r="6" spans="1:4" x14ac:dyDescent="0.25">
      <c r="A6" t="s">
        <v>359</v>
      </c>
      <c r="B6" s="2">
        <v>0</v>
      </c>
      <c r="C6" s="2">
        <v>0</v>
      </c>
      <c r="D6" s="2">
        <v>0.05</v>
      </c>
    </row>
    <row r="7" spans="1:4" x14ac:dyDescent="0.25">
      <c r="A7" t="s">
        <v>360</v>
      </c>
      <c r="B7" s="2">
        <v>0</v>
      </c>
      <c r="C7" s="2">
        <v>2E-3</v>
      </c>
      <c r="D7" s="2">
        <v>0</v>
      </c>
    </row>
    <row r="8" spans="1:4" x14ac:dyDescent="0.25">
      <c r="A8" t="s">
        <v>361</v>
      </c>
      <c r="B8" s="2">
        <v>0</v>
      </c>
      <c r="C8" s="2">
        <v>4.0000000000000001E-3</v>
      </c>
      <c r="D8" s="2">
        <v>0</v>
      </c>
    </row>
    <row r="9" spans="1:4" x14ac:dyDescent="0.25">
      <c r="A9" t="s">
        <v>21</v>
      </c>
      <c r="B9" s="2">
        <v>0</v>
      </c>
      <c r="C9" s="2">
        <v>0.01</v>
      </c>
      <c r="D9" s="2">
        <v>0</v>
      </c>
    </row>
    <row r="10" spans="1:4" x14ac:dyDescent="0.25">
      <c r="A10" t="s">
        <v>457</v>
      </c>
      <c r="B10" s="2">
        <v>0</v>
      </c>
      <c r="C10" s="2">
        <v>0</v>
      </c>
      <c r="D10" s="2">
        <v>0.03</v>
      </c>
    </row>
    <row r="11" spans="1:4" x14ac:dyDescent="0.25">
      <c r="A11" t="s">
        <v>458</v>
      </c>
      <c r="B11" s="2">
        <v>0</v>
      </c>
      <c r="C11" s="2">
        <v>0</v>
      </c>
      <c r="D11" s="2">
        <v>0.06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>
      <selection sqref="A1:D4"/>
    </sheetView>
  </sheetViews>
  <sheetFormatPr defaultRowHeight="15" x14ac:dyDescent="0.25"/>
  <cols>
    <col min="1" max="1" width="26.7109375" bestFit="1" customWidth="1"/>
  </cols>
  <sheetData>
    <row r="1" spans="1:4" x14ac:dyDescent="0.25">
      <c r="A1" s="5" t="s">
        <v>362</v>
      </c>
      <c r="B1" s="5" t="s">
        <v>13</v>
      </c>
      <c r="C1" s="5" t="s">
        <v>12</v>
      </c>
      <c r="D1" s="5" t="s">
        <v>1</v>
      </c>
    </row>
    <row r="2" spans="1:4" x14ac:dyDescent="0.25">
      <c r="A2" s="8" t="s">
        <v>23</v>
      </c>
      <c r="B2" s="31">
        <v>0</v>
      </c>
      <c r="C2" s="31">
        <v>0</v>
      </c>
      <c r="D2" s="8">
        <v>0</v>
      </c>
    </row>
    <row r="3" spans="1:4" x14ac:dyDescent="0.25">
      <c r="A3" s="8" t="s">
        <v>363</v>
      </c>
      <c r="B3" s="9">
        <v>0.1</v>
      </c>
      <c r="C3" s="9">
        <v>0</v>
      </c>
      <c r="D3">
        <f>0.098</f>
        <v>9.8000000000000004E-2</v>
      </c>
    </row>
    <row r="4" spans="1:4" x14ac:dyDescent="0.25">
      <c r="A4" s="8" t="s">
        <v>364</v>
      </c>
      <c r="B4" s="2">
        <v>0.2</v>
      </c>
      <c r="C4" s="2">
        <v>0</v>
      </c>
      <c r="D4">
        <f>0.098</f>
        <v>9.8000000000000004E-2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>
      <selection activeCell="H22" sqref="H22"/>
    </sheetView>
  </sheetViews>
  <sheetFormatPr defaultRowHeight="15" x14ac:dyDescent="0.25"/>
  <cols>
    <col min="1" max="1" width="26.85546875" customWidth="1"/>
    <col min="2" max="2" width="10.7109375" bestFit="1" customWidth="1"/>
    <col min="3" max="3" width="12" customWidth="1"/>
  </cols>
  <sheetData>
    <row r="1" spans="1:4" x14ac:dyDescent="0.25">
      <c r="A1" s="5" t="s">
        <v>26</v>
      </c>
      <c r="B1" s="5" t="s">
        <v>13</v>
      </c>
      <c r="C1" s="5" t="s">
        <v>12</v>
      </c>
      <c r="D1" s="5" t="s">
        <v>1</v>
      </c>
    </row>
    <row r="2" spans="1:4" x14ac:dyDescent="0.25">
      <c r="A2" s="8" t="s">
        <v>23</v>
      </c>
      <c r="B2" s="31">
        <v>0</v>
      </c>
      <c r="C2" s="31">
        <v>0</v>
      </c>
      <c r="D2" s="8">
        <v>0</v>
      </c>
    </row>
    <row r="3" spans="1:4" x14ac:dyDescent="0.25">
      <c r="A3" s="8" t="s">
        <v>365</v>
      </c>
      <c r="B3" s="9">
        <v>0</v>
      </c>
      <c r="C3" s="9">
        <v>0.01</v>
      </c>
      <c r="D3">
        <v>7.0999999999999994E-2</v>
      </c>
    </row>
    <row r="4" spans="1:4" x14ac:dyDescent="0.25">
      <c r="A4" s="8" t="s">
        <v>366</v>
      </c>
      <c r="B4" s="2">
        <v>0</v>
      </c>
      <c r="C4" s="2">
        <v>0.02</v>
      </c>
      <c r="D4">
        <v>7.0999999999999994E-2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200"/>
  <sheetViews>
    <sheetView workbookViewId="0">
      <pane ySplit="1" topLeftCell="A2" activePane="bottomLeft" state="frozen"/>
      <selection pane="bottomLeft" activeCell="P15" sqref="P15"/>
    </sheetView>
  </sheetViews>
  <sheetFormatPr defaultRowHeight="15" x14ac:dyDescent="0.25"/>
  <cols>
    <col min="8" max="8" width="14.5703125" customWidth="1"/>
    <col min="10" max="10" width="8.7109375" style="2" bestFit="1" customWidth="1"/>
    <col min="14" max="14" width="19.5703125" customWidth="1"/>
    <col min="15" max="15" width="14.7109375" bestFit="1" customWidth="1"/>
    <col min="16" max="16" width="23.85546875" bestFit="1" customWidth="1"/>
  </cols>
  <sheetData>
    <row r="1" spans="1:18" s="1" customFormat="1" x14ac:dyDescent="0.25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374</v>
      </c>
      <c r="I1" s="1" t="s">
        <v>375</v>
      </c>
      <c r="J1" s="44" t="s">
        <v>376</v>
      </c>
      <c r="K1" s="1" t="s">
        <v>377</v>
      </c>
      <c r="L1" s="1" t="s">
        <v>378</v>
      </c>
      <c r="M1" s="1" t="s">
        <v>379</v>
      </c>
      <c r="O1" s="1" t="s">
        <v>380</v>
      </c>
      <c r="P1" s="1" t="s">
        <v>381</v>
      </c>
      <c r="Q1" s="1" t="s">
        <v>382</v>
      </c>
    </row>
    <row r="2" spans="1:18" x14ac:dyDescent="0.25">
      <c r="A2">
        <v>2000</v>
      </c>
      <c r="B2">
        <v>1.58</v>
      </c>
      <c r="D2">
        <v>10</v>
      </c>
      <c r="E2">
        <v>23</v>
      </c>
      <c r="F2">
        <v>2.5</v>
      </c>
      <c r="G2">
        <v>1898</v>
      </c>
      <c r="H2">
        <v>37.08</v>
      </c>
      <c r="J2" s="2">
        <v>0.93045999999999995</v>
      </c>
      <c r="K2">
        <v>-139.08000000000001</v>
      </c>
      <c r="P2">
        <v>0</v>
      </c>
      <c r="Q2">
        <v>516</v>
      </c>
    </row>
    <row r="3" spans="1:18" x14ac:dyDescent="0.25">
      <c r="A3">
        <v>1000</v>
      </c>
      <c r="B3">
        <v>0</v>
      </c>
      <c r="D3">
        <v>97</v>
      </c>
      <c r="E3">
        <v>5.5</v>
      </c>
      <c r="F3">
        <v>2.02</v>
      </c>
      <c r="G3">
        <v>980</v>
      </c>
      <c r="H3">
        <v>104.52</v>
      </c>
      <c r="J3" s="2">
        <v>0.87548000000000004</v>
      </c>
      <c r="K3">
        <v>-124.52</v>
      </c>
      <c r="O3">
        <v>0</v>
      </c>
      <c r="P3" t="e">
        <v>#DIV/0!</v>
      </c>
      <c r="Q3">
        <v>0</v>
      </c>
    </row>
    <row r="4" spans="1:18" x14ac:dyDescent="0.25">
      <c r="A4">
        <v>2000</v>
      </c>
      <c r="B4">
        <v>0</v>
      </c>
      <c r="D4">
        <v>232</v>
      </c>
      <c r="E4">
        <v>15</v>
      </c>
      <c r="F4">
        <v>9.4499999999999993</v>
      </c>
      <c r="G4">
        <v>2794</v>
      </c>
      <c r="H4">
        <v>256.45</v>
      </c>
      <c r="J4" s="2">
        <v>1.268775</v>
      </c>
      <c r="K4">
        <v>537.54999999999995</v>
      </c>
      <c r="O4">
        <v>0</v>
      </c>
      <c r="P4" t="e">
        <v>#DIV/0!</v>
      </c>
      <c r="Q4">
        <v>0</v>
      </c>
    </row>
    <row r="5" spans="1:18" x14ac:dyDescent="0.25">
      <c r="A5">
        <v>2000</v>
      </c>
      <c r="B5">
        <v>14.85</v>
      </c>
      <c r="C5">
        <v>15.01</v>
      </c>
      <c r="D5">
        <v>175</v>
      </c>
      <c r="E5">
        <v>94</v>
      </c>
      <c r="F5">
        <v>12.28</v>
      </c>
      <c r="G5">
        <v>1659</v>
      </c>
      <c r="H5">
        <v>311.14</v>
      </c>
      <c r="J5" s="2">
        <v>0.67393000000000003</v>
      </c>
      <c r="K5">
        <v>-652.14</v>
      </c>
      <c r="O5">
        <v>0</v>
      </c>
      <c r="P5">
        <v>0</v>
      </c>
      <c r="Q5">
        <v>4853</v>
      </c>
    </row>
    <row r="6" spans="1:18" x14ac:dyDescent="0.25">
      <c r="A6">
        <v>1000</v>
      </c>
      <c r="B6">
        <v>15.67</v>
      </c>
      <c r="C6">
        <v>14.54</v>
      </c>
      <c r="D6">
        <v>170</v>
      </c>
      <c r="E6">
        <v>48</v>
      </c>
      <c r="F6">
        <v>2.57</v>
      </c>
      <c r="G6">
        <v>795</v>
      </c>
      <c r="H6">
        <v>250.78</v>
      </c>
      <c r="J6" s="2">
        <v>0.54422000000000004</v>
      </c>
      <c r="K6">
        <v>-455.78</v>
      </c>
      <c r="O6">
        <v>0</v>
      </c>
      <c r="P6">
        <v>0</v>
      </c>
      <c r="Q6">
        <v>5121</v>
      </c>
    </row>
    <row r="7" spans="1:18" x14ac:dyDescent="0.25">
      <c r="A7">
        <v>2000</v>
      </c>
      <c r="B7">
        <v>30.13</v>
      </c>
      <c r="C7">
        <v>27.96</v>
      </c>
      <c r="D7">
        <v>326.42</v>
      </c>
      <c r="E7">
        <v>50.68</v>
      </c>
      <c r="F7">
        <v>5.95</v>
      </c>
      <c r="G7">
        <v>1619</v>
      </c>
      <c r="H7">
        <v>441.14</v>
      </c>
      <c r="I7">
        <v>90</v>
      </c>
      <c r="J7" s="2">
        <v>0.58892999999999995</v>
      </c>
      <c r="K7">
        <v>-822.14</v>
      </c>
      <c r="O7">
        <v>0</v>
      </c>
      <c r="P7">
        <v>0</v>
      </c>
      <c r="Q7">
        <v>9846</v>
      </c>
    </row>
    <row r="8" spans="1:18" x14ac:dyDescent="0.25">
      <c r="A8">
        <v>1000</v>
      </c>
      <c r="B8">
        <v>15.38</v>
      </c>
      <c r="C8">
        <v>14.27</v>
      </c>
      <c r="D8">
        <v>166.64</v>
      </c>
      <c r="E8">
        <v>27</v>
      </c>
      <c r="F8">
        <v>2.2000000000000002</v>
      </c>
      <c r="G8">
        <v>1335</v>
      </c>
      <c r="H8">
        <v>225.49</v>
      </c>
      <c r="J8" s="2">
        <v>1.10951</v>
      </c>
      <c r="K8">
        <v>109.51</v>
      </c>
      <c r="O8">
        <v>0</v>
      </c>
      <c r="P8">
        <v>0</v>
      </c>
      <c r="Q8">
        <v>5026</v>
      </c>
      <c r="R8" t="s">
        <v>383</v>
      </c>
    </row>
    <row r="9" spans="1:18" x14ac:dyDescent="0.25">
      <c r="A9">
        <v>1000</v>
      </c>
      <c r="B9">
        <v>15.69</v>
      </c>
      <c r="C9">
        <v>14.56</v>
      </c>
      <c r="D9">
        <v>169.96</v>
      </c>
      <c r="E9">
        <v>71.69</v>
      </c>
      <c r="F9">
        <v>3.34</v>
      </c>
      <c r="G9">
        <v>2366</v>
      </c>
      <c r="H9">
        <v>275.24</v>
      </c>
      <c r="J9" s="2">
        <v>2.09076</v>
      </c>
      <c r="K9">
        <v>1090.76</v>
      </c>
      <c r="O9">
        <v>0</v>
      </c>
      <c r="P9">
        <v>0</v>
      </c>
      <c r="Q9">
        <v>5127</v>
      </c>
      <c r="R9">
        <v>779</v>
      </c>
    </row>
    <row r="10" spans="1:18" x14ac:dyDescent="0.25">
      <c r="A10">
        <v>2000</v>
      </c>
      <c r="B10">
        <v>31.26</v>
      </c>
      <c r="C10">
        <v>29.01</v>
      </c>
      <c r="D10">
        <v>338.33</v>
      </c>
      <c r="E10">
        <v>67.22</v>
      </c>
      <c r="F10">
        <v>6.09</v>
      </c>
      <c r="G10">
        <v>1539.4</v>
      </c>
      <c r="H10">
        <v>471.91</v>
      </c>
      <c r="J10" s="2">
        <v>0.53374500000000002</v>
      </c>
      <c r="K10">
        <v>-932.51</v>
      </c>
      <c r="O10">
        <v>0</v>
      </c>
      <c r="P10">
        <v>0</v>
      </c>
      <c r="Q10">
        <v>10216</v>
      </c>
    </row>
    <row r="11" spans="1:18" x14ac:dyDescent="0.25">
      <c r="A11">
        <v>2000</v>
      </c>
      <c r="B11">
        <v>31.47</v>
      </c>
      <c r="C11">
        <v>28.5</v>
      </c>
      <c r="D11">
        <v>332.72</v>
      </c>
      <c r="E11">
        <v>273.92</v>
      </c>
      <c r="F11">
        <v>7.91</v>
      </c>
      <c r="G11">
        <v>3195.74</v>
      </c>
      <c r="H11">
        <v>674.52</v>
      </c>
      <c r="J11" s="2">
        <v>1.26061</v>
      </c>
      <c r="K11">
        <v>521.22</v>
      </c>
      <c r="O11">
        <v>0</v>
      </c>
      <c r="P11">
        <v>0</v>
      </c>
      <c r="Q11">
        <v>10284</v>
      </c>
      <c r="R11" t="s">
        <v>384</v>
      </c>
    </row>
    <row r="12" spans="1:18" x14ac:dyDescent="0.25">
      <c r="A12">
        <v>2000</v>
      </c>
      <c r="B12">
        <v>31.88</v>
      </c>
      <c r="C12">
        <v>28.5</v>
      </c>
      <c r="D12">
        <v>332.72</v>
      </c>
      <c r="E12">
        <v>182.71</v>
      </c>
      <c r="F12">
        <v>5.4</v>
      </c>
      <c r="G12">
        <v>2128.23</v>
      </c>
      <c r="H12">
        <v>581.21</v>
      </c>
      <c r="J12" s="2">
        <v>0.77351000000000003</v>
      </c>
      <c r="K12">
        <v>-452.98</v>
      </c>
      <c r="O12">
        <v>0</v>
      </c>
      <c r="P12">
        <v>0</v>
      </c>
      <c r="Q12">
        <v>10418</v>
      </c>
      <c r="R12">
        <v>-27.75</v>
      </c>
    </row>
    <row r="13" spans="1:18" x14ac:dyDescent="0.25">
      <c r="A13">
        <v>2000</v>
      </c>
      <c r="B13">
        <v>30.76</v>
      </c>
      <c r="C13">
        <v>28.5</v>
      </c>
      <c r="D13">
        <v>332.72</v>
      </c>
      <c r="E13">
        <v>169.08</v>
      </c>
      <c r="F13">
        <v>6.61</v>
      </c>
      <c r="G13">
        <v>3209.15</v>
      </c>
      <c r="H13">
        <v>567.66999999999996</v>
      </c>
      <c r="J13" s="2">
        <v>1.32074</v>
      </c>
      <c r="K13">
        <v>641.48</v>
      </c>
      <c r="L13">
        <v>236</v>
      </c>
      <c r="M13">
        <v>200</v>
      </c>
      <c r="N13" t="s">
        <v>385</v>
      </c>
      <c r="O13">
        <v>36</v>
      </c>
      <c r="P13">
        <v>1.79</v>
      </c>
      <c r="Q13">
        <v>10052</v>
      </c>
      <c r="R13" t="s">
        <v>386</v>
      </c>
    </row>
    <row r="14" spans="1:18" x14ac:dyDescent="0.25">
      <c r="A14">
        <v>2000</v>
      </c>
      <c r="B14">
        <v>31.39</v>
      </c>
      <c r="C14">
        <v>28.31</v>
      </c>
      <c r="D14">
        <v>340.08</v>
      </c>
      <c r="E14">
        <v>91.21</v>
      </c>
      <c r="F14">
        <v>8.69</v>
      </c>
      <c r="G14">
        <v>1705.31</v>
      </c>
      <c r="H14">
        <v>499.68</v>
      </c>
      <c r="J14" s="2">
        <v>0.60281499999999999</v>
      </c>
      <c r="K14">
        <v>-794.37</v>
      </c>
      <c r="L14">
        <v>220</v>
      </c>
      <c r="O14">
        <v>-16</v>
      </c>
      <c r="P14">
        <v>0.78</v>
      </c>
      <c r="Q14">
        <v>10258</v>
      </c>
      <c r="R14">
        <v>110534.9794</v>
      </c>
    </row>
    <row r="15" spans="1:18" x14ac:dyDescent="0.25">
      <c r="A15">
        <v>1000</v>
      </c>
      <c r="B15">
        <v>14.09</v>
      </c>
      <c r="C15">
        <v>13.07</v>
      </c>
      <c r="D15">
        <v>152.65</v>
      </c>
      <c r="E15">
        <v>45.41</v>
      </c>
      <c r="F15">
        <v>48.07</v>
      </c>
      <c r="G15">
        <v>881.81</v>
      </c>
      <c r="H15">
        <v>273.29000000000002</v>
      </c>
      <c r="J15" s="2">
        <v>0.60851999999999995</v>
      </c>
      <c r="K15">
        <v>-391.48</v>
      </c>
      <c r="L15">
        <v>204</v>
      </c>
      <c r="N15" t="s">
        <v>387</v>
      </c>
      <c r="O15">
        <v>-16</v>
      </c>
      <c r="P15">
        <v>1.74</v>
      </c>
      <c r="Q15">
        <v>4605</v>
      </c>
      <c r="R15" t="s">
        <v>388</v>
      </c>
    </row>
    <row r="16" spans="1:18" x14ac:dyDescent="0.25">
      <c r="A16">
        <v>1000</v>
      </c>
      <c r="B16">
        <v>15.99</v>
      </c>
      <c r="C16">
        <v>14.84</v>
      </c>
      <c r="D16">
        <v>173.27</v>
      </c>
      <c r="E16">
        <v>0</v>
      </c>
      <c r="F16">
        <v>7.01</v>
      </c>
      <c r="G16">
        <v>955.99</v>
      </c>
      <c r="H16">
        <v>211.11</v>
      </c>
      <c r="J16" s="2">
        <v>0.74487999999999999</v>
      </c>
      <c r="K16">
        <v>-255.12</v>
      </c>
      <c r="L16">
        <v>302</v>
      </c>
      <c r="M16">
        <v>109</v>
      </c>
      <c r="N16" t="s">
        <v>389</v>
      </c>
      <c r="O16">
        <v>-11</v>
      </c>
      <c r="P16">
        <v>1.05</v>
      </c>
      <c r="Q16">
        <v>5225</v>
      </c>
      <c r="R16">
        <v>1.418934267</v>
      </c>
    </row>
    <row r="17" spans="1:17" x14ac:dyDescent="0.25">
      <c r="A17">
        <v>1000</v>
      </c>
      <c r="B17">
        <v>16.260000000000002</v>
      </c>
      <c r="C17">
        <v>14.05</v>
      </c>
      <c r="D17">
        <v>164.09</v>
      </c>
      <c r="E17">
        <v>0</v>
      </c>
      <c r="F17">
        <v>3.22</v>
      </c>
      <c r="G17">
        <v>1056.8499999999999</v>
      </c>
      <c r="H17">
        <v>197.62</v>
      </c>
      <c r="J17" s="2">
        <v>0.85923000000000005</v>
      </c>
      <c r="K17">
        <v>-140.77000000000001</v>
      </c>
      <c r="L17">
        <v>280</v>
      </c>
      <c r="N17" t="s">
        <v>390</v>
      </c>
      <c r="O17">
        <v>-22</v>
      </c>
      <c r="P17">
        <v>1.5</v>
      </c>
      <c r="Q17">
        <v>4905</v>
      </c>
    </row>
    <row r="18" spans="1:17" x14ac:dyDescent="0.25">
      <c r="A18">
        <v>2000</v>
      </c>
      <c r="B18">
        <v>29.76</v>
      </c>
      <c r="C18">
        <v>23.75</v>
      </c>
      <c r="D18">
        <v>298.18</v>
      </c>
      <c r="E18">
        <v>6.14</v>
      </c>
      <c r="F18">
        <v>0.18</v>
      </c>
      <c r="G18">
        <v>2462.86</v>
      </c>
      <c r="H18">
        <v>358.01</v>
      </c>
      <c r="J18" s="2">
        <v>1.0524249999999999</v>
      </c>
      <c r="K18">
        <v>104.85</v>
      </c>
      <c r="L18">
        <v>258</v>
      </c>
      <c r="O18">
        <v>-22</v>
      </c>
      <c r="P18">
        <v>0.82</v>
      </c>
      <c r="Q18">
        <v>8977</v>
      </c>
    </row>
    <row r="19" spans="1:17" x14ac:dyDescent="0.25">
      <c r="A19">
        <v>1000</v>
      </c>
      <c r="B19">
        <v>12.04</v>
      </c>
      <c r="C19">
        <v>10.3</v>
      </c>
      <c r="D19">
        <v>120.26</v>
      </c>
      <c r="E19">
        <v>3.53</v>
      </c>
      <c r="F19">
        <v>0.36</v>
      </c>
      <c r="G19">
        <v>1019.62</v>
      </c>
      <c r="H19">
        <v>146.49</v>
      </c>
      <c r="J19" s="2">
        <v>0.87312999999999996</v>
      </c>
      <c r="K19">
        <v>-126.87</v>
      </c>
      <c r="L19">
        <v>248</v>
      </c>
      <c r="O19">
        <v>-10</v>
      </c>
      <c r="P19">
        <v>0.92</v>
      </c>
      <c r="Q19">
        <v>3632</v>
      </c>
    </row>
    <row r="20" spans="1:17" x14ac:dyDescent="0.25">
      <c r="A20">
        <v>1000</v>
      </c>
      <c r="B20">
        <v>15.52</v>
      </c>
      <c r="C20">
        <v>13.28</v>
      </c>
      <c r="D20">
        <v>155.04</v>
      </c>
      <c r="E20">
        <v>22.48</v>
      </c>
      <c r="F20">
        <v>2.82</v>
      </c>
      <c r="G20">
        <v>1439.07</v>
      </c>
      <c r="H20">
        <v>209.14</v>
      </c>
      <c r="J20" s="2">
        <v>1.22993</v>
      </c>
      <c r="K20">
        <v>229.93</v>
      </c>
      <c r="L20">
        <v>235</v>
      </c>
      <c r="O20">
        <v>-13</v>
      </c>
      <c r="P20">
        <v>0.93</v>
      </c>
      <c r="Q20">
        <v>4682</v>
      </c>
    </row>
    <row r="21" spans="1:17" x14ac:dyDescent="0.25">
      <c r="A21">
        <v>2000</v>
      </c>
      <c r="B21">
        <v>32.36</v>
      </c>
      <c r="C21">
        <v>27.68</v>
      </c>
      <c r="D21">
        <v>323.14</v>
      </c>
      <c r="E21">
        <v>221.92</v>
      </c>
      <c r="F21">
        <v>9.35</v>
      </c>
      <c r="G21">
        <v>1474.23</v>
      </c>
      <c r="H21">
        <v>614.45000000000005</v>
      </c>
      <c r="J21" s="2">
        <v>0.42988999999999999</v>
      </c>
      <c r="K21">
        <v>-1140.22</v>
      </c>
      <c r="L21">
        <v>208</v>
      </c>
      <c r="O21">
        <v>-27</v>
      </c>
      <c r="P21">
        <v>0.92</v>
      </c>
      <c r="Q21">
        <v>9762</v>
      </c>
    </row>
    <row r="22" spans="1:17" x14ac:dyDescent="0.25">
      <c r="A22">
        <v>2000</v>
      </c>
      <c r="B22">
        <v>7.33</v>
      </c>
      <c r="C22">
        <v>6.27</v>
      </c>
      <c r="D22">
        <v>73.260000000000005</v>
      </c>
      <c r="E22">
        <v>39.479999999999997</v>
      </c>
      <c r="F22">
        <v>8.64</v>
      </c>
      <c r="G22">
        <v>2153.0700000000002</v>
      </c>
      <c r="H22">
        <v>134.97999999999999</v>
      </c>
      <c r="J22" s="2">
        <v>1.009045</v>
      </c>
      <c r="K22">
        <v>18.09</v>
      </c>
      <c r="L22">
        <v>190</v>
      </c>
      <c r="O22">
        <v>-18</v>
      </c>
      <c r="P22">
        <v>2.71</v>
      </c>
      <c r="Q22">
        <v>2211</v>
      </c>
    </row>
    <row r="23" spans="1:17" x14ac:dyDescent="0.25">
      <c r="A23">
        <v>2000</v>
      </c>
      <c r="B23">
        <v>32.479999999999997</v>
      </c>
      <c r="C23">
        <v>27.78</v>
      </c>
      <c r="D23">
        <v>324.37</v>
      </c>
      <c r="E23">
        <v>132.38999999999999</v>
      </c>
      <c r="F23">
        <v>6.43</v>
      </c>
      <c r="G23">
        <v>2025.86</v>
      </c>
      <c r="H23">
        <v>523.45000000000005</v>
      </c>
      <c r="J23" s="2">
        <v>0.75120500000000001</v>
      </c>
      <c r="K23">
        <v>-497.59</v>
      </c>
      <c r="L23">
        <v>171</v>
      </c>
      <c r="N23" t="s">
        <v>391</v>
      </c>
      <c r="O23">
        <v>-19</v>
      </c>
      <c r="P23">
        <v>0.65</v>
      </c>
      <c r="Q23">
        <v>9798</v>
      </c>
    </row>
    <row r="24" spans="1:17" x14ac:dyDescent="0.25">
      <c r="A24">
        <v>1000</v>
      </c>
      <c r="B24">
        <v>15.81</v>
      </c>
      <c r="C24">
        <v>13.52</v>
      </c>
      <c r="D24">
        <v>157.91999999999999</v>
      </c>
      <c r="E24">
        <v>65.38</v>
      </c>
      <c r="F24">
        <v>1.58</v>
      </c>
      <c r="G24">
        <v>2069.2399999999998</v>
      </c>
      <c r="H24">
        <v>254.21</v>
      </c>
      <c r="J24" s="2">
        <v>1.8150299999999999</v>
      </c>
      <c r="K24">
        <v>815.03</v>
      </c>
      <c r="L24">
        <v>165</v>
      </c>
      <c r="O24">
        <v>-6</v>
      </c>
      <c r="P24">
        <v>0.42</v>
      </c>
      <c r="Q24">
        <v>4769</v>
      </c>
    </row>
    <row r="25" spans="1:17" x14ac:dyDescent="0.25">
      <c r="A25">
        <v>2000</v>
      </c>
      <c r="B25">
        <v>31.8</v>
      </c>
      <c r="C25">
        <v>27.2</v>
      </c>
      <c r="D25">
        <v>317.54000000000002</v>
      </c>
      <c r="E25">
        <v>165.46</v>
      </c>
      <c r="F25">
        <v>4</v>
      </c>
      <c r="G25">
        <v>2003.64</v>
      </c>
      <c r="H25">
        <v>546</v>
      </c>
      <c r="J25" s="2">
        <v>0.72882000000000002</v>
      </c>
      <c r="K25">
        <v>-542.36</v>
      </c>
      <c r="L25">
        <v>132</v>
      </c>
      <c r="O25">
        <v>-33</v>
      </c>
      <c r="P25">
        <v>1.1499999999999999</v>
      </c>
      <c r="Q25">
        <v>9593</v>
      </c>
    </row>
    <row r="26" spans="1:17" x14ac:dyDescent="0.25">
      <c r="A26">
        <v>2000</v>
      </c>
      <c r="B26">
        <v>32.11</v>
      </c>
      <c r="C26">
        <v>27.47</v>
      </c>
      <c r="D26">
        <v>320.64999999999998</v>
      </c>
      <c r="E26">
        <v>204.11</v>
      </c>
      <c r="F26">
        <v>7.16</v>
      </c>
      <c r="G26">
        <v>1925.31</v>
      </c>
      <c r="H26">
        <v>591.5</v>
      </c>
      <c r="J26" s="2">
        <v>0.66690499999999997</v>
      </c>
      <c r="K26">
        <v>-666.19</v>
      </c>
      <c r="L26">
        <v>96</v>
      </c>
      <c r="O26">
        <v>-36</v>
      </c>
      <c r="P26">
        <v>1.24</v>
      </c>
      <c r="Q26">
        <v>9686</v>
      </c>
    </row>
    <row r="27" spans="1:17" x14ac:dyDescent="0.25">
      <c r="A27">
        <v>1000</v>
      </c>
      <c r="B27">
        <v>16.13</v>
      </c>
      <c r="C27">
        <v>13.8</v>
      </c>
      <c r="D27">
        <v>161.13999999999999</v>
      </c>
      <c r="E27">
        <v>21.5</v>
      </c>
      <c r="F27">
        <v>2.2799999999999998</v>
      </c>
      <c r="G27">
        <v>1084.93</v>
      </c>
      <c r="H27">
        <v>214.85</v>
      </c>
      <c r="J27" s="2">
        <v>0.87007999999999996</v>
      </c>
      <c r="K27">
        <v>-129.91999999999999</v>
      </c>
      <c r="L27">
        <v>85</v>
      </c>
      <c r="O27">
        <v>-11</v>
      </c>
      <c r="P27">
        <v>0.75</v>
      </c>
      <c r="Q27">
        <v>4866</v>
      </c>
    </row>
    <row r="28" spans="1:17" x14ac:dyDescent="0.25">
      <c r="A28">
        <v>2000</v>
      </c>
      <c r="B28">
        <v>31.88</v>
      </c>
      <c r="C28">
        <v>27.27</v>
      </c>
      <c r="D28">
        <v>318.37</v>
      </c>
      <c r="E28">
        <v>33.29</v>
      </c>
      <c r="F28">
        <v>5.04</v>
      </c>
      <c r="G28">
        <v>1141.96</v>
      </c>
      <c r="H28">
        <v>415.85</v>
      </c>
      <c r="J28" s="2">
        <v>0.36305500000000002</v>
      </c>
      <c r="K28">
        <v>-1273.8900000000001</v>
      </c>
      <c r="L28">
        <v>47</v>
      </c>
      <c r="O28">
        <v>-38</v>
      </c>
      <c r="P28">
        <v>1.32</v>
      </c>
      <c r="Q28">
        <v>9617</v>
      </c>
    </row>
    <row r="29" spans="1:17" x14ac:dyDescent="0.25">
      <c r="A29">
        <v>2000</v>
      </c>
      <c r="B29">
        <v>28.34</v>
      </c>
      <c r="C29">
        <v>24.3</v>
      </c>
      <c r="D29">
        <v>283.69</v>
      </c>
      <c r="E29">
        <v>160.66999999999999</v>
      </c>
      <c r="F29">
        <v>5.75</v>
      </c>
      <c r="G29">
        <v>2023.75</v>
      </c>
      <c r="H29">
        <v>502.75</v>
      </c>
      <c r="J29" s="2">
        <v>0.76049999999999995</v>
      </c>
      <c r="K29">
        <v>-479</v>
      </c>
      <c r="L29">
        <v>266</v>
      </c>
      <c r="M29">
        <v>240</v>
      </c>
      <c r="N29" t="s">
        <v>392</v>
      </c>
      <c r="O29">
        <v>-21</v>
      </c>
      <c r="P29">
        <v>0.82</v>
      </c>
      <c r="Q29">
        <v>8549</v>
      </c>
    </row>
    <row r="30" spans="1:17" x14ac:dyDescent="0.25">
      <c r="A30">
        <v>2000</v>
      </c>
      <c r="B30">
        <v>32.33</v>
      </c>
      <c r="C30">
        <v>27.65</v>
      </c>
      <c r="D30">
        <v>322.83999999999997</v>
      </c>
      <c r="E30">
        <v>182.47</v>
      </c>
      <c r="F30">
        <v>7.05</v>
      </c>
      <c r="G30">
        <v>1713.2</v>
      </c>
      <c r="H30">
        <v>572.34</v>
      </c>
      <c r="J30" s="2">
        <v>0.57042999999999999</v>
      </c>
      <c r="K30">
        <v>-859.14</v>
      </c>
      <c r="L30">
        <v>232</v>
      </c>
      <c r="O30">
        <v>-34</v>
      </c>
      <c r="P30">
        <v>1.1599999999999999</v>
      </c>
      <c r="Q30">
        <v>9753</v>
      </c>
    </row>
    <row r="31" spans="1:17" x14ac:dyDescent="0.25">
      <c r="A31">
        <v>2000</v>
      </c>
      <c r="B31">
        <v>32.19</v>
      </c>
      <c r="C31">
        <v>27.53</v>
      </c>
      <c r="D31">
        <v>321.42</v>
      </c>
      <c r="E31">
        <v>178.8</v>
      </c>
      <c r="G31">
        <v>2196.39</v>
      </c>
      <c r="H31">
        <v>559.94000000000005</v>
      </c>
      <c r="J31" s="2">
        <v>0.81822499999999998</v>
      </c>
      <c r="K31">
        <v>-363.55</v>
      </c>
      <c r="L31">
        <v>200</v>
      </c>
      <c r="O31">
        <v>-32</v>
      </c>
      <c r="P31">
        <v>1.1000000000000001</v>
      </c>
      <c r="Q31">
        <v>9710</v>
      </c>
    </row>
    <row r="32" spans="1:17" x14ac:dyDescent="0.25">
      <c r="A32">
        <v>2000</v>
      </c>
      <c r="B32">
        <v>30.73</v>
      </c>
      <c r="C32">
        <v>26.28</v>
      </c>
      <c r="D32">
        <v>306.86</v>
      </c>
      <c r="E32">
        <v>154.51</v>
      </c>
      <c r="F32">
        <v>23.58</v>
      </c>
      <c r="G32">
        <v>1477.45</v>
      </c>
      <c r="H32">
        <v>541.96</v>
      </c>
      <c r="J32" s="2">
        <v>0.46774500000000002</v>
      </c>
      <c r="K32">
        <v>-1064.51</v>
      </c>
      <c r="L32">
        <v>172</v>
      </c>
      <c r="O32">
        <v>-28</v>
      </c>
      <c r="P32">
        <v>1.01</v>
      </c>
      <c r="Q32">
        <v>9270</v>
      </c>
    </row>
    <row r="33" spans="1:17" x14ac:dyDescent="0.25">
      <c r="A33">
        <v>2000</v>
      </c>
      <c r="B33">
        <v>31.77</v>
      </c>
      <c r="C33">
        <v>27.17</v>
      </c>
      <c r="D33">
        <v>317.24</v>
      </c>
      <c r="E33">
        <v>140.88999999999999</v>
      </c>
      <c r="G33">
        <v>2300.8200000000002</v>
      </c>
      <c r="H33">
        <v>517.07000000000005</v>
      </c>
      <c r="J33" s="2">
        <v>0.89187499999999997</v>
      </c>
      <c r="K33">
        <v>-216.25</v>
      </c>
      <c r="L33">
        <v>152</v>
      </c>
      <c r="N33" t="s">
        <v>393</v>
      </c>
      <c r="O33">
        <v>-20</v>
      </c>
      <c r="P33">
        <v>0.7</v>
      </c>
      <c r="Q33">
        <v>9584</v>
      </c>
    </row>
    <row r="34" spans="1:17" x14ac:dyDescent="0.25">
      <c r="A34">
        <v>2000</v>
      </c>
      <c r="B34">
        <v>32.19</v>
      </c>
      <c r="C34">
        <v>27.53</v>
      </c>
      <c r="D34">
        <v>321.42</v>
      </c>
      <c r="E34">
        <v>142.24</v>
      </c>
      <c r="F34">
        <v>20.82</v>
      </c>
      <c r="G34">
        <v>2639.04</v>
      </c>
      <c r="H34">
        <v>544.20000000000005</v>
      </c>
      <c r="J34" s="2">
        <v>1.04742</v>
      </c>
      <c r="K34">
        <v>94.84</v>
      </c>
      <c r="L34">
        <v>127</v>
      </c>
      <c r="O34">
        <v>-25</v>
      </c>
      <c r="P34">
        <v>0.86</v>
      </c>
      <c r="Q34">
        <v>9710</v>
      </c>
    </row>
    <row r="35" spans="1:17" x14ac:dyDescent="0.25">
      <c r="A35">
        <v>2000</v>
      </c>
      <c r="B35">
        <v>32.15</v>
      </c>
      <c r="C35">
        <v>27.5</v>
      </c>
      <c r="D35">
        <v>321.08999999999997</v>
      </c>
      <c r="E35">
        <v>53.96</v>
      </c>
      <c r="G35">
        <v>1963.48</v>
      </c>
      <c r="H35">
        <v>434.7</v>
      </c>
      <c r="J35" s="2">
        <v>0.76439000000000001</v>
      </c>
      <c r="K35">
        <v>-471.22</v>
      </c>
      <c r="L35">
        <v>104</v>
      </c>
      <c r="O35">
        <v>-23</v>
      </c>
      <c r="P35">
        <v>0.79</v>
      </c>
      <c r="Q35">
        <v>9698</v>
      </c>
    </row>
    <row r="36" spans="1:17" x14ac:dyDescent="0.25">
      <c r="A36">
        <v>2000</v>
      </c>
      <c r="B36">
        <v>31.75</v>
      </c>
      <c r="C36">
        <v>27.16</v>
      </c>
      <c r="D36">
        <v>317.07</v>
      </c>
      <c r="E36">
        <v>37.590000000000003</v>
      </c>
      <c r="G36">
        <v>1700.84</v>
      </c>
      <c r="H36">
        <v>413.57</v>
      </c>
      <c r="J36" s="2">
        <v>0.64363499999999996</v>
      </c>
      <c r="K36">
        <v>-712.73</v>
      </c>
      <c r="L36">
        <v>71</v>
      </c>
      <c r="N36" t="s">
        <v>394</v>
      </c>
      <c r="O36">
        <v>-33</v>
      </c>
      <c r="P36">
        <v>1.1499999999999999</v>
      </c>
      <c r="Q36">
        <v>9578</v>
      </c>
    </row>
    <row r="37" spans="1:17" x14ac:dyDescent="0.25">
      <c r="A37">
        <v>2000</v>
      </c>
      <c r="B37">
        <v>32.32</v>
      </c>
      <c r="C37">
        <v>27.65</v>
      </c>
      <c r="D37">
        <v>322.77</v>
      </c>
      <c r="E37">
        <v>46.83</v>
      </c>
      <c r="F37">
        <v>15.34</v>
      </c>
      <c r="G37">
        <v>3101.57</v>
      </c>
      <c r="H37">
        <v>444.91</v>
      </c>
      <c r="J37" s="2">
        <v>1.32833</v>
      </c>
      <c r="K37">
        <v>656.66</v>
      </c>
      <c r="L37">
        <v>43</v>
      </c>
      <c r="O37">
        <v>-28</v>
      </c>
      <c r="P37">
        <v>0.96</v>
      </c>
      <c r="Q37">
        <v>9750</v>
      </c>
    </row>
    <row r="38" spans="1:17" x14ac:dyDescent="0.25">
      <c r="A38">
        <v>2000</v>
      </c>
      <c r="B38">
        <v>30.62</v>
      </c>
      <c r="C38">
        <v>26.19</v>
      </c>
      <c r="D38">
        <v>305.77</v>
      </c>
      <c r="E38">
        <v>75.03</v>
      </c>
      <c r="G38">
        <v>2317.25</v>
      </c>
      <c r="H38">
        <v>437.61</v>
      </c>
      <c r="J38" s="2">
        <v>0.93981999999999999</v>
      </c>
      <c r="K38">
        <v>-120.36</v>
      </c>
      <c r="L38">
        <v>248</v>
      </c>
      <c r="M38">
        <v>232</v>
      </c>
      <c r="N38" t="s">
        <v>395</v>
      </c>
      <c r="O38">
        <v>-27</v>
      </c>
      <c r="P38">
        <v>0.97</v>
      </c>
      <c r="Q38">
        <v>9237</v>
      </c>
    </row>
    <row r="39" spans="1:17" x14ac:dyDescent="0.25">
      <c r="A39">
        <v>2000</v>
      </c>
      <c r="B39">
        <v>32.200000000000003</v>
      </c>
      <c r="C39">
        <v>27.54</v>
      </c>
      <c r="D39">
        <v>321.52</v>
      </c>
      <c r="E39">
        <v>151.59</v>
      </c>
      <c r="F39">
        <v>9.8800000000000008</v>
      </c>
      <c r="G39">
        <v>2848.83</v>
      </c>
      <c r="H39">
        <v>542.73</v>
      </c>
      <c r="J39" s="2">
        <v>1.1530499999999999</v>
      </c>
      <c r="K39">
        <v>306.10000000000002</v>
      </c>
      <c r="L39">
        <v>224</v>
      </c>
      <c r="O39">
        <v>-24</v>
      </c>
      <c r="P39">
        <v>0.82</v>
      </c>
      <c r="Q39">
        <v>9713</v>
      </c>
    </row>
    <row r="40" spans="1:17" x14ac:dyDescent="0.25">
      <c r="A40">
        <v>2000</v>
      </c>
      <c r="B40">
        <v>29.54</v>
      </c>
      <c r="C40">
        <v>25.27</v>
      </c>
      <c r="D40">
        <v>295</v>
      </c>
      <c r="E40">
        <v>28.44</v>
      </c>
      <c r="F40">
        <v>4.0199999999999996</v>
      </c>
      <c r="G40">
        <v>1488.22</v>
      </c>
      <c r="H40">
        <v>382.27</v>
      </c>
      <c r="J40" s="2">
        <v>0.55297499999999999</v>
      </c>
      <c r="K40">
        <v>-894.05</v>
      </c>
      <c r="L40">
        <v>191</v>
      </c>
      <c r="O40">
        <v>-33</v>
      </c>
      <c r="P40">
        <v>1.23</v>
      </c>
      <c r="Q40">
        <v>8911</v>
      </c>
    </row>
    <row r="41" spans="1:17" x14ac:dyDescent="0.25">
      <c r="A41">
        <v>2000</v>
      </c>
      <c r="B41">
        <v>32.18</v>
      </c>
      <c r="C41">
        <v>27.52</v>
      </c>
      <c r="D41">
        <v>321.32</v>
      </c>
      <c r="E41">
        <v>237.93</v>
      </c>
      <c r="F41">
        <v>2.58</v>
      </c>
      <c r="G41">
        <v>1669.18</v>
      </c>
      <c r="H41">
        <v>621.53</v>
      </c>
      <c r="J41" s="2">
        <v>0.52382499999999999</v>
      </c>
      <c r="K41">
        <v>-952.35</v>
      </c>
      <c r="L41">
        <v>150</v>
      </c>
      <c r="N41" t="s">
        <v>396</v>
      </c>
      <c r="O41">
        <v>-41</v>
      </c>
      <c r="P41">
        <v>1.41</v>
      </c>
      <c r="Q41">
        <v>9707</v>
      </c>
    </row>
    <row r="42" spans="1:17" x14ac:dyDescent="0.25">
      <c r="A42">
        <v>2000</v>
      </c>
      <c r="B42">
        <v>31.73</v>
      </c>
      <c r="C42">
        <v>27.14</v>
      </c>
      <c r="D42">
        <v>316.88</v>
      </c>
      <c r="E42">
        <v>289.77999999999997</v>
      </c>
      <c r="F42">
        <v>2.54</v>
      </c>
      <c r="G42">
        <v>1966.61</v>
      </c>
      <c r="H42">
        <v>668.07</v>
      </c>
      <c r="J42" s="2">
        <v>0.64927000000000001</v>
      </c>
      <c r="K42">
        <v>-701.46</v>
      </c>
      <c r="L42">
        <v>121</v>
      </c>
      <c r="O42">
        <v>-29</v>
      </c>
      <c r="P42">
        <v>1.01</v>
      </c>
      <c r="Q42">
        <v>9572</v>
      </c>
    </row>
    <row r="43" spans="1:17" x14ac:dyDescent="0.25">
      <c r="A43">
        <v>2000</v>
      </c>
      <c r="B43">
        <v>32.78</v>
      </c>
      <c r="C43">
        <v>28.17</v>
      </c>
      <c r="D43">
        <v>324.83999999999997</v>
      </c>
      <c r="E43">
        <v>245.75</v>
      </c>
      <c r="F43">
        <v>5.27</v>
      </c>
      <c r="G43">
        <v>2331.7399999999998</v>
      </c>
      <c r="H43">
        <v>636.80999999999995</v>
      </c>
      <c r="J43" s="2">
        <v>0.84746500000000002</v>
      </c>
      <c r="K43">
        <v>-305.07</v>
      </c>
      <c r="L43">
        <v>258</v>
      </c>
      <c r="M43">
        <v>180</v>
      </c>
      <c r="O43">
        <v>-43</v>
      </c>
      <c r="P43">
        <v>1.45</v>
      </c>
      <c r="Q43">
        <v>9888</v>
      </c>
    </row>
    <row r="44" spans="1:17" x14ac:dyDescent="0.25">
      <c r="A44">
        <v>2000</v>
      </c>
      <c r="B44">
        <v>31.86</v>
      </c>
      <c r="C44">
        <v>27.25</v>
      </c>
      <c r="D44">
        <v>318.17</v>
      </c>
      <c r="E44">
        <v>189.4</v>
      </c>
      <c r="F44">
        <v>5.01</v>
      </c>
      <c r="G44">
        <v>5180.32</v>
      </c>
      <c r="H44">
        <v>571.69000000000005</v>
      </c>
      <c r="J44" s="2">
        <v>2.3043149999999999</v>
      </c>
      <c r="K44">
        <v>2608.63</v>
      </c>
      <c r="L44">
        <v>232</v>
      </c>
      <c r="O44">
        <v>-26</v>
      </c>
      <c r="P44">
        <v>0.9</v>
      </c>
      <c r="Q44">
        <v>9611</v>
      </c>
    </row>
    <row r="45" spans="1:17" x14ac:dyDescent="0.25">
      <c r="A45">
        <v>2000</v>
      </c>
      <c r="B45">
        <v>31.26</v>
      </c>
      <c r="C45">
        <v>26.73</v>
      </c>
      <c r="D45">
        <v>312.2</v>
      </c>
      <c r="E45">
        <v>186.34</v>
      </c>
      <c r="F45">
        <v>22.77</v>
      </c>
      <c r="G45">
        <v>1974.65</v>
      </c>
      <c r="H45">
        <v>579.29999999999995</v>
      </c>
      <c r="J45" s="2">
        <v>0.69767500000000005</v>
      </c>
      <c r="K45">
        <v>-604.65</v>
      </c>
      <c r="L45">
        <v>207</v>
      </c>
      <c r="O45">
        <v>-25</v>
      </c>
      <c r="P45">
        <v>0.88</v>
      </c>
      <c r="Q45">
        <v>9430</v>
      </c>
    </row>
    <row r="46" spans="1:17" x14ac:dyDescent="0.25">
      <c r="A46">
        <v>2000</v>
      </c>
      <c r="B46">
        <v>33.119999999999997</v>
      </c>
      <c r="C46">
        <v>28.33</v>
      </c>
      <c r="D46">
        <v>330.7</v>
      </c>
      <c r="E46">
        <v>214.61</v>
      </c>
      <c r="F46">
        <v>4.6900000000000004</v>
      </c>
      <c r="G46">
        <v>2403.59</v>
      </c>
      <c r="H46">
        <v>611.45000000000005</v>
      </c>
      <c r="J46" s="2">
        <v>0.89607000000000003</v>
      </c>
      <c r="K46">
        <v>-207.86</v>
      </c>
      <c r="L46">
        <v>175</v>
      </c>
      <c r="O46">
        <v>-32</v>
      </c>
      <c r="P46">
        <v>1.07</v>
      </c>
      <c r="Q46">
        <v>9991</v>
      </c>
    </row>
    <row r="47" spans="1:17" x14ac:dyDescent="0.25">
      <c r="A47">
        <v>2000</v>
      </c>
      <c r="B47">
        <v>31.74</v>
      </c>
      <c r="C47">
        <v>27.15</v>
      </c>
      <c r="D47">
        <v>317.01</v>
      </c>
      <c r="E47">
        <v>211.01</v>
      </c>
      <c r="F47">
        <v>3.49</v>
      </c>
      <c r="G47">
        <v>1727.11</v>
      </c>
      <c r="H47">
        <v>590.4</v>
      </c>
      <c r="J47" s="2">
        <v>0.56835500000000005</v>
      </c>
      <c r="K47">
        <v>-863.29</v>
      </c>
      <c r="L47">
        <v>143</v>
      </c>
      <c r="O47">
        <v>-32</v>
      </c>
      <c r="P47">
        <v>1.1100000000000001</v>
      </c>
      <c r="Q47">
        <v>9575</v>
      </c>
    </row>
    <row r="48" spans="1:17" x14ac:dyDescent="0.25">
      <c r="A48">
        <v>2000</v>
      </c>
      <c r="B48">
        <v>32.22</v>
      </c>
      <c r="C48">
        <v>27.56</v>
      </c>
      <c r="D48">
        <v>321.72000000000003</v>
      </c>
      <c r="E48">
        <v>169.88</v>
      </c>
      <c r="F48">
        <v>4.2300000000000004</v>
      </c>
      <c r="G48">
        <v>3046.32</v>
      </c>
      <c r="H48">
        <v>555.61</v>
      </c>
      <c r="J48" s="2">
        <v>1.245355</v>
      </c>
      <c r="K48">
        <v>490.71</v>
      </c>
      <c r="L48">
        <v>101</v>
      </c>
      <c r="O48">
        <v>-42</v>
      </c>
      <c r="P48">
        <v>1.44</v>
      </c>
      <c r="Q48">
        <v>9719</v>
      </c>
    </row>
    <row r="49" spans="1:17" x14ac:dyDescent="0.25">
      <c r="A49">
        <v>2000</v>
      </c>
      <c r="B49">
        <v>31.87</v>
      </c>
      <c r="C49">
        <v>27.26</v>
      </c>
      <c r="D49">
        <v>318.27</v>
      </c>
      <c r="E49">
        <v>159.85</v>
      </c>
      <c r="F49">
        <v>4.0199999999999996</v>
      </c>
      <c r="G49">
        <v>1779.4</v>
      </c>
      <c r="H49">
        <v>541.27</v>
      </c>
      <c r="J49" s="2">
        <v>0.61906499999999998</v>
      </c>
      <c r="K49">
        <v>-761.87</v>
      </c>
      <c r="L49">
        <v>67</v>
      </c>
      <c r="O49">
        <v>-34</v>
      </c>
      <c r="P49">
        <v>1.18</v>
      </c>
      <c r="Q49">
        <v>9614</v>
      </c>
    </row>
    <row r="50" spans="1:17" x14ac:dyDescent="0.25">
      <c r="A50">
        <v>2000</v>
      </c>
      <c r="B50">
        <v>32.369999999999997</v>
      </c>
      <c r="C50">
        <v>27.69</v>
      </c>
      <c r="D50">
        <v>323.27</v>
      </c>
      <c r="E50">
        <v>105.55</v>
      </c>
      <c r="F50">
        <v>1.43</v>
      </c>
      <c r="G50">
        <v>2389.91</v>
      </c>
      <c r="H50">
        <v>490.31</v>
      </c>
      <c r="J50" s="2">
        <v>0.94979999999999998</v>
      </c>
      <c r="K50">
        <v>-100.4</v>
      </c>
      <c r="L50">
        <v>44</v>
      </c>
      <c r="O50">
        <v>-23</v>
      </c>
      <c r="P50">
        <v>0.79</v>
      </c>
      <c r="Q50">
        <v>9765</v>
      </c>
    </row>
    <row r="51" spans="1:17" x14ac:dyDescent="0.25">
      <c r="A51">
        <v>2100</v>
      </c>
      <c r="B51">
        <v>34.01</v>
      </c>
      <c r="C51">
        <v>29.17</v>
      </c>
      <c r="D51">
        <v>340.5</v>
      </c>
      <c r="E51">
        <v>135.71</v>
      </c>
      <c r="F51">
        <v>2.64</v>
      </c>
      <c r="G51">
        <v>1847.54</v>
      </c>
      <c r="H51">
        <v>542.03</v>
      </c>
      <c r="J51" s="2">
        <v>0.62167143000000002</v>
      </c>
      <c r="K51">
        <v>-794.49</v>
      </c>
      <c r="L51">
        <v>22</v>
      </c>
      <c r="M51">
        <v>7</v>
      </c>
      <c r="O51">
        <v>-29</v>
      </c>
      <c r="P51">
        <v>0.94</v>
      </c>
      <c r="Q51">
        <v>10259</v>
      </c>
    </row>
    <row r="52" spans="1:17" x14ac:dyDescent="0.25">
      <c r="A52">
        <v>2000</v>
      </c>
      <c r="B52">
        <v>32.58</v>
      </c>
      <c r="C52">
        <v>27.9</v>
      </c>
      <c r="D52">
        <v>325.76</v>
      </c>
      <c r="E52">
        <v>273.14</v>
      </c>
      <c r="F52">
        <v>2.8</v>
      </c>
      <c r="G52">
        <v>2076.69</v>
      </c>
      <c r="H52">
        <v>662.18</v>
      </c>
      <c r="J52" s="2">
        <v>0.70725499999999997</v>
      </c>
      <c r="K52">
        <v>-585.49</v>
      </c>
      <c r="L52">
        <v>273</v>
      </c>
      <c r="M52">
        <v>277</v>
      </c>
      <c r="O52">
        <v>-26</v>
      </c>
      <c r="P52">
        <v>0.88</v>
      </c>
      <c r="Q52">
        <v>9828</v>
      </c>
    </row>
    <row r="53" spans="1:17" x14ac:dyDescent="0.25">
      <c r="A53">
        <v>2000</v>
      </c>
      <c r="B53">
        <v>31.66</v>
      </c>
      <c r="C53">
        <v>27.09</v>
      </c>
      <c r="D53">
        <v>316.20999999999998</v>
      </c>
      <c r="E53">
        <v>214.18</v>
      </c>
      <c r="F53">
        <v>3.63</v>
      </c>
      <c r="G53">
        <v>1657.76</v>
      </c>
      <c r="H53">
        <v>592.77</v>
      </c>
      <c r="J53" s="2">
        <v>0.53249500000000005</v>
      </c>
      <c r="K53">
        <v>-935.01</v>
      </c>
      <c r="L53">
        <v>249</v>
      </c>
      <c r="O53">
        <v>-24</v>
      </c>
      <c r="P53">
        <v>0.84</v>
      </c>
      <c r="Q53">
        <v>9551</v>
      </c>
    </row>
    <row r="54" spans="1:17" x14ac:dyDescent="0.25">
      <c r="A54">
        <v>2000</v>
      </c>
      <c r="B54">
        <v>32.270000000000003</v>
      </c>
      <c r="C54">
        <v>27.6</v>
      </c>
      <c r="D54">
        <v>322.25</v>
      </c>
      <c r="E54">
        <v>224.55</v>
      </c>
      <c r="F54">
        <v>5.77</v>
      </c>
      <c r="G54">
        <v>1623.56</v>
      </c>
      <c r="H54">
        <v>612.44000000000005</v>
      </c>
      <c r="J54" s="2">
        <v>0.50556000000000001</v>
      </c>
      <c r="K54">
        <v>-988.88</v>
      </c>
      <c r="L54">
        <v>213</v>
      </c>
      <c r="N54" t="s">
        <v>397</v>
      </c>
      <c r="O54">
        <v>-36</v>
      </c>
      <c r="P54">
        <v>1.23</v>
      </c>
      <c r="Q54">
        <v>9735</v>
      </c>
    </row>
    <row r="55" spans="1:17" x14ac:dyDescent="0.25">
      <c r="A55">
        <v>2000</v>
      </c>
      <c r="B55">
        <v>31.72</v>
      </c>
      <c r="C55">
        <v>27.14</v>
      </c>
      <c r="D55">
        <v>316.81</v>
      </c>
      <c r="E55">
        <v>223.71</v>
      </c>
      <c r="F55">
        <v>3.03</v>
      </c>
      <c r="G55">
        <v>2332.27</v>
      </c>
      <c r="H55">
        <v>602.41</v>
      </c>
      <c r="J55" s="2">
        <v>0.86492999999999998</v>
      </c>
      <c r="K55">
        <v>-270.14</v>
      </c>
      <c r="L55">
        <v>179</v>
      </c>
      <c r="O55">
        <v>-34</v>
      </c>
      <c r="P55">
        <v>1.18</v>
      </c>
      <c r="Q55">
        <v>9569</v>
      </c>
    </row>
    <row r="56" spans="1:17" x14ac:dyDescent="0.25">
      <c r="A56">
        <v>2000</v>
      </c>
      <c r="B56">
        <v>32.49</v>
      </c>
      <c r="C56">
        <v>27.79</v>
      </c>
      <c r="D56">
        <v>324.43</v>
      </c>
      <c r="E56">
        <v>136.28</v>
      </c>
      <c r="G56">
        <v>2280.58</v>
      </c>
      <c r="H56">
        <v>520.99</v>
      </c>
      <c r="J56" s="2">
        <v>0.87979499999999999</v>
      </c>
      <c r="K56">
        <v>-240.41</v>
      </c>
      <c r="L56">
        <v>165</v>
      </c>
      <c r="O56">
        <v>-14</v>
      </c>
      <c r="P56">
        <v>0.48</v>
      </c>
      <c r="Q56">
        <v>9801</v>
      </c>
    </row>
    <row r="57" spans="1:17" x14ac:dyDescent="0.25">
      <c r="A57">
        <v>2000</v>
      </c>
      <c r="B57">
        <v>32.39</v>
      </c>
      <c r="C57">
        <v>27.71</v>
      </c>
      <c r="D57">
        <v>323.51</v>
      </c>
      <c r="E57">
        <v>94.82</v>
      </c>
      <c r="F57">
        <v>3.87</v>
      </c>
      <c r="G57">
        <v>2438.29</v>
      </c>
      <c r="H57">
        <v>482.3</v>
      </c>
      <c r="J57" s="2">
        <v>0.97799499999999995</v>
      </c>
      <c r="K57">
        <v>-44.01</v>
      </c>
      <c r="L57">
        <v>129</v>
      </c>
      <c r="N57" t="s">
        <v>398</v>
      </c>
      <c r="O57">
        <v>-36</v>
      </c>
      <c r="P57">
        <v>1.23</v>
      </c>
      <c r="Q57">
        <v>9771</v>
      </c>
    </row>
    <row r="58" spans="1:17" x14ac:dyDescent="0.25">
      <c r="A58">
        <v>2500</v>
      </c>
      <c r="B58">
        <v>36.25</v>
      </c>
      <c r="C58">
        <v>30.7</v>
      </c>
      <c r="D58">
        <v>358.44</v>
      </c>
      <c r="E58">
        <v>67.58</v>
      </c>
      <c r="F58">
        <v>4.05</v>
      </c>
      <c r="G58">
        <v>2315.7600000000002</v>
      </c>
      <c r="H58">
        <v>497.02</v>
      </c>
      <c r="J58" s="2">
        <v>0.72749600000000003</v>
      </c>
      <c r="K58">
        <v>-681.26</v>
      </c>
      <c r="L58">
        <v>95</v>
      </c>
      <c r="O58">
        <v>-34</v>
      </c>
      <c r="P58">
        <v>1.04</v>
      </c>
      <c r="Q58">
        <v>10935</v>
      </c>
    </row>
    <row r="59" spans="1:17" x14ac:dyDescent="0.25">
      <c r="A59">
        <v>2000</v>
      </c>
      <c r="B59">
        <v>31.54</v>
      </c>
      <c r="C59">
        <v>26.98</v>
      </c>
      <c r="D59">
        <v>314.92</v>
      </c>
      <c r="E59">
        <v>241.3</v>
      </c>
      <c r="F59">
        <v>3.84</v>
      </c>
      <c r="G59">
        <v>1649.49</v>
      </c>
      <c r="H59">
        <v>618.58000000000004</v>
      </c>
      <c r="J59" s="2">
        <v>0.515455</v>
      </c>
      <c r="K59">
        <v>-969.09</v>
      </c>
      <c r="L59">
        <v>75</v>
      </c>
      <c r="O59">
        <v>-20</v>
      </c>
      <c r="P59">
        <v>0.7</v>
      </c>
      <c r="Q59">
        <v>9514</v>
      </c>
    </row>
    <row r="60" spans="1:17" x14ac:dyDescent="0.25">
      <c r="A60">
        <v>2000</v>
      </c>
      <c r="B60">
        <v>32.19</v>
      </c>
      <c r="C60">
        <v>27.53</v>
      </c>
      <c r="D60">
        <v>321.45</v>
      </c>
      <c r="E60">
        <v>227.16</v>
      </c>
      <c r="G60">
        <v>1647.57</v>
      </c>
      <c r="H60">
        <v>608.33000000000004</v>
      </c>
      <c r="J60" s="2">
        <v>0.51961999999999997</v>
      </c>
      <c r="K60">
        <v>-960.76</v>
      </c>
      <c r="L60">
        <v>282</v>
      </c>
      <c r="M60">
        <v>240</v>
      </c>
      <c r="O60">
        <v>-33</v>
      </c>
      <c r="P60">
        <v>1.1299999999999999</v>
      </c>
      <c r="Q60">
        <v>9710</v>
      </c>
    </row>
    <row r="61" spans="1:17" x14ac:dyDescent="0.25">
      <c r="A61">
        <v>2000</v>
      </c>
      <c r="B61">
        <v>31.13</v>
      </c>
      <c r="C61">
        <v>26.63</v>
      </c>
      <c r="D61">
        <v>310.88</v>
      </c>
      <c r="E61">
        <v>249.85</v>
      </c>
      <c r="G61">
        <v>2345.91</v>
      </c>
      <c r="H61">
        <v>618.49</v>
      </c>
      <c r="J61" s="2">
        <v>0.86370999999999998</v>
      </c>
      <c r="K61">
        <v>-272.58</v>
      </c>
      <c r="L61">
        <v>249</v>
      </c>
      <c r="O61">
        <v>-33</v>
      </c>
      <c r="P61">
        <v>1.17</v>
      </c>
      <c r="Q61">
        <v>9391</v>
      </c>
    </row>
    <row r="62" spans="1:17" x14ac:dyDescent="0.25">
      <c r="A62">
        <v>1000</v>
      </c>
      <c r="B62">
        <v>15.14</v>
      </c>
      <c r="C62">
        <v>12.95</v>
      </c>
      <c r="D62">
        <v>160.82</v>
      </c>
      <c r="E62">
        <v>110.59</v>
      </c>
      <c r="G62">
        <v>849.34</v>
      </c>
      <c r="H62">
        <v>299.5</v>
      </c>
      <c r="J62" s="2">
        <v>0.54984</v>
      </c>
      <c r="K62">
        <v>-450.16</v>
      </c>
      <c r="L62">
        <v>239</v>
      </c>
      <c r="O62">
        <v>-10</v>
      </c>
      <c r="P62">
        <v>0.73</v>
      </c>
      <c r="Q62">
        <v>4567</v>
      </c>
    </row>
    <row r="63" spans="1:17" x14ac:dyDescent="0.25">
      <c r="A63">
        <v>2000</v>
      </c>
      <c r="B63">
        <v>32.25</v>
      </c>
      <c r="C63">
        <v>25.66</v>
      </c>
      <c r="D63">
        <v>299.54000000000002</v>
      </c>
      <c r="E63">
        <v>220.05</v>
      </c>
      <c r="G63">
        <v>2827.15</v>
      </c>
      <c r="H63">
        <v>577.5</v>
      </c>
      <c r="J63" s="2">
        <v>1.124825</v>
      </c>
      <c r="K63">
        <v>249.65</v>
      </c>
      <c r="L63">
        <v>261</v>
      </c>
      <c r="M63">
        <v>55</v>
      </c>
      <c r="N63" t="s">
        <v>399</v>
      </c>
      <c r="O63">
        <v>-33</v>
      </c>
      <c r="P63">
        <v>0.91</v>
      </c>
      <c r="Q63">
        <v>9034</v>
      </c>
    </row>
    <row r="64" spans="1:17" x14ac:dyDescent="0.25">
      <c r="A64">
        <v>2000</v>
      </c>
      <c r="B64">
        <v>33.200000000000003</v>
      </c>
      <c r="C64">
        <v>26.41</v>
      </c>
      <c r="D64">
        <v>308.29000000000002</v>
      </c>
      <c r="E64">
        <v>210.14</v>
      </c>
      <c r="F64">
        <v>8.14</v>
      </c>
      <c r="G64">
        <v>4833.1899999999996</v>
      </c>
      <c r="H64">
        <v>586.17999999999995</v>
      </c>
      <c r="J64" s="2">
        <v>2.1235050000000002</v>
      </c>
      <c r="K64">
        <v>2247.0100000000002</v>
      </c>
      <c r="L64">
        <v>221</v>
      </c>
      <c r="O64">
        <v>-40</v>
      </c>
      <c r="P64">
        <v>1.08</v>
      </c>
      <c r="Q64">
        <v>9300</v>
      </c>
    </row>
    <row r="65" spans="1:17" x14ac:dyDescent="0.25">
      <c r="A65">
        <v>2000</v>
      </c>
      <c r="B65">
        <v>32.729999999999997</v>
      </c>
      <c r="C65">
        <v>26.02</v>
      </c>
      <c r="D65">
        <v>303.67</v>
      </c>
      <c r="E65">
        <v>232.29</v>
      </c>
      <c r="F65">
        <v>18.32</v>
      </c>
      <c r="G65">
        <v>2416.3200000000002</v>
      </c>
      <c r="H65">
        <v>613.03</v>
      </c>
      <c r="J65" s="2">
        <v>0.90164500000000003</v>
      </c>
      <c r="K65">
        <v>-196.71</v>
      </c>
      <c r="L65">
        <v>188</v>
      </c>
      <c r="M65">
        <v>-15</v>
      </c>
      <c r="O65">
        <v>-18</v>
      </c>
      <c r="P65">
        <v>0.49</v>
      </c>
      <c r="Q65">
        <v>9168</v>
      </c>
    </row>
    <row r="66" spans="1:17" x14ac:dyDescent="0.25">
      <c r="A66">
        <v>2000</v>
      </c>
      <c r="B66">
        <v>19.97</v>
      </c>
      <c r="C66">
        <v>14.04</v>
      </c>
      <c r="D66">
        <v>270.39999999999998</v>
      </c>
      <c r="E66">
        <v>104.92</v>
      </c>
      <c r="F66">
        <v>21.38</v>
      </c>
      <c r="G66">
        <v>2038.05</v>
      </c>
      <c r="H66">
        <v>430.71</v>
      </c>
      <c r="J66" s="2">
        <v>0.80367</v>
      </c>
      <c r="K66">
        <v>-392.66</v>
      </c>
      <c r="L66">
        <v>151</v>
      </c>
      <c r="N66" t="s">
        <v>400</v>
      </c>
      <c r="O66">
        <v>-37</v>
      </c>
      <c r="P66">
        <v>1.65</v>
      </c>
      <c r="Q66">
        <v>5594</v>
      </c>
    </row>
    <row r="67" spans="1:17" x14ac:dyDescent="0.25">
      <c r="A67">
        <v>2000</v>
      </c>
      <c r="B67">
        <v>32.520000000000003</v>
      </c>
      <c r="C67">
        <v>8.01</v>
      </c>
      <c r="D67">
        <v>302.02</v>
      </c>
      <c r="E67">
        <v>240.47</v>
      </c>
      <c r="F67">
        <v>32</v>
      </c>
      <c r="G67">
        <v>1829.13</v>
      </c>
      <c r="H67">
        <v>615.02</v>
      </c>
      <c r="J67" s="2">
        <v>0.60705500000000001</v>
      </c>
      <c r="K67">
        <v>-785.89</v>
      </c>
      <c r="L67">
        <v>124</v>
      </c>
      <c r="O67">
        <v>-27</v>
      </c>
      <c r="P67">
        <v>0.74</v>
      </c>
      <c r="Q67">
        <v>9109</v>
      </c>
    </row>
    <row r="68" spans="1:17" x14ac:dyDescent="0.25">
      <c r="A68">
        <v>2000</v>
      </c>
      <c r="B68">
        <v>32.299999999999997</v>
      </c>
      <c r="C68">
        <v>7.96</v>
      </c>
      <c r="D68">
        <v>299.94</v>
      </c>
      <c r="E68">
        <v>211.54</v>
      </c>
      <c r="G68">
        <v>2462.08</v>
      </c>
      <c r="H68">
        <v>551.74</v>
      </c>
      <c r="J68" s="2">
        <v>0.95516999999999996</v>
      </c>
      <c r="K68">
        <v>-89.66</v>
      </c>
      <c r="L68">
        <v>96</v>
      </c>
      <c r="O68">
        <v>-28</v>
      </c>
      <c r="P68">
        <v>0.77</v>
      </c>
      <c r="Q68">
        <v>9048</v>
      </c>
    </row>
    <row r="69" spans="1:17" x14ac:dyDescent="0.25">
      <c r="A69">
        <v>1000</v>
      </c>
      <c r="B69">
        <v>13.98</v>
      </c>
      <c r="C69">
        <v>3.44</v>
      </c>
      <c r="D69">
        <v>129.88</v>
      </c>
      <c r="E69">
        <v>75.42</v>
      </c>
      <c r="F69">
        <v>21</v>
      </c>
      <c r="G69">
        <v>819.55</v>
      </c>
      <c r="H69">
        <v>243.72</v>
      </c>
      <c r="J69" s="2">
        <v>0.57582999999999995</v>
      </c>
      <c r="K69">
        <v>-424.17</v>
      </c>
      <c r="L69">
        <v>79</v>
      </c>
      <c r="O69">
        <v>-17</v>
      </c>
      <c r="P69">
        <v>1.0900000000000001</v>
      </c>
      <c r="Q69">
        <v>3916</v>
      </c>
    </row>
    <row r="70" spans="1:17" x14ac:dyDescent="0.25">
      <c r="A70">
        <v>2111</v>
      </c>
      <c r="B70">
        <v>34.64</v>
      </c>
      <c r="C70">
        <v>8.5299999999999994</v>
      </c>
      <c r="D70">
        <v>321.68</v>
      </c>
      <c r="E70">
        <v>86.13</v>
      </c>
      <c r="F70">
        <v>4.32</v>
      </c>
      <c r="G70">
        <v>2190.4499999999998</v>
      </c>
      <c r="H70">
        <v>455.3</v>
      </c>
      <c r="J70" s="2">
        <v>0.82195642000000002</v>
      </c>
      <c r="K70">
        <v>-375.85</v>
      </c>
      <c r="L70">
        <v>252</v>
      </c>
      <c r="M70">
        <v>200</v>
      </c>
      <c r="O70">
        <v>-27</v>
      </c>
      <c r="P70">
        <v>0.7</v>
      </c>
      <c r="Q70">
        <v>9703</v>
      </c>
    </row>
    <row r="71" spans="1:17" x14ac:dyDescent="0.25">
      <c r="A71">
        <v>2000</v>
      </c>
      <c r="B71">
        <v>32.06</v>
      </c>
      <c r="C71">
        <v>7.9</v>
      </c>
      <c r="D71">
        <v>297.77999999999997</v>
      </c>
      <c r="E71">
        <v>68.36</v>
      </c>
      <c r="F71">
        <v>24.23</v>
      </c>
      <c r="G71">
        <v>3322.43</v>
      </c>
      <c r="H71">
        <v>430.33</v>
      </c>
      <c r="J71" s="2">
        <v>1.4460500000000001</v>
      </c>
      <c r="K71">
        <v>892.1</v>
      </c>
      <c r="L71">
        <v>217</v>
      </c>
      <c r="O71">
        <v>-35</v>
      </c>
      <c r="P71">
        <v>0.97</v>
      </c>
      <c r="Q71">
        <v>8980</v>
      </c>
    </row>
    <row r="72" spans="1:17" x14ac:dyDescent="0.25">
      <c r="A72">
        <v>2000</v>
      </c>
      <c r="B72">
        <v>28.44</v>
      </c>
      <c r="C72">
        <v>2.31</v>
      </c>
      <c r="D72">
        <v>264.13</v>
      </c>
      <c r="E72">
        <v>103.66</v>
      </c>
      <c r="F72">
        <v>18.45</v>
      </c>
      <c r="G72">
        <v>1847.77</v>
      </c>
      <c r="H72">
        <v>416.99</v>
      </c>
      <c r="J72" s="2">
        <v>0.71538999999999997</v>
      </c>
      <c r="K72">
        <v>-569.22</v>
      </c>
      <c r="L72">
        <v>185</v>
      </c>
      <c r="N72" t="s">
        <v>401</v>
      </c>
      <c r="O72">
        <v>-32</v>
      </c>
      <c r="P72">
        <v>1</v>
      </c>
      <c r="Q72">
        <v>7966</v>
      </c>
    </row>
    <row r="73" spans="1:17" x14ac:dyDescent="0.25">
      <c r="A73">
        <v>2000</v>
      </c>
      <c r="B73">
        <v>30.8</v>
      </c>
      <c r="C73">
        <v>2.5</v>
      </c>
      <c r="D73">
        <v>288.04000000000002</v>
      </c>
      <c r="E73">
        <v>78.989999999999995</v>
      </c>
      <c r="F73">
        <v>14.77</v>
      </c>
      <c r="G73">
        <v>1639.91</v>
      </c>
      <c r="H73">
        <v>415.1</v>
      </c>
      <c r="J73" s="2">
        <v>0.61240499999999998</v>
      </c>
      <c r="K73">
        <v>-775.19</v>
      </c>
      <c r="L73">
        <v>155</v>
      </c>
      <c r="O73">
        <v>-30</v>
      </c>
      <c r="P73">
        <v>0.87</v>
      </c>
      <c r="Q73">
        <v>8627</v>
      </c>
    </row>
    <row r="74" spans="1:17" x14ac:dyDescent="0.25">
      <c r="A74">
        <v>1000</v>
      </c>
      <c r="B74">
        <v>16.79</v>
      </c>
      <c r="C74">
        <v>1.36</v>
      </c>
      <c r="D74">
        <v>155.93</v>
      </c>
      <c r="E74">
        <v>30.05</v>
      </c>
      <c r="F74">
        <v>3.16</v>
      </c>
      <c r="G74">
        <v>1234.77</v>
      </c>
      <c r="H74">
        <v>207.29</v>
      </c>
      <c r="J74" s="2">
        <v>1.0274799999999999</v>
      </c>
      <c r="K74">
        <v>27.48</v>
      </c>
      <c r="L74">
        <v>139</v>
      </c>
      <c r="O74">
        <v>-16</v>
      </c>
      <c r="P74">
        <v>0.85</v>
      </c>
      <c r="Q74">
        <v>4703</v>
      </c>
    </row>
    <row r="75" spans="1:17" x14ac:dyDescent="0.25">
      <c r="A75">
        <v>2000</v>
      </c>
      <c r="B75">
        <v>32.130000000000003</v>
      </c>
      <c r="C75">
        <v>2.61</v>
      </c>
      <c r="D75">
        <v>298.35000000000002</v>
      </c>
      <c r="E75">
        <v>209.14</v>
      </c>
      <c r="G75">
        <v>1756.28</v>
      </c>
      <c r="H75">
        <v>542.23</v>
      </c>
      <c r="J75" s="2">
        <v>0.60702500000000004</v>
      </c>
      <c r="K75">
        <v>-785.95</v>
      </c>
      <c r="L75">
        <v>117</v>
      </c>
      <c r="O75">
        <v>-22</v>
      </c>
      <c r="P75">
        <v>0.61</v>
      </c>
      <c r="Q75">
        <v>9000</v>
      </c>
    </row>
    <row r="76" spans="1:17" x14ac:dyDescent="0.25">
      <c r="A76">
        <v>1500</v>
      </c>
      <c r="B76">
        <v>24.42</v>
      </c>
      <c r="C76">
        <v>1.98</v>
      </c>
      <c r="D76">
        <v>226.72</v>
      </c>
      <c r="E76">
        <v>178.32</v>
      </c>
      <c r="F76">
        <v>6.23</v>
      </c>
      <c r="G76">
        <v>5012.62</v>
      </c>
      <c r="H76">
        <v>437.67</v>
      </c>
      <c r="J76" s="2">
        <v>3.0499666699999999</v>
      </c>
      <c r="K76">
        <v>3074.95</v>
      </c>
      <c r="L76">
        <v>92</v>
      </c>
      <c r="N76" t="s">
        <v>402</v>
      </c>
      <c r="O76">
        <v>-25</v>
      </c>
      <c r="P76">
        <v>0.91</v>
      </c>
      <c r="Q76">
        <v>6840</v>
      </c>
    </row>
    <row r="77" spans="1:17" x14ac:dyDescent="0.25">
      <c r="A77">
        <v>2000</v>
      </c>
      <c r="B77">
        <v>32.78</v>
      </c>
      <c r="C77">
        <v>2.66</v>
      </c>
      <c r="D77">
        <v>304.54000000000002</v>
      </c>
      <c r="E77">
        <v>62.06</v>
      </c>
      <c r="F77">
        <v>2.89</v>
      </c>
      <c r="G77">
        <v>2987.77</v>
      </c>
      <c r="H77">
        <v>404.93</v>
      </c>
      <c r="J77" s="2">
        <v>1.29142</v>
      </c>
      <c r="K77">
        <v>582.84</v>
      </c>
      <c r="L77">
        <v>54</v>
      </c>
      <c r="O77">
        <v>-38</v>
      </c>
      <c r="P77">
        <v>1.03</v>
      </c>
      <c r="Q77">
        <v>9182</v>
      </c>
    </row>
    <row r="78" spans="1:17" x14ac:dyDescent="0.25">
      <c r="A78">
        <v>2000</v>
      </c>
      <c r="B78">
        <v>31.24</v>
      </c>
      <c r="C78">
        <v>2.5299999999999998</v>
      </c>
      <c r="D78">
        <v>290.16000000000003</v>
      </c>
      <c r="E78">
        <v>175.25</v>
      </c>
      <c r="G78">
        <v>1829.09</v>
      </c>
      <c r="H78">
        <v>499.18</v>
      </c>
      <c r="J78" s="2">
        <v>0.66495499999999996</v>
      </c>
      <c r="K78">
        <v>-670.09</v>
      </c>
      <c r="L78">
        <v>222</v>
      </c>
      <c r="M78">
        <v>202</v>
      </c>
      <c r="O78">
        <v>-34</v>
      </c>
      <c r="P78">
        <v>0.97</v>
      </c>
      <c r="Q78">
        <v>8751</v>
      </c>
    </row>
    <row r="79" spans="1:17" x14ac:dyDescent="0.25">
      <c r="A79">
        <v>1000</v>
      </c>
      <c r="B79">
        <v>15.7</v>
      </c>
      <c r="C79">
        <v>1.27</v>
      </c>
      <c r="D79">
        <v>145.79</v>
      </c>
      <c r="E79">
        <v>43.75</v>
      </c>
      <c r="G79">
        <v>1823.4</v>
      </c>
      <c r="H79">
        <v>206.51</v>
      </c>
      <c r="J79" s="2">
        <v>1.6168899999999999</v>
      </c>
      <c r="K79">
        <v>616.89</v>
      </c>
      <c r="L79">
        <v>206</v>
      </c>
      <c r="N79" t="s">
        <v>403</v>
      </c>
      <c r="O79">
        <v>-16</v>
      </c>
      <c r="P79">
        <v>0.91</v>
      </c>
      <c r="Q79">
        <v>4398</v>
      </c>
    </row>
    <row r="80" spans="1:17" x14ac:dyDescent="0.25">
      <c r="A80">
        <v>1000</v>
      </c>
      <c r="B80">
        <v>15.87</v>
      </c>
      <c r="C80">
        <v>1.28</v>
      </c>
      <c r="D80">
        <v>147.44999999999999</v>
      </c>
      <c r="E80">
        <v>6.02</v>
      </c>
      <c r="G80">
        <v>1121.6600000000001</v>
      </c>
      <c r="H80">
        <v>170.62</v>
      </c>
      <c r="J80" s="2">
        <v>0.95104</v>
      </c>
      <c r="K80">
        <v>-48.96</v>
      </c>
      <c r="L80">
        <v>188</v>
      </c>
      <c r="O80">
        <v>-18</v>
      </c>
      <c r="P80">
        <v>1.01</v>
      </c>
      <c r="Q80">
        <v>4445</v>
      </c>
    </row>
    <row r="81" spans="1:17" x14ac:dyDescent="0.25">
      <c r="A81">
        <v>2000</v>
      </c>
      <c r="B81">
        <v>32.21</v>
      </c>
      <c r="C81">
        <v>2.61</v>
      </c>
      <c r="D81">
        <v>299.14</v>
      </c>
      <c r="E81">
        <v>236.38</v>
      </c>
      <c r="F81">
        <v>3.06</v>
      </c>
      <c r="G81">
        <v>2694</v>
      </c>
      <c r="H81">
        <v>573.4</v>
      </c>
      <c r="J81" s="2">
        <v>1.0603</v>
      </c>
      <c r="K81">
        <v>120.6</v>
      </c>
      <c r="L81">
        <v>150</v>
      </c>
      <c r="O81">
        <v>-38</v>
      </c>
      <c r="P81">
        <v>1.05</v>
      </c>
      <c r="Q81">
        <v>9022</v>
      </c>
    </row>
    <row r="82" spans="1:17" x14ac:dyDescent="0.25">
      <c r="A82">
        <v>2000</v>
      </c>
      <c r="B82">
        <v>29.81</v>
      </c>
      <c r="C82">
        <v>2.42</v>
      </c>
      <c r="D82">
        <v>276.86</v>
      </c>
      <c r="E82">
        <v>164.76</v>
      </c>
      <c r="G82">
        <v>1717.91</v>
      </c>
      <c r="H82">
        <v>473.85</v>
      </c>
      <c r="J82" s="2">
        <v>0.62202999999999997</v>
      </c>
      <c r="K82">
        <v>-755.94</v>
      </c>
      <c r="L82">
        <v>190</v>
      </c>
      <c r="M82">
        <v>70</v>
      </c>
      <c r="N82" t="s">
        <v>402</v>
      </c>
      <c r="O82">
        <v>-30</v>
      </c>
      <c r="P82">
        <v>0.9</v>
      </c>
      <c r="Q82">
        <v>8350</v>
      </c>
    </row>
    <row r="83" spans="1:17" x14ac:dyDescent="0.25">
      <c r="A83">
        <v>2000</v>
      </c>
      <c r="B83">
        <v>30.23</v>
      </c>
      <c r="C83">
        <v>2.3199999999999998</v>
      </c>
      <c r="D83">
        <v>280.77999999999997</v>
      </c>
      <c r="E83">
        <v>152.02000000000001</v>
      </c>
      <c r="F83">
        <v>2.6</v>
      </c>
      <c r="G83">
        <v>5252.81</v>
      </c>
      <c r="H83">
        <v>467.95</v>
      </c>
      <c r="J83" s="2">
        <v>2.3924300000000001</v>
      </c>
      <c r="K83">
        <v>2784.86</v>
      </c>
      <c r="L83">
        <v>171</v>
      </c>
      <c r="O83">
        <v>-19</v>
      </c>
      <c r="P83">
        <v>0.56000000000000005</v>
      </c>
      <c r="Q83">
        <v>8468</v>
      </c>
    </row>
    <row r="84" spans="1:17" x14ac:dyDescent="0.25">
      <c r="A84">
        <v>1100</v>
      </c>
      <c r="B84">
        <v>18.02</v>
      </c>
      <c r="C84">
        <v>1.46</v>
      </c>
      <c r="D84">
        <v>167.4</v>
      </c>
      <c r="E84">
        <v>24.34</v>
      </c>
      <c r="F84">
        <v>1.46</v>
      </c>
      <c r="G84">
        <v>1404.89</v>
      </c>
      <c r="H84">
        <v>212.68</v>
      </c>
      <c r="J84" s="2">
        <v>1.08382727</v>
      </c>
      <c r="K84">
        <v>92.21</v>
      </c>
      <c r="L84">
        <v>156</v>
      </c>
      <c r="O84">
        <v>-15</v>
      </c>
      <c r="P84">
        <v>0.74</v>
      </c>
      <c r="Q84">
        <v>5048</v>
      </c>
    </row>
    <row r="85" spans="1:17" x14ac:dyDescent="0.25">
      <c r="A85">
        <v>2100</v>
      </c>
      <c r="B85">
        <v>33.86</v>
      </c>
      <c r="C85">
        <v>2.75</v>
      </c>
      <c r="D85">
        <v>314.45999999999998</v>
      </c>
      <c r="E85">
        <v>208</v>
      </c>
      <c r="F85">
        <v>5.03</v>
      </c>
      <c r="G85">
        <v>1463.78</v>
      </c>
      <c r="H85">
        <v>564.1</v>
      </c>
      <c r="J85" s="2">
        <v>0.42841905000000002</v>
      </c>
      <c r="K85">
        <v>-1200.32</v>
      </c>
      <c r="L85">
        <v>168</v>
      </c>
      <c r="M85">
        <v>46</v>
      </c>
      <c r="O85">
        <v>-34</v>
      </c>
      <c r="P85">
        <v>0.9</v>
      </c>
      <c r="Q85">
        <v>9485</v>
      </c>
    </row>
    <row r="86" spans="1:17" x14ac:dyDescent="0.25">
      <c r="A86">
        <v>2000</v>
      </c>
      <c r="B86">
        <v>31.88</v>
      </c>
      <c r="D86">
        <v>296.06</v>
      </c>
      <c r="E86">
        <v>81.069999999999993</v>
      </c>
      <c r="G86">
        <v>1787.74</v>
      </c>
      <c r="H86">
        <v>409.01</v>
      </c>
      <c r="J86" s="2">
        <v>0.68936500000000001</v>
      </c>
      <c r="K86">
        <v>-621.27</v>
      </c>
      <c r="L86">
        <v>131</v>
      </c>
      <c r="O86">
        <v>-37</v>
      </c>
      <c r="P86">
        <v>1.04</v>
      </c>
      <c r="Q86">
        <v>8930</v>
      </c>
    </row>
    <row r="87" spans="1:17" x14ac:dyDescent="0.25">
      <c r="A87">
        <v>2100</v>
      </c>
      <c r="B87">
        <v>34.56</v>
      </c>
      <c r="C87">
        <v>3.26</v>
      </c>
      <c r="D87">
        <v>320.95</v>
      </c>
      <c r="E87">
        <v>24.7</v>
      </c>
      <c r="F87">
        <v>16.559999999999999</v>
      </c>
      <c r="G87">
        <v>1313.31</v>
      </c>
      <c r="H87">
        <v>400.03</v>
      </c>
      <c r="J87" s="2">
        <v>0.43489524000000002</v>
      </c>
      <c r="K87">
        <v>-1186.72</v>
      </c>
      <c r="L87">
        <v>282</v>
      </c>
      <c r="M87">
        <v>191</v>
      </c>
      <c r="O87">
        <v>-40</v>
      </c>
      <c r="P87">
        <v>1.03</v>
      </c>
      <c r="Q87">
        <v>9681</v>
      </c>
    </row>
    <row r="88" spans="1:17" x14ac:dyDescent="0.25">
      <c r="A88">
        <v>2000</v>
      </c>
      <c r="B88">
        <v>31.88</v>
      </c>
      <c r="C88">
        <v>1.1200000000000001</v>
      </c>
      <c r="D88">
        <v>300.57</v>
      </c>
      <c r="E88">
        <v>57.3</v>
      </c>
      <c r="G88">
        <v>2508.3000000000002</v>
      </c>
      <c r="H88">
        <v>390.87</v>
      </c>
      <c r="J88" s="2">
        <v>1.0587150000000001</v>
      </c>
      <c r="K88">
        <v>117.43</v>
      </c>
      <c r="L88">
        <v>243</v>
      </c>
      <c r="O88">
        <v>-39</v>
      </c>
      <c r="P88">
        <v>1.0900000000000001</v>
      </c>
      <c r="Q88">
        <v>8930</v>
      </c>
    </row>
    <row r="89" spans="1:17" x14ac:dyDescent="0.25">
      <c r="A89">
        <v>2000</v>
      </c>
      <c r="B89">
        <v>37.19</v>
      </c>
      <c r="C89">
        <v>3.02</v>
      </c>
      <c r="D89">
        <v>0</v>
      </c>
      <c r="E89">
        <v>93.81</v>
      </c>
      <c r="F89">
        <v>35.840000000000003</v>
      </c>
      <c r="G89">
        <v>1869.68</v>
      </c>
      <c r="H89">
        <v>169.86</v>
      </c>
      <c r="J89" s="2">
        <v>0.84991000000000005</v>
      </c>
      <c r="K89">
        <v>-300.18</v>
      </c>
      <c r="L89">
        <v>204</v>
      </c>
      <c r="N89" t="s">
        <v>401</v>
      </c>
      <c r="O89">
        <v>-39</v>
      </c>
      <c r="P89">
        <v>0.94</v>
      </c>
      <c r="Q89">
        <v>10417</v>
      </c>
    </row>
    <row r="90" spans="1:17" x14ac:dyDescent="0.25">
      <c r="A90">
        <v>2000</v>
      </c>
      <c r="B90">
        <v>32.5</v>
      </c>
      <c r="C90">
        <v>2.64</v>
      </c>
      <c r="D90">
        <v>301.79000000000002</v>
      </c>
      <c r="E90">
        <v>206.6</v>
      </c>
      <c r="F90">
        <v>3.85</v>
      </c>
      <c r="G90">
        <v>1655.27</v>
      </c>
      <c r="H90">
        <v>547.38</v>
      </c>
      <c r="J90" s="2">
        <v>0.55394500000000002</v>
      </c>
      <c r="K90">
        <v>-892.11</v>
      </c>
      <c r="L90">
        <v>171</v>
      </c>
      <c r="O90">
        <v>-33</v>
      </c>
      <c r="P90">
        <v>0.91</v>
      </c>
      <c r="Q90">
        <v>9104</v>
      </c>
    </row>
    <row r="91" spans="1:17" x14ac:dyDescent="0.25">
      <c r="A91">
        <v>2000</v>
      </c>
      <c r="B91">
        <v>31.82</v>
      </c>
      <c r="C91">
        <v>2.58</v>
      </c>
      <c r="D91">
        <v>295.52999999999997</v>
      </c>
      <c r="E91">
        <v>203.83</v>
      </c>
      <c r="F91">
        <v>3.1</v>
      </c>
      <c r="G91">
        <v>1878.08</v>
      </c>
      <c r="H91">
        <v>536.86</v>
      </c>
      <c r="J91" s="2">
        <v>0.67061000000000004</v>
      </c>
      <c r="K91">
        <v>-658.78</v>
      </c>
      <c r="L91">
        <v>138</v>
      </c>
      <c r="O91">
        <v>-33</v>
      </c>
      <c r="P91">
        <v>0.93</v>
      </c>
      <c r="Q91">
        <v>8913</v>
      </c>
    </row>
    <row r="92" spans="1:17" x14ac:dyDescent="0.25">
      <c r="A92">
        <v>2000</v>
      </c>
      <c r="B92">
        <v>32.49</v>
      </c>
      <c r="C92">
        <v>2.63</v>
      </c>
      <c r="D92">
        <v>301.69</v>
      </c>
      <c r="E92">
        <v>221.89</v>
      </c>
      <c r="F92">
        <v>4.8499999999999996</v>
      </c>
      <c r="G92">
        <v>2300.42</v>
      </c>
      <c r="H92">
        <v>563.54999999999995</v>
      </c>
      <c r="J92" s="2">
        <v>0.86843499999999996</v>
      </c>
      <c r="K92">
        <v>-263.13</v>
      </c>
      <c r="L92">
        <v>106</v>
      </c>
      <c r="O92">
        <v>-32</v>
      </c>
      <c r="P92">
        <v>0.88</v>
      </c>
      <c r="Q92">
        <v>9101</v>
      </c>
    </row>
    <row r="93" spans="1:17" x14ac:dyDescent="0.25">
      <c r="A93">
        <v>2000</v>
      </c>
      <c r="B93">
        <v>31.99</v>
      </c>
      <c r="C93">
        <v>2.59</v>
      </c>
      <c r="D93">
        <v>297.08999999999997</v>
      </c>
      <c r="E93">
        <v>229.13</v>
      </c>
      <c r="F93">
        <v>3.3</v>
      </c>
      <c r="G93">
        <v>2734.57</v>
      </c>
      <c r="H93">
        <v>564.1</v>
      </c>
      <c r="J93" s="2">
        <v>1.0852349999999999</v>
      </c>
      <c r="K93">
        <v>170.47</v>
      </c>
      <c r="L93">
        <v>72</v>
      </c>
      <c r="O93">
        <v>-34</v>
      </c>
      <c r="P93">
        <v>0.95</v>
      </c>
      <c r="Q93">
        <v>8961</v>
      </c>
    </row>
    <row r="94" spans="1:17" x14ac:dyDescent="0.25">
      <c r="A94">
        <v>1700</v>
      </c>
      <c r="B94">
        <v>27.52</v>
      </c>
      <c r="C94">
        <v>2.23</v>
      </c>
      <c r="D94">
        <v>255.58</v>
      </c>
      <c r="E94">
        <v>167.47</v>
      </c>
      <c r="F94">
        <v>2.56</v>
      </c>
      <c r="G94">
        <v>1515.5</v>
      </c>
      <c r="H94">
        <v>455.36</v>
      </c>
      <c r="J94" s="2">
        <v>0.62361175999999996</v>
      </c>
      <c r="K94">
        <v>-639.86</v>
      </c>
      <c r="L94">
        <v>242</v>
      </c>
      <c r="M94">
        <v>200</v>
      </c>
      <c r="O94">
        <v>-30</v>
      </c>
      <c r="P94">
        <v>0.97</v>
      </c>
      <c r="Q94">
        <v>7709</v>
      </c>
    </row>
    <row r="95" spans="1:17" x14ac:dyDescent="0.25">
      <c r="A95">
        <v>940</v>
      </c>
      <c r="B95">
        <v>15.43</v>
      </c>
      <c r="C95">
        <v>1.25</v>
      </c>
      <c r="D95">
        <v>143.34</v>
      </c>
      <c r="E95">
        <v>21.58</v>
      </c>
      <c r="G95">
        <v>770.82</v>
      </c>
      <c r="H95">
        <v>181.6</v>
      </c>
      <c r="J95" s="2">
        <v>0.62682979000000005</v>
      </c>
      <c r="K95">
        <v>-350.78</v>
      </c>
      <c r="L95">
        <v>217</v>
      </c>
      <c r="O95">
        <v>-25</v>
      </c>
      <c r="P95">
        <v>1.45</v>
      </c>
      <c r="Q95">
        <v>4322</v>
      </c>
    </row>
    <row r="96" spans="1:17" x14ac:dyDescent="0.25">
      <c r="A96">
        <v>2000</v>
      </c>
      <c r="B96">
        <v>31.91</v>
      </c>
      <c r="C96">
        <v>2.59</v>
      </c>
      <c r="D96">
        <v>296.32</v>
      </c>
      <c r="E96">
        <v>206.88</v>
      </c>
      <c r="F96">
        <v>3.8</v>
      </c>
      <c r="G96">
        <v>2447.4499999999998</v>
      </c>
      <c r="H96">
        <v>541.5</v>
      </c>
      <c r="J96" s="2">
        <v>0.95297500000000002</v>
      </c>
      <c r="K96">
        <v>-94.05</v>
      </c>
      <c r="L96">
        <v>186</v>
      </c>
      <c r="O96">
        <v>-31</v>
      </c>
      <c r="P96">
        <v>0.87</v>
      </c>
      <c r="Q96">
        <v>8938</v>
      </c>
    </row>
    <row r="97" spans="1:17" x14ac:dyDescent="0.25">
      <c r="A97">
        <v>2010</v>
      </c>
      <c r="B97">
        <v>31.65</v>
      </c>
      <c r="C97">
        <v>2.57</v>
      </c>
      <c r="D97">
        <v>293.94</v>
      </c>
      <c r="E97">
        <v>21.52</v>
      </c>
      <c r="G97">
        <v>1954.03</v>
      </c>
      <c r="H97">
        <v>349.68</v>
      </c>
      <c r="J97" s="2">
        <v>0.79818407999999996</v>
      </c>
      <c r="K97">
        <v>-405.65</v>
      </c>
      <c r="L97">
        <v>145</v>
      </c>
      <c r="O97">
        <v>-41</v>
      </c>
      <c r="P97">
        <v>1.1599999999999999</v>
      </c>
      <c r="Q97">
        <v>8866</v>
      </c>
    </row>
    <row r="98" spans="1:17" x14ac:dyDescent="0.25">
      <c r="A98">
        <v>1000</v>
      </c>
      <c r="B98">
        <v>16.07</v>
      </c>
      <c r="C98">
        <v>1.3</v>
      </c>
      <c r="D98">
        <v>149.27000000000001</v>
      </c>
      <c r="E98">
        <v>13.8</v>
      </c>
      <c r="F98">
        <v>13.52</v>
      </c>
      <c r="G98">
        <v>634.78</v>
      </c>
      <c r="H98">
        <v>193.96</v>
      </c>
      <c r="J98" s="2">
        <v>0.44081999999999999</v>
      </c>
      <c r="K98">
        <v>-559.17999999999995</v>
      </c>
      <c r="L98">
        <v>120</v>
      </c>
      <c r="O98">
        <v>-25</v>
      </c>
      <c r="P98">
        <v>1.39</v>
      </c>
      <c r="Q98">
        <v>4501</v>
      </c>
    </row>
    <row r="99" spans="1:17" x14ac:dyDescent="0.25">
      <c r="A99">
        <v>2000</v>
      </c>
      <c r="B99">
        <v>30.79</v>
      </c>
      <c r="C99">
        <v>2.5</v>
      </c>
      <c r="D99">
        <v>285.98</v>
      </c>
      <c r="E99">
        <v>196.39</v>
      </c>
      <c r="G99">
        <v>2456.83</v>
      </c>
      <c r="H99">
        <v>515.66</v>
      </c>
      <c r="J99" s="2">
        <v>0.97058500000000003</v>
      </c>
      <c r="K99">
        <v>-58.83</v>
      </c>
      <c r="L99">
        <v>88</v>
      </c>
      <c r="N99" t="s">
        <v>404</v>
      </c>
      <c r="O99">
        <v>-32</v>
      </c>
      <c r="P99">
        <v>0.93</v>
      </c>
      <c r="Q99">
        <v>8625</v>
      </c>
    </row>
    <row r="100" spans="1:17" x14ac:dyDescent="0.25">
      <c r="A100">
        <v>2000</v>
      </c>
      <c r="B100">
        <v>32.520000000000003</v>
      </c>
      <c r="C100">
        <v>2.64</v>
      </c>
      <c r="D100">
        <v>302.02</v>
      </c>
      <c r="E100">
        <v>198.64</v>
      </c>
      <c r="F100">
        <v>12.02</v>
      </c>
      <c r="G100">
        <v>2194.8000000000002</v>
      </c>
      <c r="H100">
        <v>547.84</v>
      </c>
      <c r="J100" s="2">
        <v>0.82347999999999999</v>
      </c>
      <c r="K100">
        <v>-353.04</v>
      </c>
      <c r="L100">
        <v>271</v>
      </c>
      <c r="M100">
        <v>210</v>
      </c>
      <c r="O100">
        <v>-27</v>
      </c>
      <c r="P100">
        <v>0.74</v>
      </c>
      <c r="Q100">
        <v>9109</v>
      </c>
    </row>
    <row r="101" spans="1:17" x14ac:dyDescent="0.25">
      <c r="A101">
        <v>1100</v>
      </c>
      <c r="B101">
        <v>17.48</v>
      </c>
      <c r="C101">
        <v>1.4</v>
      </c>
      <c r="D101">
        <v>162.4</v>
      </c>
      <c r="E101">
        <v>109.97</v>
      </c>
      <c r="G101">
        <v>2264.5700000000002</v>
      </c>
      <c r="H101">
        <v>291.25</v>
      </c>
      <c r="J101" s="2">
        <v>1.79392727</v>
      </c>
      <c r="K101">
        <v>873.32</v>
      </c>
      <c r="L101">
        <v>256</v>
      </c>
      <c r="O101">
        <v>-15</v>
      </c>
      <c r="P101">
        <v>0.77</v>
      </c>
      <c r="Q101">
        <v>4896</v>
      </c>
    </row>
    <row r="102" spans="1:17" x14ac:dyDescent="0.25">
      <c r="A102">
        <v>2000</v>
      </c>
      <c r="B102">
        <v>32.51</v>
      </c>
      <c r="C102">
        <v>2.64</v>
      </c>
      <c r="D102">
        <v>301.95999999999998</v>
      </c>
      <c r="E102">
        <v>66.599999999999994</v>
      </c>
      <c r="F102">
        <v>27.29</v>
      </c>
      <c r="G102">
        <v>2253.58</v>
      </c>
      <c r="H102">
        <v>431</v>
      </c>
      <c r="J102" s="2">
        <v>0.91129000000000004</v>
      </c>
      <c r="K102">
        <v>-177.42</v>
      </c>
      <c r="L102">
        <v>226</v>
      </c>
      <c r="O102">
        <v>-30</v>
      </c>
      <c r="P102">
        <v>0.82</v>
      </c>
      <c r="Q102">
        <v>9106</v>
      </c>
    </row>
    <row r="103" spans="1:17" x14ac:dyDescent="0.25">
      <c r="A103">
        <v>2000</v>
      </c>
      <c r="B103">
        <v>33.01</v>
      </c>
      <c r="C103">
        <v>2.68</v>
      </c>
      <c r="D103">
        <v>306.57</v>
      </c>
      <c r="E103">
        <v>17.899999999999999</v>
      </c>
      <c r="G103">
        <v>1679.09</v>
      </c>
      <c r="H103">
        <v>360.16</v>
      </c>
      <c r="J103" s="2">
        <v>0.65946499999999997</v>
      </c>
      <c r="K103">
        <v>-681.07</v>
      </c>
      <c r="L103">
        <v>187</v>
      </c>
      <c r="O103">
        <v>-39</v>
      </c>
      <c r="P103">
        <v>1.05</v>
      </c>
      <c r="Q103">
        <v>9246</v>
      </c>
    </row>
    <row r="104" spans="1:17" x14ac:dyDescent="0.25">
      <c r="A104">
        <v>1000</v>
      </c>
      <c r="B104">
        <v>15.63</v>
      </c>
      <c r="C104">
        <v>1.27</v>
      </c>
      <c r="D104">
        <v>145.19</v>
      </c>
      <c r="E104">
        <v>16.239999999999998</v>
      </c>
      <c r="F104">
        <v>10.54</v>
      </c>
      <c r="G104">
        <v>473.17</v>
      </c>
      <c r="H104">
        <v>188.87</v>
      </c>
      <c r="J104" s="2">
        <v>0.2843</v>
      </c>
      <c r="K104">
        <v>-715.7</v>
      </c>
      <c r="L104">
        <v>177</v>
      </c>
      <c r="O104">
        <v>-10</v>
      </c>
      <c r="P104">
        <v>0.56999999999999995</v>
      </c>
      <c r="Q104">
        <v>4378</v>
      </c>
    </row>
    <row r="105" spans="1:17" x14ac:dyDescent="0.25">
      <c r="A105">
        <v>2000</v>
      </c>
      <c r="B105">
        <v>31.88</v>
      </c>
      <c r="C105">
        <v>2.58</v>
      </c>
      <c r="D105">
        <v>296.06</v>
      </c>
      <c r="E105">
        <v>23.25</v>
      </c>
      <c r="F105">
        <v>4.8099999999999996</v>
      </c>
      <c r="G105">
        <v>2765.71</v>
      </c>
      <c r="H105">
        <v>358.58</v>
      </c>
      <c r="J105" s="2">
        <v>1.203565</v>
      </c>
      <c r="K105">
        <v>407.13</v>
      </c>
      <c r="L105">
        <v>143</v>
      </c>
      <c r="O105">
        <v>-34</v>
      </c>
      <c r="P105">
        <v>0.95</v>
      </c>
      <c r="Q105">
        <v>8930</v>
      </c>
    </row>
    <row r="106" spans="1:17" x14ac:dyDescent="0.25">
      <c r="A106">
        <v>2000</v>
      </c>
      <c r="B106">
        <v>36.76</v>
      </c>
      <c r="C106">
        <v>2.91</v>
      </c>
      <c r="D106">
        <v>332.72</v>
      </c>
      <c r="E106">
        <v>28.22</v>
      </c>
      <c r="F106">
        <v>4.45</v>
      </c>
      <c r="G106">
        <v>3140.74</v>
      </c>
      <c r="H106">
        <v>405.06</v>
      </c>
      <c r="J106" s="2">
        <v>1.3678399999999999</v>
      </c>
      <c r="K106">
        <v>735.68</v>
      </c>
      <c r="L106">
        <v>99</v>
      </c>
      <c r="N106" t="s">
        <v>405</v>
      </c>
      <c r="O106">
        <v>-44</v>
      </c>
      <c r="P106">
        <v>1.07</v>
      </c>
      <c r="Q106">
        <v>10297</v>
      </c>
    </row>
    <row r="107" spans="1:17" x14ac:dyDescent="0.25">
      <c r="A107">
        <v>2000</v>
      </c>
      <c r="B107">
        <v>32.58</v>
      </c>
      <c r="C107">
        <v>2.64</v>
      </c>
      <c r="D107">
        <v>302.58999999999997</v>
      </c>
      <c r="E107">
        <v>62.24</v>
      </c>
      <c r="F107">
        <v>17.170000000000002</v>
      </c>
      <c r="G107">
        <v>2556</v>
      </c>
      <c r="H107">
        <v>417.22</v>
      </c>
      <c r="J107" s="2">
        <v>1.0693900000000001</v>
      </c>
      <c r="K107">
        <v>138.78</v>
      </c>
      <c r="L107">
        <v>80</v>
      </c>
      <c r="M107">
        <v>0</v>
      </c>
      <c r="N107" t="s">
        <v>406</v>
      </c>
      <c r="O107">
        <v>-19</v>
      </c>
      <c r="P107">
        <v>0.52</v>
      </c>
      <c r="Q107">
        <v>9126</v>
      </c>
    </row>
    <row r="108" spans="1:17" x14ac:dyDescent="0.25">
      <c r="A108">
        <v>2000</v>
      </c>
      <c r="B108">
        <v>32.44</v>
      </c>
      <c r="C108">
        <v>2.63</v>
      </c>
      <c r="D108">
        <v>301.23</v>
      </c>
      <c r="E108">
        <v>99.29</v>
      </c>
      <c r="F108">
        <v>8.5500000000000007</v>
      </c>
      <c r="G108">
        <v>1398</v>
      </c>
      <c r="H108">
        <v>444.14</v>
      </c>
      <c r="J108" s="2">
        <v>0.47693000000000002</v>
      </c>
      <c r="K108">
        <v>-1046.1400000000001</v>
      </c>
      <c r="L108">
        <v>98</v>
      </c>
      <c r="M108">
        <v>30</v>
      </c>
      <c r="N108" t="s">
        <v>407</v>
      </c>
      <c r="O108">
        <v>-12</v>
      </c>
      <c r="P108">
        <v>0.33</v>
      </c>
      <c r="Q108">
        <v>9087</v>
      </c>
    </row>
    <row r="109" spans="1:17" x14ac:dyDescent="0.25">
      <c r="A109">
        <v>2000</v>
      </c>
      <c r="B109">
        <v>32.26</v>
      </c>
      <c r="C109">
        <v>2.62</v>
      </c>
      <c r="D109">
        <v>299.60000000000002</v>
      </c>
      <c r="E109">
        <v>70.09</v>
      </c>
      <c r="F109">
        <v>3.1</v>
      </c>
      <c r="G109">
        <v>2935</v>
      </c>
      <c r="H109">
        <v>407.67</v>
      </c>
      <c r="J109" s="2">
        <v>1.263665</v>
      </c>
      <c r="K109">
        <v>527.33000000000004</v>
      </c>
      <c r="L109">
        <v>73</v>
      </c>
      <c r="O109">
        <v>-25</v>
      </c>
      <c r="P109">
        <v>0.69</v>
      </c>
      <c r="Q109">
        <v>9036</v>
      </c>
    </row>
    <row r="110" spans="1:17" x14ac:dyDescent="0.25">
      <c r="A110">
        <v>1900</v>
      </c>
      <c r="B110">
        <v>30.95</v>
      </c>
      <c r="C110">
        <v>2.5099999999999998</v>
      </c>
      <c r="D110">
        <v>287.41000000000003</v>
      </c>
      <c r="E110">
        <v>48.11</v>
      </c>
      <c r="G110">
        <v>1676.86</v>
      </c>
      <c r="H110">
        <v>368.98</v>
      </c>
      <c r="J110" s="2">
        <v>0.68835789000000003</v>
      </c>
      <c r="K110">
        <v>-592.12</v>
      </c>
      <c r="L110">
        <v>51</v>
      </c>
      <c r="O110">
        <v>-22</v>
      </c>
      <c r="P110">
        <v>0.63</v>
      </c>
      <c r="Q110">
        <v>8669</v>
      </c>
    </row>
    <row r="111" spans="1:17" x14ac:dyDescent="0.25">
      <c r="A111">
        <v>1589</v>
      </c>
      <c r="B111">
        <v>25.76</v>
      </c>
      <c r="C111">
        <v>2.09</v>
      </c>
      <c r="D111">
        <v>239.21</v>
      </c>
      <c r="E111">
        <v>58.01</v>
      </c>
      <c r="F111">
        <v>19.02</v>
      </c>
      <c r="G111">
        <v>1486.14</v>
      </c>
      <c r="H111">
        <v>344.09</v>
      </c>
      <c r="J111" s="2">
        <v>0.71872247</v>
      </c>
      <c r="K111">
        <v>-446.95</v>
      </c>
      <c r="L111">
        <v>41</v>
      </c>
      <c r="O111">
        <v>-10</v>
      </c>
      <c r="P111">
        <v>0.35</v>
      </c>
      <c r="Q111">
        <v>7216</v>
      </c>
    </row>
    <row r="112" spans="1:17" x14ac:dyDescent="0.25">
      <c r="A112">
        <v>2000</v>
      </c>
      <c r="B112">
        <v>33.49</v>
      </c>
      <c r="C112">
        <v>2.72</v>
      </c>
      <c r="D112">
        <v>310.98</v>
      </c>
      <c r="E112">
        <v>217.4</v>
      </c>
      <c r="G112">
        <v>2422.89</v>
      </c>
      <c r="H112">
        <v>564.59</v>
      </c>
      <c r="J112" s="2">
        <v>0.92915000000000003</v>
      </c>
      <c r="K112">
        <v>-141.69999999999999</v>
      </c>
      <c r="L112">
        <v>112</v>
      </c>
      <c r="M112">
        <v>85</v>
      </c>
      <c r="O112">
        <v>-14</v>
      </c>
      <c r="P112">
        <v>0.37</v>
      </c>
      <c r="Q112">
        <v>9381</v>
      </c>
    </row>
    <row r="113" spans="1:17" x14ac:dyDescent="0.25">
      <c r="A113">
        <v>2000</v>
      </c>
      <c r="B113">
        <v>32.56</v>
      </c>
      <c r="C113">
        <v>2.64</v>
      </c>
      <c r="D113">
        <v>286.44</v>
      </c>
      <c r="E113">
        <v>164.39</v>
      </c>
      <c r="F113">
        <v>9.1</v>
      </c>
      <c r="G113">
        <v>2494.52</v>
      </c>
      <c r="H113">
        <v>495.13</v>
      </c>
      <c r="J113" s="2">
        <v>0.999695</v>
      </c>
      <c r="K113">
        <v>-0.61</v>
      </c>
      <c r="L113">
        <v>100</v>
      </c>
      <c r="O113">
        <v>-12</v>
      </c>
      <c r="P113">
        <v>0.33</v>
      </c>
      <c r="Q113">
        <v>9120</v>
      </c>
    </row>
    <row r="114" spans="1:17" x14ac:dyDescent="0.25">
      <c r="A114">
        <v>2000</v>
      </c>
      <c r="B114">
        <v>32.32</v>
      </c>
      <c r="C114">
        <v>2.62</v>
      </c>
      <c r="D114">
        <v>300.14</v>
      </c>
      <c r="E114">
        <v>210.53</v>
      </c>
      <c r="F114">
        <v>2.95</v>
      </c>
      <c r="G114">
        <v>1809.26</v>
      </c>
      <c r="H114">
        <v>548.55999999999995</v>
      </c>
      <c r="J114" s="2">
        <v>0.63034999999999997</v>
      </c>
      <c r="K114">
        <v>-739.3</v>
      </c>
      <c r="L114">
        <v>80</v>
      </c>
      <c r="N114" t="s">
        <v>408</v>
      </c>
      <c r="O114">
        <v>-20</v>
      </c>
      <c r="P114">
        <v>0.55000000000000004</v>
      </c>
      <c r="Q114">
        <v>9053</v>
      </c>
    </row>
    <row r="115" spans="1:17" x14ac:dyDescent="0.25">
      <c r="A115">
        <v>4000</v>
      </c>
      <c r="B115">
        <v>62.42</v>
      </c>
      <c r="C115">
        <v>5.07</v>
      </c>
      <c r="D115">
        <v>579.72</v>
      </c>
      <c r="E115">
        <v>41.29</v>
      </c>
      <c r="F115">
        <v>7.29</v>
      </c>
      <c r="G115">
        <v>3585.68</v>
      </c>
      <c r="H115">
        <v>695.79</v>
      </c>
      <c r="J115" s="2">
        <v>0.72247249999999996</v>
      </c>
      <c r="K115">
        <v>-1110.1099999999999</v>
      </c>
      <c r="L115">
        <v>52</v>
      </c>
      <c r="O115">
        <v>-28</v>
      </c>
      <c r="P115">
        <v>0.4</v>
      </c>
      <c r="Q115">
        <v>17485</v>
      </c>
    </row>
    <row r="116" spans="1:17" x14ac:dyDescent="0.25">
      <c r="A116">
        <v>1300</v>
      </c>
      <c r="B116">
        <v>24.96</v>
      </c>
      <c r="C116">
        <v>2.02</v>
      </c>
      <c r="D116">
        <v>231.85</v>
      </c>
      <c r="E116">
        <v>10.050000000000001</v>
      </c>
      <c r="G116">
        <v>1458.36</v>
      </c>
      <c r="H116">
        <v>268.88</v>
      </c>
      <c r="J116" s="2">
        <v>0.91498462000000003</v>
      </c>
      <c r="K116">
        <v>-110.52</v>
      </c>
      <c r="L116">
        <v>37</v>
      </c>
      <c r="N116" t="s">
        <v>409</v>
      </c>
      <c r="O116">
        <v>-15</v>
      </c>
      <c r="P116">
        <v>0.54</v>
      </c>
      <c r="Q116">
        <v>6992</v>
      </c>
    </row>
    <row r="117" spans="1:17" x14ac:dyDescent="0.25">
      <c r="A117">
        <v>1000</v>
      </c>
      <c r="B117">
        <v>16.59</v>
      </c>
      <c r="C117">
        <v>1.39</v>
      </c>
      <c r="D117">
        <v>150.09</v>
      </c>
      <c r="E117">
        <v>9.43</v>
      </c>
      <c r="G117">
        <v>894</v>
      </c>
      <c r="H117">
        <v>177.5</v>
      </c>
      <c r="J117" s="2">
        <v>0.71650000000000003</v>
      </c>
      <c r="K117">
        <v>-283.5</v>
      </c>
      <c r="L117">
        <v>111</v>
      </c>
      <c r="M117">
        <v>80</v>
      </c>
      <c r="O117">
        <v>-6</v>
      </c>
      <c r="P117">
        <v>0.32</v>
      </c>
      <c r="Q117">
        <v>4647</v>
      </c>
    </row>
    <row r="118" spans="1:17" x14ac:dyDescent="0.25">
      <c r="A118">
        <v>2000</v>
      </c>
      <c r="B118">
        <v>32.94</v>
      </c>
      <c r="C118">
        <v>2.67</v>
      </c>
      <c r="D118">
        <v>305.94</v>
      </c>
      <c r="E118">
        <v>143.63999999999999</v>
      </c>
      <c r="G118">
        <v>2180</v>
      </c>
      <c r="H118">
        <v>485.19</v>
      </c>
      <c r="J118" s="2">
        <v>0.84740499999999996</v>
      </c>
      <c r="K118">
        <v>-305.19</v>
      </c>
      <c r="L118">
        <v>103</v>
      </c>
      <c r="O118">
        <v>-8</v>
      </c>
      <c r="P118">
        <v>0.22</v>
      </c>
      <c r="Q118">
        <v>9227</v>
      </c>
    </row>
    <row r="119" spans="1:17" x14ac:dyDescent="0.25">
      <c r="A119">
        <v>2000</v>
      </c>
      <c r="B119">
        <v>25.09</v>
      </c>
      <c r="C119">
        <v>2.0299999999999998</v>
      </c>
      <c r="D119">
        <v>233.01</v>
      </c>
      <c r="E119">
        <v>128.72</v>
      </c>
      <c r="G119">
        <v>1749</v>
      </c>
      <c r="H119">
        <v>388.85</v>
      </c>
      <c r="J119" s="2">
        <v>0.68007499999999999</v>
      </c>
      <c r="K119">
        <v>-639.85</v>
      </c>
      <c r="L119">
        <v>87</v>
      </c>
      <c r="O119">
        <v>-16</v>
      </c>
      <c r="P119">
        <v>0.56999999999999995</v>
      </c>
      <c r="Q119">
        <v>7028</v>
      </c>
    </row>
    <row r="120" spans="1:17" x14ac:dyDescent="0.25">
      <c r="A120">
        <v>2000</v>
      </c>
      <c r="B120">
        <v>32.619999999999997</v>
      </c>
      <c r="C120">
        <v>2.46</v>
      </c>
      <c r="D120">
        <v>282.33</v>
      </c>
      <c r="E120">
        <v>33.18</v>
      </c>
      <c r="F120">
        <v>1.6</v>
      </c>
      <c r="G120">
        <v>1982</v>
      </c>
      <c r="H120">
        <v>352.19</v>
      </c>
      <c r="J120" s="2">
        <v>0.81490499999999999</v>
      </c>
      <c r="K120">
        <v>-370.19</v>
      </c>
      <c r="L120">
        <v>97</v>
      </c>
      <c r="M120">
        <v>30</v>
      </c>
      <c r="N120" t="s">
        <v>410</v>
      </c>
      <c r="O120">
        <v>-20</v>
      </c>
      <c r="P120">
        <v>0.47</v>
      </c>
      <c r="Q120">
        <v>8528</v>
      </c>
    </row>
    <row r="121" spans="1:17" x14ac:dyDescent="0.25">
      <c r="A121">
        <v>1500</v>
      </c>
      <c r="B121">
        <v>25.53</v>
      </c>
      <c r="C121">
        <v>1.93</v>
      </c>
      <c r="D121">
        <v>221.01</v>
      </c>
      <c r="E121">
        <v>70.72</v>
      </c>
      <c r="F121">
        <v>4.01</v>
      </c>
      <c r="G121">
        <v>2040</v>
      </c>
      <c r="H121">
        <v>323.2</v>
      </c>
      <c r="J121" s="2">
        <v>1.14453333</v>
      </c>
      <c r="K121">
        <v>216.8</v>
      </c>
      <c r="L121">
        <v>83</v>
      </c>
      <c r="O121">
        <v>-14</v>
      </c>
      <c r="P121">
        <v>0.42</v>
      </c>
      <c r="Q121">
        <v>6675</v>
      </c>
    </row>
    <row r="122" spans="1:17" x14ac:dyDescent="0.25">
      <c r="A122">
        <v>2000</v>
      </c>
      <c r="B122">
        <v>32.4</v>
      </c>
      <c r="C122">
        <v>2.4500000000000002</v>
      </c>
      <c r="D122">
        <v>280.44</v>
      </c>
      <c r="E122">
        <v>60.21</v>
      </c>
      <c r="F122">
        <v>7.83</v>
      </c>
      <c r="G122">
        <v>2595.6</v>
      </c>
      <c r="H122">
        <v>383.33</v>
      </c>
      <c r="J122" s="2">
        <v>1.1061350000000001</v>
      </c>
      <c r="K122">
        <v>212.27</v>
      </c>
      <c r="L122">
        <v>67</v>
      </c>
      <c r="O122">
        <v>-16</v>
      </c>
      <c r="P122">
        <v>0.38</v>
      </c>
      <c r="Q122">
        <v>8471</v>
      </c>
    </row>
    <row r="123" spans="1:17" x14ac:dyDescent="0.25">
      <c r="A123">
        <v>2000</v>
      </c>
      <c r="B123">
        <v>33.42</v>
      </c>
      <c r="C123">
        <v>2.5299999999999998</v>
      </c>
      <c r="D123">
        <v>289.26</v>
      </c>
      <c r="E123">
        <v>307.45999999999998</v>
      </c>
      <c r="G123">
        <v>2365</v>
      </c>
      <c r="H123">
        <v>632.66999999999996</v>
      </c>
      <c r="J123" s="2">
        <v>0.86616499999999996</v>
      </c>
      <c r="K123">
        <v>-267.67</v>
      </c>
      <c r="L123">
        <v>285</v>
      </c>
      <c r="M123">
        <v>250</v>
      </c>
      <c r="O123">
        <v>-32</v>
      </c>
      <c r="P123">
        <v>0.73</v>
      </c>
      <c r="Q123">
        <v>8737</v>
      </c>
    </row>
    <row r="124" spans="1:17" x14ac:dyDescent="0.25">
      <c r="A124">
        <v>1800</v>
      </c>
      <c r="B124">
        <v>28.92</v>
      </c>
      <c r="D124">
        <v>172.92</v>
      </c>
      <c r="E124">
        <v>250.31</v>
      </c>
      <c r="F124">
        <v>9.01</v>
      </c>
      <c r="G124">
        <v>1880</v>
      </c>
      <c r="H124">
        <v>461.16</v>
      </c>
      <c r="J124" s="2">
        <v>0.78824444000000005</v>
      </c>
      <c r="K124">
        <v>-381.16</v>
      </c>
      <c r="L124">
        <v>260</v>
      </c>
      <c r="O124">
        <v>-25</v>
      </c>
      <c r="P124">
        <v>0.66</v>
      </c>
      <c r="Q124">
        <v>7561</v>
      </c>
    </row>
    <row r="125" spans="1:17" x14ac:dyDescent="0.25">
      <c r="A125">
        <v>2000</v>
      </c>
      <c r="B125">
        <v>32.35</v>
      </c>
      <c r="C125">
        <v>2.13</v>
      </c>
      <c r="D125">
        <v>280.05</v>
      </c>
      <c r="E125">
        <v>226.71</v>
      </c>
      <c r="F125">
        <v>9.17</v>
      </c>
      <c r="G125">
        <v>1696</v>
      </c>
      <c r="H125">
        <v>550.41</v>
      </c>
      <c r="J125" s="2">
        <v>0.57279500000000005</v>
      </c>
      <c r="K125">
        <v>-854.41</v>
      </c>
      <c r="L125">
        <v>238</v>
      </c>
      <c r="O125">
        <v>-22</v>
      </c>
      <c r="P125">
        <v>0.52</v>
      </c>
      <c r="Q125">
        <v>8458</v>
      </c>
    </row>
    <row r="126" spans="1:17" x14ac:dyDescent="0.25">
      <c r="A126">
        <v>1700</v>
      </c>
      <c r="B126">
        <v>29.02</v>
      </c>
      <c r="C126">
        <v>2.19</v>
      </c>
      <c r="D126">
        <v>251.21</v>
      </c>
      <c r="E126">
        <v>39.090000000000003</v>
      </c>
      <c r="F126">
        <v>2.15</v>
      </c>
      <c r="G126">
        <v>1650</v>
      </c>
      <c r="H126">
        <v>323.66000000000003</v>
      </c>
      <c r="J126" s="2">
        <v>0.7802</v>
      </c>
      <c r="K126">
        <v>-373.66</v>
      </c>
      <c r="L126">
        <v>214</v>
      </c>
      <c r="N126" t="s">
        <v>411</v>
      </c>
      <c r="O126">
        <v>-24</v>
      </c>
      <c r="P126">
        <v>0.63</v>
      </c>
      <c r="Q126">
        <v>7587</v>
      </c>
    </row>
    <row r="127" spans="1:17" x14ac:dyDescent="0.25">
      <c r="A127">
        <v>2000</v>
      </c>
      <c r="B127">
        <v>32.49</v>
      </c>
      <c r="C127">
        <v>2.46</v>
      </c>
      <c r="D127">
        <v>281.27</v>
      </c>
      <c r="E127">
        <v>157.04</v>
      </c>
      <c r="F127">
        <v>2.94</v>
      </c>
      <c r="G127">
        <v>1830.44</v>
      </c>
      <c r="H127">
        <v>476.2</v>
      </c>
      <c r="J127" s="2">
        <v>0.67712000000000006</v>
      </c>
      <c r="K127">
        <v>-645.76</v>
      </c>
      <c r="L127">
        <v>191</v>
      </c>
      <c r="O127">
        <v>-23</v>
      </c>
      <c r="P127">
        <v>0.54</v>
      </c>
      <c r="Q127">
        <v>8494</v>
      </c>
    </row>
    <row r="128" spans="1:17" x14ac:dyDescent="0.25">
      <c r="A128">
        <v>2200</v>
      </c>
      <c r="B128">
        <v>34.369999999999997</v>
      </c>
      <c r="C128">
        <v>2.6</v>
      </c>
      <c r="D128">
        <v>297.48</v>
      </c>
      <c r="E128">
        <v>227.91</v>
      </c>
      <c r="F128">
        <v>29.82</v>
      </c>
      <c r="G128">
        <v>2291.44</v>
      </c>
      <c r="H128">
        <v>592.17999999999995</v>
      </c>
      <c r="J128" s="2">
        <v>0.77239091000000004</v>
      </c>
      <c r="K128">
        <v>-500.74</v>
      </c>
      <c r="L128">
        <v>172</v>
      </c>
      <c r="O128">
        <v>-19</v>
      </c>
      <c r="P128">
        <v>0.42</v>
      </c>
      <c r="Q128">
        <v>8986</v>
      </c>
    </row>
    <row r="129" spans="1:17" x14ac:dyDescent="0.25">
      <c r="A129">
        <v>1800</v>
      </c>
      <c r="B129">
        <v>29.21</v>
      </c>
      <c r="C129">
        <v>1.19</v>
      </c>
      <c r="D129">
        <v>252.9</v>
      </c>
      <c r="E129">
        <v>36.6</v>
      </c>
      <c r="F129">
        <v>13.88</v>
      </c>
      <c r="G129">
        <v>2181.73</v>
      </c>
      <c r="H129">
        <v>333.78</v>
      </c>
      <c r="J129" s="2">
        <v>1.0266388900000001</v>
      </c>
      <c r="K129">
        <v>47.95</v>
      </c>
      <c r="L129">
        <v>148</v>
      </c>
      <c r="O129">
        <v>-24</v>
      </c>
      <c r="P129">
        <v>0.63</v>
      </c>
      <c r="Q129">
        <v>7637</v>
      </c>
    </row>
    <row r="130" spans="1:17" x14ac:dyDescent="0.25">
      <c r="A130">
        <v>2201</v>
      </c>
      <c r="B130">
        <v>35.65</v>
      </c>
      <c r="C130">
        <v>2.69</v>
      </c>
      <c r="D130">
        <v>308.58999999999997</v>
      </c>
      <c r="E130">
        <v>77.48</v>
      </c>
      <c r="F130">
        <v>3</v>
      </c>
      <c r="G130">
        <v>2565</v>
      </c>
      <c r="H130">
        <v>427.41</v>
      </c>
      <c r="J130" s="2">
        <v>0.97119036999999997</v>
      </c>
      <c r="K130">
        <v>-63.41</v>
      </c>
      <c r="L130">
        <v>121</v>
      </c>
      <c r="O130">
        <v>-27</v>
      </c>
      <c r="P130">
        <v>0.57999999999999996</v>
      </c>
      <c r="Q130">
        <v>9320</v>
      </c>
    </row>
    <row r="131" spans="1:17" x14ac:dyDescent="0.25">
      <c r="A131">
        <v>1300</v>
      </c>
      <c r="B131">
        <v>21.75</v>
      </c>
      <c r="C131">
        <v>1.64</v>
      </c>
      <c r="D131">
        <v>188.32</v>
      </c>
      <c r="E131">
        <v>26.83</v>
      </c>
      <c r="F131">
        <v>1.62</v>
      </c>
      <c r="G131">
        <v>1773</v>
      </c>
      <c r="H131">
        <v>240.16</v>
      </c>
      <c r="J131" s="2">
        <v>1.1791076899999999</v>
      </c>
      <c r="K131">
        <v>232.84</v>
      </c>
      <c r="L131">
        <v>111</v>
      </c>
      <c r="O131">
        <v>-10</v>
      </c>
      <c r="P131">
        <v>0.35</v>
      </c>
      <c r="Q131">
        <v>5686</v>
      </c>
    </row>
    <row r="132" spans="1:17" x14ac:dyDescent="0.25">
      <c r="A132">
        <v>2300</v>
      </c>
      <c r="B132">
        <v>42.01</v>
      </c>
      <c r="C132">
        <v>3.18</v>
      </c>
      <c r="D132">
        <v>363.63</v>
      </c>
      <c r="E132">
        <v>35.29</v>
      </c>
      <c r="G132">
        <v>1356</v>
      </c>
      <c r="H132">
        <v>444.11</v>
      </c>
      <c r="J132" s="2">
        <v>0.39647390999999998</v>
      </c>
      <c r="K132">
        <v>-1388.11</v>
      </c>
      <c r="L132">
        <v>93</v>
      </c>
      <c r="O132">
        <v>-18</v>
      </c>
      <c r="P132">
        <v>0.33</v>
      </c>
      <c r="Q132">
        <v>10983</v>
      </c>
    </row>
    <row r="133" spans="1:17" x14ac:dyDescent="0.25">
      <c r="A133">
        <v>3038.25</v>
      </c>
      <c r="B133">
        <v>49.21</v>
      </c>
      <c r="C133">
        <v>3.64</v>
      </c>
      <c r="D133">
        <v>425.16</v>
      </c>
      <c r="E133">
        <v>78.91</v>
      </c>
      <c r="F133">
        <v>35.6</v>
      </c>
      <c r="G133">
        <v>2527.9699999999998</v>
      </c>
      <c r="H133">
        <v>592.52</v>
      </c>
      <c r="J133" s="2">
        <v>0.63702789000000004</v>
      </c>
      <c r="K133">
        <v>-1102.8</v>
      </c>
      <c r="L133">
        <v>62</v>
      </c>
      <c r="M133">
        <v>5</v>
      </c>
      <c r="O133">
        <v>-36</v>
      </c>
      <c r="P133">
        <v>0.56000000000000005</v>
      </c>
      <c r="Q133">
        <v>12865</v>
      </c>
    </row>
    <row r="134" spans="1:17" x14ac:dyDescent="0.25">
      <c r="A134">
        <v>1860</v>
      </c>
      <c r="B134">
        <v>36.590000000000003</v>
      </c>
      <c r="C134">
        <v>2.79</v>
      </c>
      <c r="D134">
        <v>319.26</v>
      </c>
      <c r="E134">
        <v>49.78</v>
      </c>
      <c r="F134">
        <v>10.49</v>
      </c>
      <c r="G134">
        <v>2359.5300000000002</v>
      </c>
      <c r="H134">
        <v>418.91</v>
      </c>
      <c r="J134" s="2">
        <v>1.0433440899999999</v>
      </c>
      <c r="K134">
        <v>80.62</v>
      </c>
      <c r="L134">
        <v>46</v>
      </c>
      <c r="O134">
        <v>-16</v>
      </c>
      <c r="P134">
        <v>0.33</v>
      </c>
      <c r="Q134">
        <v>9566</v>
      </c>
    </row>
    <row r="135" spans="1:17" x14ac:dyDescent="0.25">
      <c r="A135">
        <v>1920</v>
      </c>
      <c r="B135">
        <v>31.01</v>
      </c>
      <c r="C135">
        <v>2.34</v>
      </c>
      <c r="D135">
        <v>268.41000000000003</v>
      </c>
      <c r="E135">
        <v>50.4</v>
      </c>
      <c r="F135">
        <v>2.5499999999999998</v>
      </c>
      <c r="G135">
        <v>2136</v>
      </c>
      <c r="H135">
        <v>354.71</v>
      </c>
      <c r="J135" s="2">
        <v>0.92775521000000005</v>
      </c>
      <c r="K135">
        <v>-138.71</v>
      </c>
      <c r="L135">
        <v>175</v>
      </c>
      <c r="M135">
        <v>150</v>
      </c>
      <c r="O135">
        <v>-21</v>
      </c>
      <c r="P135">
        <v>0.52</v>
      </c>
      <c r="Q135">
        <v>8107</v>
      </c>
    </row>
    <row r="136" spans="1:17" x14ac:dyDescent="0.25">
      <c r="A136">
        <v>2741</v>
      </c>
      <c r="B136">
        <v>45.52</v>
      </c>
      <c r="C136">
        <v>3.44</v>
      </c>
      <c r="D136">
        <v>394.01</v>
      </c>
      <c r="E136">
        <v>45.71</v>
      </c>
      <c r="G136">
        <v>4716</v>
      </c>
      <c r="H136">
        <v>488.68</v>
      </c>
      <c r="J136" s="2">
        <v>1.5422546500000001</v>
      </c>
      <c r="K136">
        <v>1486.32</v>
      </c>
      <c r="L136">
        <v>151</v>
      </c>
      <c r="O136">
        <v>-24</v>
      </c>
      <c r="P136">
        <v>0.4</v>
      </c>
      <c r="Q136">
        <v>11901</v>
      </c>
    </row>
    <row r="137" spans="1:17" x14ac:dyDescent="0.25">
      <c r="A137">
        <v>1802</v>
      </c>
      <c r="B137">
        <v>27.38</v>
      </c>
      <c r="C137">
        <v>2.0699999999999998</v>
      </c>
      <c r="D137">
        <v>237.05</v>
      </c>
      <c r="E137">
        <v>173.33</v>
      </c>
      <c r="G137">
        <v>2282</v>
      </c>
      <c r="H137">
        <v>439.83</v>
      </c>
      <c r="J137" s="2">
        <v>1.0222918999999999</v>
      </c>
      <c r="K137">
        <v>40.17</v>
      </c>
      <c r="L137">
        <v>132</v>
      </c>
      <c r="O137">
        <v>-19</v>
      </c>
      <c r="P137">
        <v>0.53</v>
      </c>
      <c r="Q137">
        <v>7158</v>
      </c>
    </row>
    <row r="138" spans="1:17" x14ac:dyDescent="0.25">
      <c r="A138">
        <v>1902</v>
      </c>
      <c r="B138">
        <v>33.07</v>
      </c>
      <c r="D138">
        <v>286.31</v>
      </c>
      <c r="E138">
        <v>37</v>
      </c>
      <c r="G138">
        <v>2126</v>
      </c>
      <c r="H138">
        <v>356.38</v>
      </c>
      <c r="J138" s="2">
        <v>0.93039958</v>
      </c>
      <c r="K138">
        <v>-132.38</v>
      </c>
      <c r="L138">
        <v>110</v>
      </c>
      <c r="O138">
        <v>-22</v>
      </c>
      <c r="P138">
        <v>0.51</v>
      </c>
      <c r="Q138">
        <v>8646</v>
      </c>
    </row>
    <row r="139" spans="1:17" x14ac:dyDescent="0.25">
      <c r="A139">
        <v>1902</v>
      </c>
      <c r="B139">
        <v>38.35</v>
      </c>
      <c r="C139">
        <v>5.36</v>
      </c>
      <c r="D139">
        <v>331.96</v>
      </c>
      <c r="E139">
        <v>64.63</v>
      </c>
      <c r="G139">
        <v>3319</v>
      </c>
      <c r="H139">
        <v>440.3</v>
      </c>
      <c r="J139" s="2">
        <v>1.5135120900000001</v>
      </c>
      <c r="K139">
        <v>976.7</v>
      </c>
      <c r="L139">
        <v>88</v>
      </c>
      <c r="O139">
        <v>-22</v>
      </c>
      <c r="P139">
        <v>0.44</v>
      </c>
      <c r="Q139">
        <v>10026</v>
      </c>
    </row>
    <row r="140" spans="1:17" x14ac:dyDescent="0.25">
      <c r="A140">
        <v>3502</v>
      </c>
      <c r="B140">
        <v>52.94</v>
      </c>
      <c r="C140">
        <v>2.91</v>
      </c>
      <c r="D140">
        <v>458.22</v>
      </c>
      <c r="E140">
        <v>212.87</v>
      </c>
      <c r="F140">
        <v>3.17</v>
      </c>
      <c r="G140">
        <v>3450</v>
      </c>
      <c r="H140">
        <v>730.11</v>
      </c>
      <c r="J140" s="2">
        <v>0.77666762</v>
      </c>
      <c r="K140">
        <v>-782.11</v>
      </c>
      <c r="L140">
        <v>349</v>
      </c>
      <c r="M140">
        <v>300</v>
      </c>
      <c r="O140">
        <v>-39</v>
      </c>
      <c r="P140">
        <v>0.56000000000000005</v>
      </c>
      <c r="Q140">
        <v>13841</v>
      </c>
    </row>
    <row r="141" spans="1:17" x14ac:dyDescent="0.25">
      <c r="A141">
        <v>2300</v>
      </c>
      <c r="B141">
        <v>37.15</v>
      </c>
      <c r="C141">
        <v>2.81</v>
      </c>
      <c r="D141">
        <v>321.55</v>
      </c>
      <c r="E141">
        <v>70.38</v>
      </c>
      <c r="F141">
        <v>3.47</v>
      </c>
      <c r="G141">
        <v>3701.58</v>
      </c>
      <c r="H141">
        <v>435.36</v>
      </c>
      <c r="J141" s="2">
        <v>1.4200956499999999</v>
      </c>
      <c r="K141">
        <v>966.22</v>
      </c>
      <c r="L141">
        <v>325</v>
      </c>
      <c r="O141">
        <v>-24</v>
      </c>
      <c r="P141">
        <v>0.49</v>
      </c>
      <c r="Q141">
        <v>9712</v>
      </c>
    </row>
    <row r="142" spans="1:17" x14ac:dyDescent="0.25">
      <c r="A142">
        <v>2400</v>
      </c>
      <c r="B142">
        <v>38.119999999999997</v>
      </c>
      <c r="C142">
        <v>2.88</v>
      </c>
      <c r="D142">
        <v>330</v>
      </c>
      <c r="E142">
        <v>202.35</v>
      </c>
      <c r="F142">
        <v>6.01</v>
      </c>
      <c r="G142">
        <v>2273.5700000000002</v>
      </c>
      <c r="H142">
        <v>579.36</v>
      </c>
      <c r="J142" s="2">
        <v>0.70592083000000005</v>
      </c>
      <c r="K142">
        <v>-705.79</v>
      </c>
      <c r="L142">
        <v>300</v>
      </c>
      <c r="M142">
        <v>-3</v>
      </c>
      <c r="O142">
        <v>-22</v>
      </c>
      <c r="P142">
        <v>0.44</v>
      </c>
      <c r="Q142">
        <v>9966</v>
      </c>
    </row>
    <row r="143" spans="1:17" x14ac:dyDescent="0.25">
      <c r="A143">
        <v>2200</v>
      </c>
      <c r="B143">
        <v>35.56</v>
      </c>
      <c r="C143">
        <v>2.69</v>
      </c>
      <c r="D143">
        <v>307.88</v>
      </c>
      <c r="E143">
        <v>70</v>
      </c>
      <c r="F143">
        <v>2.89</v>
      </c>
      <c r="G143">
        <v>2078.73</v>
      </c>
      <c r="H143">
        <v>419.02</v>
      </c>
      <c r="J143" s="2">
        <v>0.75441364</v>
      </c>
      <c r="K143">
        <v>-540.29</v>
      </c>
      <c r="L143">
        <v>281</v>
      </c>
      <c r="O143">
        <v>-19</v>
      </c>
      <c r="P143">
        <v>0.41</v>
      </c>
      <c r="Q143">
        <v>9297</v>
      </c>
    </row>
    <row r="144" spans="1:17" x14ac:dyDescent="0.25">
      <c r="A144">
        <v>2800</v>
      </c>
      <c r="B144">
        <v>39.619999999999997</v>
      </c>
      <c r="C144">
        <v>3</v>
      </c>
      <c r="D144">
        <v>342.28</v>
      </c>
      <c r="E144">
        <v>95.44</v>
      </c>
      <c r="G144">
        <v>2800</v>
      </c>
      <c r="H144">
        <v>480.34</v>
      </c>
      <c r="J144" s="2">
        <v>0.82845000000000002</v>
      </c>
      <c r="K144">
        <v>-480.34</v>
      </c>
      <c r="L144">
        <v>243</v>
      </c>
      <c r="O144">
        <v>-38</v>
      </c>
      <c r="P144">
        <v>0.73</v>
      </c>
      <c r="Q144">
        <v>10358</v>
      </c>
    </row>
    <row r="145" spans="1:17" x14ac:dyDescent="0.25">
      <c r="A145">
        <v>1600</v>
      </c>
      <c r="B145">
        <v>28.07</v>
      </c>
      <c r="C145">
        <v>1.77</v>
      </c>
      <c r="D145">
        <v>135.34</v>
      </c>
      <c r="E145">
        <v>38.04</v>
      </c>
      <c r="F145">
        <v>1.46</v>
      </c>
      <c r="G145">
        <v>2043</v>
      </c>
      <c r="H145">
        <v>204.68</v>
      </c>
      <c r="J145" s="2">
        <v>1.1489499999999999</v>
      </c>
      <c r="K145">
        <v>238.32</v>
      </c>
      <c r="L145">
        <v>227</v>
      </c>
      <c r="O145">
        <v>-16</v>
      </c>
      <c r="P145">
        <v>0.44</v>
      </c>
      <c r="Q145">
        <v>7339</v>
      </c>
    </row>
    <row r="146" spans="1:17" x14ac:dyDescent="0.25">
      <c r="A146">
        <v>2000</v>
      </c>
      <c r="B146">
        <v>33.43</v>
      </c>
      <c r="C146">
        <v>2.5299999999999998</v>
      </c>
      <c r="D146">
        <v>225.45</v>
      </c>
      <c r="E146">
        <v>56.34</v>
      </c>
      <c r="G146">
        <v>1661.4</v>
      </c>
      <c r="H146">
        <v>317.75</v>
      </c>
      <c r="J146" s="2">
        <v>0.67182500000000001</v>
      </c>
      <c r="K146">
        <v>-656.35</v>
      </c>
      <c r="L146">
        <v>204</v>
      </c>
      <c r="O146">
        <v>-23</v>
      </c>
      <c r="P146">
        <v>0.53</v>
      </c>
      <c r="Q146">
        <v>8740</v>
      </c>
    </row>
    <row r="147" spans="1:17" x14ac:dyDescent="0.25">
      <c r="A147">
        <v>4430</v>
      </c>
      <c r="B147">
        <v>30.61</v>
      </c>
      <c r="E147">
        <v>56.28</v>
      </c>
      <c r="G147">
        <v>5683</v>
      </c>
      <c r="H147">
        <v>86.89</v>
      </c>
      <c r="J147" s="2">
        <v>1.2632302500000001</v>
      </c>
      <c r="K147">
        <v>1166.1099999999999</v>
      </c>
      <c r="L147">
        <v>171</v>
      </c>
      <c r="O147">
        <v>-33</v>
      </c>
      <c r="P147">
        <v>0.82</v>
      </c>
      <c r="Q147">
        <v>8003</v>
      </c>
    </row>
    <row r="148" spans="1:17" x14ac:dyDescent="0.25">
      <c r="A148">
        <v>19635</v>
      </c>
      <c r="B148">
        <v>199.42</v>
      </c>
      <c r="C148">
        <v>15.06</v>
      </c>
      <c r="D148">
        <v>671.96</v>
      </c>
      <c r="E148">
        <v>515.66</v>
      </c>
      <c r="F148">
        <v>118</v>
      </c>
      <c r="G148">
        <v>15649.5</v>
      </c>
      <c r="H148">
        <v>2635.81</v>
      </c>
      <c r="J148" s="2">
        <v>0.66278024000000002</v>
      </c>
      <c r="K148">
        <v>-6621.31</v>
      </c>
      <c r="L148">
        <v>63</v>
      </c>
      <c r="O148">
        <v>-108</v>
      </c>
      <c r="P148">
        <v>0.41</v>
      </c>
      <c r="Q148">
        <v>52136</v>
      </c>
    </row>
    <row r="149" spans="1:17" x14ac:dyDescent="0.25">
      <c r="A149">
        <v>2780</v>
      </c>
      <c r="B149">
        <v>26.09</v>
      </c>
      <c r="C149">
        <v>0</v>
      </c>
      <c r="D149">
        <v>220.61</v>
      </c>
      <c r="E149">
        <v>37.880000000000003</v>
      </c>
      <c r="G149">
        <v>2056</v>
      </c>
      <c r="H149">
        <v>284.58</v>
      </c>
      <c r="J149" s="2">
        <v>0.63720144000000001</v>
      </c>
      <c r="K149">
        <v>-1008.58</v>
      </c>
      <c r="L149">
        <v>290</v>
      </c>
      <c r="M149">
        <v>250</v>
      </c>
      <c r="O149">
        <v>-23</v>
      </c>
      <c r="P149">
        <v>0.67</v>
      </c>
      <c r="Q149">
        <v>6821</v>
      </c>
    </row>
    <row r="150" spans="1:17" x14ac:dyDescent="0.25">
      <c r="A150">
        <v>1000</v>
      </c>
      <c r="B150">
        <v>17.52</v>
      </c>
      <c r="C150">
        <v>3.3</v>
      </c>
      <c r="D150">
        <v>137.5</v>
      </c>
      <c r="G150">
        <v>1402</v>
      </c>
      <c r="H150">
        <v>158.32</v>
      </c>
      <c r="J150" s="2">
        <v>1.2436799999999999</v>
      </c>
      <c r="K150">
        <v>243.68</v>
      </c>
      <c r="L150">
        <v>277</v>
      </c>
      <c r="O150">
        <v>-13</v>
      </c>
      <c r="P150">
        <v>0.56999999999999995</v>
      </c>
      <c r="Q150">
        <v>4580</v>
      </c>
    </row>
    <row r="151" spans="1:17" x14ac:dyDescent="0.25">
      <c r="A151">
        <v>2640</v>
      </c>
      <c r="B151">
        <v>12.31</v>
      </c>
      <c r="C151">
        <v>0.93</v>
      </c>
      <c r="D151">
        <v>106.61</v>
      </c>
      <c r="G151">
        <v>2465</v>
      </c>
      <c r="H151">
        <v>119.85</v>
      </c>
      <c r="J151" s="2">
        <v>0.88831439000000001</v>
      </c>
      <c r="K151">
        <v>-294.85000000000002</v>
      </c>
      <c r="L151">
        <v>271</v>
      </c>
      <c r="O151">
        <v>-6</v>
      </c>
      <c r="P151">
        <v>0.37</v>
      </c>
      <c r="Q151">
        <v>3218</v>
      </c>
    </row>
    <row r="152" spans="1:17" x14ac:dyDescent="0.25">
      <c r="A152">
        <v>2000</v>
      </c>
      <c r="B152">
        <v>32.909999999999997</v>
      </c>
      <c r="C152">
        <v>2.4900000000000002</v>
      </c>
      <c r="D152">
        <v>284.89</v>
      </c>
      <c r="E152">
        <v>160.66999999999999</v>
      </c>
      <c r="G152">
        <v>2239</v>
      </c>
      <c r="H152">
        <v>480.96</v>
      </c>
      <c r="J152" s="2">
        <v>0.87902000000000002</v>
      </c>
      <c r="K152">
        <v>-241.96</v>
      </c>
      <c r="L152">
        <v>257</v>
      </c>
      <c r="O152">
        <v>-14</v>
      </c>
      <c r="P152">
        <v>0.33</v>
      </c>
      <c r="Q152">
        <v>8604</v>
      </c>
    </row>
    <row r="153" spans="1:17" x14ac:dyDescent="0.25">
      <c r="A153">
        <v>2000</v>
      </c>
      <c r="B153">
        <v>31.77</v>
      </c>
      <c r="C153">
        <v>2.4</v>
      </c>
      <c r="D153">
        <v>275.08</v>
      </c>
      <c r="E153">
        <v>28.6</v>
      </c>
      <c r="F153">
        <v>11.42</v>
      </c>
      <c r="G153">
        <v>2459</v>
      </c>
      <c r="H153">
        <v>349.27</v>
      </c>
      <c r="J153" s="2">
        <v>1.0548649999999999</v>
      </c>
      <c r="K153">
        <v>109.73</v>
      </c>
      <c r="L153">
        <v>241</v>
      </c>
      <c r="O153">
        <v>-16</v>
      </c>
      <c r="P153">
        <v>0.39</v>
      </c>
      <c r="Q153">
        <v>8306</v>
      </c>
    </row>
    <row r="154" spans="1:17" x14ac:dyDescent="0.25">
      <c r="A154">
        <v>2000</v>
      </c>
      <c r="B154">
        <v>33</v>
      </c>
      <c r="C154">
        <v>2.4900000000000002</v>
      </c>
      <c r="D154">
        <v>285.64999999999998</v>
      </c>
      <c r="E154">
        <v>135.16999999999999</v>
      </c>
      <c r="F154">
        <v>8.4700000000000006</v>
      </c>
      <c r="G154">
        <v>1072</v>
      </c>
      <c r="H154">
        <v>464.78</v>
      </c>
      <c r="J154" s="2">
        <v>0.30360999999999999</v>
      </c>
      <c r="K154">
        <v>-1392.78</v>
      </c>
      <c r="L154">
        <v>223</v>
      </c>
      <c r="O154">
        <v>-18</v>
      </c>
      <c r="P154">
        <v>0.42</v>
      </c>
      <c r="Q154">
        <v>8627</v>
      </c>
    </row>
    <row r="155" spans="1:17" x14ac:dyDescent="0.25">
      <c r="A155">
        <v>2000</v>
      </c>
      <c r="B155">
        <v>29.32</v>
      </c>
      <c r="C155">
        <v>2.14</v>
      </c>
      <c r="D155">
        <v>258.45</v>
      </c>
      <c r="E155">
        <v>8.89</v>
      </c>
      <c r="G155">
        <v>2359</v>
      </c>
      <c r="H155">
        <v>298.8</v>
      </c>
      <c r="J155" s="2">
        <v>1.0301</v>
      </c>
      <c r="K155">
        <v>60.2</v>
      </c>
      <c r="L155">
        <v>203</v>
      </c>
      <c r="O155">
        <v>-20</v>
      </c>
      <c r="P155">
        <v>0.52</v>
      </c>
      <c r="Q155">
        <v>7665</v>
      </c>
    </row>
    <row r="156" spans="1:17" x14ac:dyDescent="0.25">
      <c r="A156">
        <v>3000</v>
      </c>
      <c r="B156">
        <v>49.71</v>
      </c>
      <c r="C156">
        <v>3.69</v>
      </c>
      <c r="D156">
        <v>430.28</v>
      </c>
      <c r="E156">
        <v>95.27</v>
      </c>
      <c r="F156">
        <v>19</v>
      </c>
      <c r="G156">
        <v>2360.6999999999998</v>
      </c>
      <c r="H156">
        <v>597.95000000000005</v>
      </c>
      <c r="J156" s="2">
        <v>0.58758332999999996</v>
      </c>
      <c r="K156">
        <v>-1237.25</v>
      </c>
      <c r="O156">
        <v>-203</v>
      </c>
      <c r="P156">
        <v>3.12</v>
      </c>
      <c r="Q156">
        <v>12996</v>
      </c>
    </row>
    <row r="157" spans="1:17" x14ac:dyDescent="0.25">
      <c r="A157">
        <v>3160</v>
      </c>
      <c r="B157">
        <v>39.78</v>
      </c>
      <c r="C157">
        <v>3.01</v>
      </c>
      <c r="D157">
        <v>135.53</v>
      </c>
      <c r="E157">
        <v>314.29000000000002</v>
      </c>
      <c r="G157">
        <v>2480</v>
      </c>
      <c r="H157">
        <v>492.61</v>
      </c>
      <c r="J157" s="2">
        <v>0.62892088999999995</v>
      </c>
      <c r="K157">
        <v>-1172.6099999999999</v>
      </c>
      <c r="L157">
        <v>113</v>
      </c>
      <c r="M157">
        <v>60</v>
      </c>
      <c r="O157">
        <v>53</v>
      </c>
      <c r="P157">
        <v>1.02</v>
      </c>
      <c r="Q157">
        <v>10400</v>
      </c>
    </row>
    <row r="158" spans="1:17" x14ac:dyDescent="0.25">
      <c r="A158">
        <v>4040</v>
      </c>
      <c r="B158">
        <v>45.76</v>
      </c>
      <c r="C158">
        <v>37</v>
      </c>
      <c r="D158">
        <v>268.89999999999998</v>
      </c>
      <c r="E158">
        <v>406.75</v>
      </c>
      <c r="G158">
        <v>6182</v>
      </c>
      <c r="H158">
        <v>758.41</v>
      </c>
      <c r="J158" s="2">
        <v>1.3424727700000001</v>
      </c>
      <c r="K158">
        <v>1383.59</v>
      </c>
      <c r="L158">
        <v>140</v>
      </c>
      <c r="O158">
        <v>27</v>
      </c>
      <c r="P158">
        <v>0.45</v>
      </c>
      <c r="Q158">
        <v>11963</v>
      </c>
    </row>
    <row r="159" spans="1:17" x14ac:dyDescent="0.25">
      <c r="A159">
        <v>2606</v>
      </c>
      <c r="B159">
        <v>37.200000000000003</v>
      </c>
      <c r="C159">
        <v>161</v>
      </c>
      <c r="D159">
        <v>180.37</v>
      </c>
      <c r="E159">
        <v>192.75</v>
      </c>
      <c r="F159">
        <v>49.5</v>
      </c>
      <c r="G159">
        <v>2420</v>
      </c>
      <c r="H159">
        <v>620.82000000000005</v>
      </c>
      <c r="J159" s="2">
        <v>0.69039908000000005</v>
      </c>
      <c r="K159">
        <v>-806.82</v>
      </c>
      <c r="L159">
        <v>105</v>
      </c>
      <c r="O159">
        <v>-35</v>
      </c>
      <c r="P159">
        <v>0.72</v>
      </c>
      <c r="Q159">
        <v>9725</v>
      </c>
    </row>
    <row r="160" spans="1:17" x14ac:dyDescent="0.25">
      <c r="A160">
        <v>3600</v>
      </c>
      <c r="B160">
        <v>41.5</v>
      </c>
      <c r="C160">
        <v>110.41</v>
      </c>
      <c r="D160">
        <v>288.42</v>
      </c>
      <c r="E160">
        <v>237.77</v>
      </c>
      <c r="G160">
        <v>3739</v>
      </c>
      <c r="H160">
        <v>678.1</v>
      </c>
      <c r="J160" s="2">
        <v>0.85024999999999995</v>
      </c>
      <c r="K160">
        <v>-539.1</v>
      </c>
      <c r="L160">
        <v>74</v>
      </c>
      <c r="O160">
        <v>-31</v>
      </c>
      <c r="P160">
        <v>0.56999999999999995</v>
      </c>
      <c r="Q160">
        <v>10850</v>
      </c>
    </row>
    <row r="161" spans="1:18" x14ac:dyDescent="0.25">
      <c r="A161">
        <v>4200</v>
      </c>
      <c r="B161">
        <v>53.14</v>
      </c>
      <c r="C161">
        <v>162.29</v>
      </c>
      <c r="D161">
        <v>425.07</v>
      </c>
      <c r="E161">
        <v>366.46</v>
      </c>
      <c r="G161">
        <v>4873</v>
      </c>
      <c r="H161">
        <v>1006.96</v>
      </c>
      <c r="J161" s="2">
        <v>0.92048571000000001</v>
      </c>
      <c r="K161">
        <v>-333.96</v>
      </c>
      <c r="L161">
        <v>44</v>
      </c>
      <c r="M161">
        <v>22</v>
      </c>
      <c r="O161">
        <v>-52</v>
      </c>
      <c r="P161">
        <v>0.75</v>
      </c>
      <c r="Q161">
        <v>13893</v>
      </c>
    </row>
    <row r="162" spans="1:18" x14ac:dyDescent="0.25">
      <c r="A162">
        <v>5545</v>
      </c>
      <c r="B162">
        <v>37.15</v>
      </c>
      <c r="C162">
        <v>88.47</v>
      </c>
      <c r="D162">
        <v>242.93</v>
      </c>
      <c r="E162">
        <v>142</v>
      </c>
      <c r="F162">
        <v>24</v>
      </c>
      <c r="G162">
        <v>4265</v>
      </c>
      <c r="H162">
        <v>534.54999999999995</v>
      </c>
      <c r="J162" s="2">
        <v>0.67275923999999998</v>
      </c>
      <c r="K162">
        <v>-1814.55</v>
      </c>
      <c r="L162">
        <v>149</v>
      </c>
      <c r="M162">
        <v>132</v>
      </c>
      <c r="O162">
        <v>-27</v>
      </c>
      <c r="P162">
        <v>0.56000000000000005</v>
      </c>
      <c r="Q162">
        <v>9712</v>
      </c>
    </row>
    <row r="163" spans="1:18" x14ac:dyDescent="0.25">
      <c r="A163">
        <v>2400</v>
      </c>
      <c r="B163">
        <v>33.770000000000003</v>
      </c>
      <c r="C163">
        <v>41.57</v>
      </c>
      <c r="D163">
        <v>254.37</v>
      </c>
      <c r="E163">
        <v>386.64</v>
      </c>
      <c r="G163">
        <v>2015.43</v>
      </c>
      <c r="H163">
        <v>716.35</v>
      </c>
      <c r="J163" s="2">
        <v>0.54128332999999995</v>
      </c>
      <c r="K163">
        <v>-1100.92</v>
      </c>
      <c r="L163">
        <v>126</v>
      </c>
      <c r="O163">
        <v>-23</v>
      </c>
      <c r="P163">
        <v>0.52</v>
      </c>
      <c r="Q163">
        <v>8829</v>
      </c>
    </row>
    <row r="164" spans="1:18" x14ac:dyDescent="0.25">
      <c r="A164">
        <v>2000</v>
      </c>
      <c r="B164">
        <v>33.36</v>
      </c>
      <c r="C164">
        <v>0.83</v>
      </c>
      <c r="D164">
        <v>237.17</v>
      </c>
      <c r="E164">
        <v>187.03</v>
      </c>
      <c r="G164">
        <v>2714</v>
      </c>
      <c r="H164">
        <v>458.39</v>
      </c>
      <c r="J164" s="2">
        <v>1.1278049999999999</v>
      </c>
      <c r="K164">
        <v>255.61</v>
      </c>
      <c r="L164">
        <v>146</v>
      </c>
      <c r="M164">
        <v>40</v>
      </c>
      <c r="N164" t="s">
        <v>412</v>
      </c>
      <c r="O164">
        <v>-20</v>
      </c>
      <c r="P164">
        <v>0.41</v>
      </c>
      <c r="Q164">
        <v>8176</v>
      </c>
      <c r="R164" t="s">
        <v>413</v>
      </c>
    </row>
    <row r="165" spans="1:18" x14ac:dyDescent="0.25">
      <c r="A165">
        <v>3000</v>
      </c>
      <c r="B165">
        <v>54.17</v>
      </c>
      <c r="D165">
        <v>268.89999999999998</v>
      </c>
      <c r="E165">
        <v>125</v>
      </c>
      <c r="G165">
        <v>2831</v>
      </c>
      <c r="H165">
        <v>448.07</v>
      </c>
      <c r="J165" s="2">
        <v>0.79430999999999996</v>
      </c>
      <c r="K165">
        <v>-617.07000000000005</v>
      </c>
      <c r="L165">
        <v>104</v>
      </c>
      <c r="O165">
        <v>-42</v>
      </c>
      <c r="P165">
        <v>0.53</v>
      </c>
      <c r="Q165">
        <v>13277</v>
      </c>
    </row>
    <row r="166" spans="1:18" x14ac:dyDescent="0.25">
      <c r="A166">
        <v>6000</v>
      </c>
      <c r="B166">
        <v>108.98</v>
      </c>
      <c r="C166">
        <v>1.84</v>
      </c>
      <c r="D166">
        <v>533.51</v>
      </c>
      <c r="E166">
        <v>407.98</v>
      </c>
      <c r="G166">
        <v>5521.9</v>
      </c>
      <c r="H166">
        <v>1052.31</v>
      </c>
      <c r="J166" s="2">
        <v>0.74493167000000005</v>
      </c>
      <c r="K166">
        <v>-1530.41</v>
      </c>
      <c r="L166">
        <v>108</v>
      </c>
      <c r="M166">
        <v>78</v>
      </c>
      <c r="O166">
        <v>-74</v>
      </c>
      <c r="P166">
        <v>0.46</v>
      </c>
      <c r="Q166">
        <v>26711</v>
      </c>
    </row>
    <row r="167" spans="1:18" x14ac:dyDescent="0.25">
      <c r="A167">
        <v>3500</v>
      </c>
      <c r="B167">
        <v>65.66</v>
      </c>
      <c r="C167">
        <v>1.4</v>
      </c>
      <c r="D167">
        <v>438.02</v>
      </c>
      <c r="E167">
        <v>154.41999999999999</v>
      </c>
      <c r="G167">
        <v>4623</v>
      </c>
      <c r="H167">
        <v>659.5</v>
      </c>
      <c r="J167" s="2">
        <v>1.1324285700000001</v>
      </c>
      <c r="K167">
        <v>463.5</v>
      </c>
      <c r="L167">
        <v>70</v>
      </c>
      <c r="O167">
        <v>-38</v>
      </c>
      <c r="P167">
        <v>0.39</v>
      </c>
      <c r="Q167">
        <v>16093</v>
      </c>
    </row>
    <row r="168" spans="1:18" x14ac:dyDescent="0.25">
      <c r="A168">
        <v>3000</v>
      </c>
      <c r="B168">
        <v>46.6</v>
      </c>
      <c r="C168">
        <v>0.73</v>
      </c>
      <c r="D168">
        <v>221.02</v>
      </c>
      <c r="E168">
        <v>36</v>
      </c>
      <c r="F168">
        <v>102.62</v>
      </c>
      <c r="G168">
        <v>3100</v>
      </c>
      <c r="H168">
        <v>406.97</v>
      </c>
      <c r="J168" s="2">
        <v>0.89767666999999995</v>
      </c>
      <c r="K168">
        <v>-306.97000000000003</v>
      </c>
      <c r="L168">
        <v>119</v>
      </c>
      <c r="M168">
        <v>87</v>
      </c>
      <c r="O168">
        <v>-38</v>
      </c>
      <c r="P168">
        <v>0.55000000000000004</v>
      </c>
      <c r="Q168">
        <v>11422</v>
      </c>
    </row>
    <row r="169" spans="1:18" x14ac:dyDescent="0.25">
      <c r="A169">
        <v>7000</v>
      </c>
      <c r="B169">
        <v>117.19</v>
      </c>
      <c r="C169">
        <v>1.75</v>
      </c>
      <c r="D169">
        <v>736.52</v>
      </c>
      <c r="E169">
        <v>461.61</v>
      </c>
      <c r="G169">
        <v>6860.66</v>
      </c>
      <c r="H169">
        <v>1317.07</v>
      </c>
      <c r="J169" s="2">
        <v>0.79194142999999995</v>
      </c>
      <c r="K169">
        <v>-1456.41</v>
      </c>
      <c r="L169">
        <v>69</v>
      </c>
      <c r="M169">
        <v>22</v>
      </c>
      <c r="O169">
        <v>-72</v>
      </c>
      <c r="P169">
        <v>0.42</v>
      </c>
      <c r="Q169">
        <v>28723</v>
      </c>
    </row>
    <row r="170" spans="1:18" x14ac:dyDescent="0.25">
      <c r="A170">
        <v>2620</v>
      </c>
      <c r="B170">
        <v>48.51</v>
      </c>
      <c r="C170">
        <v>2.2200000000000002</v>
      </c>
      <c r="D170">
        <v>292.18</v>
      </c>
      <c r="E170">
        <v>39.74</v>
      </c>
      <c r="F170">
        <v>22.62</v>
      </c>
      <c r="G170">
        <v>3890</v>
      </c>
      <c r="H170">
        <v>405.27</v>
      </c>
      <c r="J170" s="2">
        <v>1.33004962</v>
      </c>
      <c r="K170">
        <v>864.73</v>
      </c>
      <c r="L170">
        <v>294</v>
      </c>
      <c r="M170">
        <v>170</v>
      </c>
      <c r="O170">
        <v>55</v>
      </c>
      <c r="P170">
        <v>0.77</v>
      </c>
      <c r="Q170">
        <v>11890</v>
      </c>
    </row>
    <row r="171" spans="1:18" x14ac:dyDescent="0.25">
      <c r="A171">
        <v>5000</v>
      </c>
      <c r="B171">
        <v>122.23</v>
      </c>
      <c r="C171">
        <v>79</v>
      </c>
      <c r="D171">
        <v>578.89</v>
      </c>
      <c r="E171">
        <v>487.46</v>
      </c>
      <c r="F171">
        <v>395</v>
      </c>
      <c r="G171">
        <v>7353.58</v>
      </c>
      <c r="H171">
        <v>1662.58</v>
      </c>
      <c r="J171" s="2">
        <v>1.1382000000000001</v>
      </c>
      <c r="K171">
        <v>691</v>
      </c>
      <c r="L171">
        <v>195</v>
      </c>
      <c r="O171">
        <v>-99</v>
      </c>
      <c r="P171">
        <v>0.55000000000000004</v>
      </c>
      <c r="Q171">
        <v>29958</v>
      </c>
    </row>
    <row r="172" spans="1:18" x14ac:dyDescent="0.25">
      <c r="A172">
        <v>9054</v>
      </c>
      <c r="B172">
        <v>104.35</v>
      </c>
      <c r="C172">
        <v>282.35000000000002</v>
      </c>
      <c r="D172">
        <v>663.22</v>
      </c>
      <c r="E172">
        <v>527.01</v>
      </c>
      <c r="F172">
        <v>600</v>
      </c>
      <c r="G172">
        <v>9120</v>
      </c>
      <c r="H172">
        <v>2176.9299999999998</v>
      </c>
      <c r="J172" s="2">
        <v>0.76685112</v>
      </c>
      <c r="K172">
        <v>-2110.9299999999998</v>
      </c>
      <c r="L172">
        <v>127</v>
      </c>
      <c r="O172">
        <v>-68</v>
      </c>
      <c r="P172">
        <v>0.44</v>
      </c>
      <c r="Q172">
        <v>25576</v>
      </c>
    </row>
    <row r="173" spans="1:18" x14ac:dyDescent="0.25">
      <c r="A173">
        <v>5000</v>
      </c>
      <c r="B173">
        <v>45.66</v>
      </c>
      <c r="C173">
        <v>170</v>
      </c>
      <c r="D173">
        <v>405.64</v>
      </c>
      <c r="E173">
        <v>212.44</v>
      </c>
      <c r="F173">
        <v>270</v>
      </c>
      <c r="G173">
        <v>5364</v>
      </c>
      <c r="H173">
        <v>1103.74</v>
      </c>
      <c r="J173" s="2">
        <v>0.85205200000000003</v>
      </c>
      <c r="K173">
        <v>-739.74</v>
      </c>
      <c r="L173">
        <v>99</v>
      </c>
      <c r="O173">
        <v>-28</v>
      </c>
      <c r="P173">
        <v>0.42</v>
      </c>
      <c r="Q173">
        <v>11191</v>
      </c>
    </row>
    <row r="174" spans="1:18" x14ac:dyDescent="0.25">
      <c r="A174">
        <v>7000</v>
      </c>
      <c r="B174">
        <v>75.459999999999994</v>
      </c>
      <c r="C174">
        <v>21</v>
      </c>
      <c r="D174">
        <v>133.21</v>
      </c>
      <c r="E174">
        <v>56</v>
      </c>
      <c r="F174">
        <v>368</v>
      </c>
      <c r="G174">
        <v>6565</v>
      </c>
      <c r="H174">
        <v>653.66999999999996</v>
      </c>
      <c r="J174" s="2">
        <v>0.84447570999999999</v>
      </c>
      <c r="K174">
        <v>-1088.67</v>
      </c>
      <c r="L174">
        <v>56</v>
      </c>
      <c r="M174">
        <v>7</v>
      </c>
      <c r="O174">
        <v>-50</v>
      </c>
      <c r="P174">
        <v>0.45</v>
      </c>
      <c r="Q174">
        <v>18495</v>
      </c>
    </row>
    <row r="175" spans="1:18" x14ac:dyDescent="0.25">
      <c r="A175">
        <v>7200</v>
      </c>
      <c r="B175">
        <v>46.54</v>
      </c>
      <c r="C175">
        <v>65.45</v>
      </c>
      <c r="D175">
        <v>449.77</v>
      </c>
      <c r="E175">
        <v>78.150000000000006</v>
      </c>
      <c r="F175">
        <v>320</v>
      </c>
      <c r="G175">
        <v>8296</v>
      </c>
      <c r="H175">
        <v>959.91</v>
      </c>
      <c r="J175" s="2">
        <v>1.0189013899999999</v>
      </c>
      <c r="K175">
        <v>136.09</v>
      </c>
      <c r="L175">
        <v>233</v>
      </c>
      <c r="M175">
        <v>213</v>
      </c>
      <c r="O175">
        <v>-36</v>
      </c>
      <c r="P175">
        <v>0.53</v>
      </c>
      <c r="Q175">
        <v>11407</v>
      </c>
    </row>
    <row r="176" spans="1:18" x14ac:dyDescent="0.25">
      <c r="A176">
        <v>6000</v>
      </c>
      <c r="B176">
        <v>50.06</v>
      </c>
      <c r="C176">
        <v>39.76</v>
      </c>
      <c r="D176">
        <v>299.29000000000002</v>
      </c>
      <c r="E176">
        <v>80.430000000000007</v>
      </c>
      <c r="F176">
        <v>300</v>
      </c>
      <c r="G176">
        <v>6035</v>
      </c>
      <c r="H176">
        <v>769.54</v>
      </c>
      <c r="J176" s="2">
        <v>0.87757666999999995</v>
      </c>
      <c r="K176">
        <v>-734.54</v>
      </c>
      <c r="L176">
        <v>201</v>
      </c>
      <c r="O176">
        <v>-32</v>
      </c>
      <c r="P176">
        <v>0.43</v>
      </c>
      <c r="Q176">
        <v>12270</v>
      </c>
    </row>
    <row r="177" spans="1:17" x14ac:dyDescent="0.25">
      <c r="A177">
        <v>8454</v>
      </c>
      <c r="B177">
        <v>58.69</v>
      </c>
      <c r="C177">
        <v>75</v>
      </c>
      <c r="D177">
        <v>322.62</v>
      </c>
      <c r="E177">
        <v>87.46</v>
      </c>
      <c r="F177">
        <v>330</v>
      </c>
      <c r="G177">
        <v>10280</v>
      </c>
      <c r="H177">
        <v>873.77</v>
      </c>
      <c r="J177" s="2">
        <v>1.11263662</v>
      </c>
      <c r="K177">
        <v>952.23</v>
      </c>
      <c r="L177">
        <v>177</v>
      </c>
      <c r="M177">
        <v>17</v>
      </c>
      <c r="O177">
        <v>-41</v>
      </c>
      <c r="P177">
        <v>0.48</v>
      </c>
      <c r="Q177">
        <v>14385</v>
      </c>
    </row>
    <row r="178" spans="1:17" x14ac:dyDescent="0.25">
      <c r="A178">
        <v>7225</v>
      </c>
      <c r="B178">
        <v>57.51</v>
      </c>
      <c r="C178">
        <v>117.61</v>
      </c>
      <c r="D178">
        <v>352.56</v>
      </c>
      <c r="E178">
        <v>108.36</v>
      </c>
      <c r="F178">
        <v>370</v>
      </c>
      <c r="G178">
        <v>7889</v>
      </c>
      <c r="H178">
        <v>1006.04</v>
      </c>
      <c r="J178" s="2">
        <v>0.95265882000000002</v>
      </c>
      <c r="K178">
        <v>-342.04</v>
      </c>
      <c r="L178">
        <v>558</v>
      </c>
      <c r="M178">
        <v>420</v>
      </c>
      <c r="O178">
        <v>-39</v>
      </c>
      <c r="P178">
        <v>0.46</v>
      </c>
      <c r="Q178">
        <v>14096</v>
      </c>
    </row>
    <row r="179" spans="1:17" x14ac:dyDescent="0.25">
      <c r="A179">
        <v>6217</v>
      </c>
      <c r="B179">
        <v>71.12</v>
      </c>
      <c r="C179">
        <v>112.72</v>
      </c>
      <c r="D179">
        <v>445.74</v>
      </c>
      <c r="E179">
        <v>64</v>
      </c>
      <c r="F179">
        <v>220</v>
      </c>
      <c r="G179">
        <v>8454</v>
      </c>
      <c r="H179">
        <v>913.58</v>
      </c>
      <c r="J179" s="2">
        <v>1.2128711599999999</v>
      </c>
      <c r="K179">
        <v>1323.42</v>
      </c>
      <c r="L179">
        <v>506</v>
      </c>
      <c r="O179">
        <v>-52</v>
      </c>
      <c r="P179">
        <v>0.5</v>
      </c>
      <c r="Q179">
        <v>17431</v>
      </c>
    </row>
    <row r="180" spans="1:17" x14ac:dyDescent="0.25">
      <c r="A180">
        <v>7300</v>
      </c>
      <c r="B180">
        <v>68.260000000000005</v>
      </c>
      <c r="C180">
        <v>84</v>
      </c>
      <c r="D180">
        <v>426.48</v>
      </c>
      <c r="E180">
        <v>399.81</v>
      </c>
      <c r="F180">
        <v>140</v>
      </c>
      <c r="G180">
        <v>9045</v>
      </c>
      <c r="H180">
        <v>1118.55</v>
      </c>
      <c r="J180" s="2">
        <v>1.08581507</v>
      </c>
      <c r="K180">
        <v>626.45000000000005</v>
      </c>
      <c r="L180">
        <v>455</v>
      </c>
      <c r="O180">
        <v>-51</v>
      </c>
      <c r="P180">
        <v>0.51</v>
      </c>
      <c r="Q180">
        <v>16730</v>
      </c>
    </row>
    <row r="181" spans="1:17" x14ac:dyDescent="0.25">
      <c r="A181">
        <v>6305</v>
      </c>
      <c r="B181">
        <v>59.73</v>
      </c>
      <c r="C181">
        <v>102.72</v>
      </c>
      <c r="D181">
        <v>307.37</v>
      </c>
      <c r="E181">
        <v>97.24</v>
      </c>
      <c r="F181">
        <v>280</v>
      </c>
      <c r="G181">
        <v>7893</v>
      </c>
      <c r="H181">
        <v>847.06</v>
      </c>
      <c r="J181" s="2">
        <v>1.1175162599999999</v>
      </c>
      <c r="K181">
        <v>740.94</v>
      </c>
      <c r="L181">
        <v>413</v>
      </c>
      <c r="O181">
        <v>-42</v>
      </c>
      <c r="P181">
        <v>0.48</v>
      </c>
      <c r="Q181">
        <v>14640</v>
      </c>
    </row>
    <row r="182" spans="1:17" x14ac:dyDescent="0.25">
      <c r="A182">
        <v>6000</v>
      </c>
      <c r="B182">
        <v>72.53</v>
      </c>
      <c r="C182">
        <v>141.85</v>
      </c>
      <c r="D182">
        <v>458.01</v>
      </c>
      <c r="E182">
        <v>80.48</v>
      </c>
      <c r="G182">
        <v>6169</v>
      </c>
      <c r="H182">
        <v>752.87</v>
      </c>
      <c r="J182" s="2">
        <v>0.90268833000000004</v>
      </c>
      <c r="K182">
        <v>-583.87</v>
      </c>
      <c r="L182">
        <v>356</v>
      </c>
      <c r="O182">
        <v>-57</v>
      </c>
      <c r="P182">
        <v>0.53</v>
      </c>
      <c r="Q182">
        <v>17777</v>
      </c>
    </row>
    <row r="183" spans="1:17" x14ac:dyDescent="0.25">
      <c r="A183">
        <v>5250</v>
      </c>
      <c r="C183">
        <v>42.79</v>
      </c>
      <c r="D183">
        <v>174.63</v>
      </c>
      <c r="E183">
        <v>265.83</v>
      </c>
      <c r="G183">
        <v>4500</v>
      </c>
      <c r="H183">
        <v>483.25</v>
      </c>
      <c r="J183" s="2">
        <v>0.76509523999999995</v>
      </c>
      <c r="K183">
        <v>-1233.25</v>
      </c>
      <c r="L183">
        <v>519</v>
      </c>
      <c r="O183">
        <v>163</v>
      </c>
      <c r="P183" t="e">
        <v>#DIV/0!</v>
      </c>
      <c r="Q183">
        <v>0</v>
      </c>
    </row>
    <row r="184" spans="1:17" x14ac:dyDescent="0.25">
      <c r="A184">
        <v>10651</v>
      </c>
      <c r="B184">
        <v>556.35</v>
      </c>
      <c r="C184">
        <v>2907.17</v>
      </c>
      <c r="D184">
        <v>469.07</v>
      </c>
      <c r="E184">
        <v>576.78</v>
      </c>
      <c r="F184">
        <v>190</v>
      </c>
      <c r="G184">
        <v>24234.7</v>
      </c>
      <c r="H184">
        <v>4699.37</v>
      </c>
      <c r="J184" s="2">
        <v>1.83413107</v>
      </c>
      <c r="K184">
        <v>8884.33</v>
      </c>
      <c r="L184">
        <v>154</v>
      </c>
      <c r="O184">
        <v>-365</v>
      </c>
      <c r="P184">
        <v>0.45</v>
      </c>
      <c r="Q184">
        <v>136360</v>
      </c>
    </row>
    <row r="185" spans="1:17" x14ac:dyDescent="0.25">
      <c r="A185">
        <v>8778</v>
      </c>
      <c r="B185">
        <v>152.33000000000001</v>
      </c>
      <c r="C185">
        <v>292.70999999999998</v>
      </c>
      <c r="D185">
        <v>918.16</v>
      </c>
      <c r="E185">
        <v>102.02</v>
      </c>
      <c r="F185">
        <v>510</v>
      </c>
      <c r="G185">
        <v>16680</v>
      </c>
      <c r="H185">
        <v>1975.22</v>
      </c>
      <c r="J185" s="2">
        <v>1.6751856899999999</v>
      </c>
      <c r="K185">
        <v>5926.78</v>
      </c>
      <c r="L185">
        <v>286</v>
      </c>
      <c r="M185">
        <v>248</v>
      </c>
      <c r="O185">
        <v>-116</v>
      </c>
      <c r="P185">
        <v>0.52</v>
      </c>
      <c r="Q185">
        <v>37336</v>
      </c>
    </row>
    <row r="186" spans="1:17" x14ac:dyDescent="0.25">
      <c r="A186">
        <v>10469</v>
      </c>
      <c r="B186">
        <v>302.77999999999997</v>
      </c>
      <c r="C186">
        <v>555.08000000000004</v>
      </c>
      <c r="D186">
        <v>1964.87</v>
      </c>
      <c r="E186">
        <v>317.57</v>
      </c>
      <c r="F186">
        <v>790</v>
      </c>
      <c r="G186">
        <v>13141</v>
      </c>
      <c r="H186">
        <v>3930.3</v>
      </c>
      <c r="J186" s="2">
        <v>0.87980705000000003</v>
      </c>
      <c r="K186">
        <v>-1258.3</v>
      </c>
      <c r="L186">
        <v>89</v>
      </c>
      <c r="O186">
        <v>-197</v>
      </c>
      <c r="P186">
        <v>0.44</v>
      </c>
      <c r="Q186">
        <v>74211</v>
      </c>
    </row>
    <row r="187" spans="1:17" x14ac:dyDescent="0.25">
      <c r="A187">
        <v>11580</v>
      </c>
      <c r="B187">
        <v>171.42</v>
      </c>
      <c r="C187">
        <v>345.93</v>
      </c>
      <c r="D187">
        <v>1136.1300000000001</v>
      </c>
      <c r="E187">
        <v>417.37</v>
      </c>
      <c r="F187">
        <v>620</v>
      </c>
      <c r="G187">
        <v>12404</v>
      </c>
      <c r="H187">
        <v>2690.85</v>
      </c>
      <c r="J187" s="2">
        <v>0.8387867</v>
      </c>
      <c r="K187">
        <v>-1866.85</v>
      </c>
      <c r="L187">
        <v>429</v>
      </c>
      <c r="M187">
        <v>360</v>
      </c>
      <c r="O187">
        <v>-20</v>
      </c>
      <c r="P187">
        <v>0.08</v>
      </c>
      <c r="Q187">
        <v>42015</v>
      </c>
    </row>
    <row r="188" spans="1:17" x14ac:dyDescent="0.25">
      <c r="A188">
        <v>9191</v>
      </c>
      <c r="B188">
        <v>148.13</v>
      </c>
      <c r="C188">
        <v>208.5</v>
      </c>
      <c r="D188">
        <v>742.41</v>
      </c>
      <c r="E188">
        <v>145.71</v>
      </c>
      <c r="F188">
        <v>450</v>
      </c>
      <c r="G188">
        <v>9892</v>
      </c>
      <c r="H188">
        <v>1694.75</v>
      </c>
      <c r="J188" s="2">
        <v>0.89187791999999999</v>
      </c>
      <c r="K188">
        <v>-993.75</v>
      </c>
      <c r="L188">
        <v>322</v>
      </c>
      <c r="O188">
        <v>-107</v>
      </c>
      <c r="P188">
        <v>0.49</v>
      </c>
      <c r="Q188">
        <v>36306</v>
      </c>
    </row>
    <row r="189" spans="1:17" x14ac:dyDescent="0.25">
      <c r="A189">
        <v>7618</v>
      </c>
      <c r="B189">
        <v>80</v>
      </c>
      <c r="C189">
        <v>148.61000000000001</v>
      </c>
      <c r="D189">
        <v>452.24</v>
      </c>
      <c r="E189">
        <v>143.22</v>
      </c>
      <c r="F189">
        <v>360</v>
      </c>
      <c r="G189">
        <v>10415</v>
      </c>
      <c r="H189">
        <v>1184.07</v>
      </c>
      <c r="J189" s="2">
        <v>1.2117261699999999</v>
      </c>
      <c r="K189">
        <v>1612.93</v>
      </c>
      <c r="L189">
        <v>259</v>
      </c>
      <c r="O189">
        <v>-63</v>
      </c>
      <c r="P189">
        <v>0.54</v>
      </c>
      <c r="Q189">
        <v>19608</v>
      </c>
    </row>
    <row r="190" spans="1:17" x14ac:dyDescent="0.25">
      <c r="A190">
        <v>8695</v>
      </c>
      <c r="B190">
        <v>103.52</v>
      </c>
      <c r="C190">
        <v>163.1</v>
      </c>
      <c r="D190">
        <v>662.76</v>
      </c>
      <c r="E190">
        <v>338.69</v>
      </c>
      <c r="G190">
        <v>9212.9500000000007</v>
      </c>
      <c r="H190">
        <v>1268.07</v>
      </c>
      <c r="J190" s="2">
        <v>0.91372973000000002</v>
      </c>
      <c r="K190">
        <v>-750.12</v>
      </c>
      <c r="L190">
        <v>214</v>
      </c>
      <c r="M190">
        <v>50</v>
      </c>
      <c r="O190">
        <v>-95</v>
      </c>
      <c r="P190">
        <v>0.56999999999999995</v>
      </c>
      <c r="Q190">
        <v>23880</v>
      </c>
    </row>
    <row r="191" spans="1:17" x14ac:dyDescent="0.25">
      <c r="A191">
        <v>5400</v>
      </c>
      <c r="B191">
        <v>40.799999999999997</v>
      </c>
      <c r="C191">
        <v>92.56</v>
      </c>
      <c r="D191">
        <v>272.04000000000002</v>
      </c>
      <c r="E191">
        <v>92.24</v>
      </c>
      <c r="F191">
        <v>80</v>
      </c>
      <c r="G191">
        <v>6218</v>
      </c>
      <c r="H191">
        <v>577.64</v>
      </c>
      <c r="J191" s="2">
        <v>1.04451111</v>
      </c>
      <c r="K191">
        <v>240.36</v>
      </c>
      <c r="L191">
        <v>176</v>
      </c>
      <c r="O191">
        <v>-38</v>
      </c>
      <c r="P191">
        <v>0.57999999999999996</v>
      </c>
      <c r="Q191">
        <v>9412</v>
      </c>
    </row>
    <row r="192" spans="1:17" x14ac:dyDescent="0.25">
      <c r="A192">
        <v>6336</v>
      </c>
      <c r="B192">
        <v>59.52</v>
      </c>
      <c r="C192">
        <v>99.23</v>
      </c>
      <c r="D192">
        <v>330.95</v>
      </c>
      <c r="E192">
        <v>138.24</v>
      </c>
      <c r="F192">
        <v>235</v>
      </c>
      <c r="G192">
        <v>7434</v>
      </c>
      <c r="H192">
        <v>862.94</v>
      </c>
      <c r="J192" s="2">
        <v>1.0370991199999999</v>
      </c>
      <c r="K192">
        <v>235.06</v>
      </c>
      <c r="L192">
        <v>130</v>
      </c>
      <c r="M192">
        <v>400</v>
      </c>
      <c r="O192">
        <v>-446</v>
      </c>
      <c r="P192">
        <v>4.6399999999999997</v>
      </c>
      <c r="Q192">
        <v>13730</v>
      </c>
    </row>
    <row r="193" spans="1:17" x14ac:dyDescent="0.25">
      <c r="A193">
        <v>6230</v>
      </c>
      <c r="B193">
        <v>114.08</v>
      </c>
      <c r="C193">
        <v>186.69</v>
      </c>
      <c r="D193">
        <v>647.99</v>
      </c>
      <c r="E193">
        <v>8</v>
      </c>
      <c r="F193">
        <v>405</v>
      </c>
      <c r="G193">
        <v>6600</v>
      </c>
      <c r="H193">
        <v>1361.76</v>
      </c>
      <c r="J193" s="2">
        <v>0.84080898999999998</v>
      </c>
      <c r="K193">
        <v>-991.76</v>
      </c>
      <c r="L193">
        <v>430</v>
      </c>
      <c r="O193">
        <v>300</v>
      </c>
      <c r="P193">
        <v>1.63</v>
      </c>
      <c r="Q193">
        <v>26316</v>
      </c>
    </row>
    <row r="194" spans="1:17" x14ac:dyDescent="0.25">
      <c r="A194">
        <v>7205</v>
      </c>
      <c r="B194">
        <v>51.55</v>
      </c>
      <c r="C194">
        <v>84.38</v>
      </c>
      <c r="D194">
        <v>426.65</v>
      </c>
      <c r="E194">
        <v>9.74</v>
      </c>
      <c r="F194">
        <v>300</v>
      </c>
      <c r="G194">
        <v>7624</v>
      </c>
      <c r="H194">
        <v>872.32</v>
      </c>
      <c r="J194" s="2">
        <v>0.93708258</v>
      </c>
      <c r="K194">
        <v>-453.32</v>
      </c>
      <c r="L194">
        <v>379</v>
      </c>
      <c r="O194">
        <v>-51</v>
      </c>
      <c r="P194">
        <v>0.61</v>
      </c>
      <c r="Q194">
        <v>11892</v>
      </c>
    </row>
    <row r="195" spans="1:17" x14ac:dyDescent="0.25">
      <c r="A195">
        <v>34788</v>
      </c>
      <c r="B195">
        <v>1116.4000000000001</v>
      </c>
      <c r="C195">
        <v>398.98</v>
      </c>
      <c r="D195">
        <v>2027.36</v>
      </c>
      <c r="E195">
        <v>12.64</v>
      </c>
      <c r="F195">
        <v>1240</v>
      </c>
      <c r="G195">
        <v>4518</v>
      </c>
      <c r="H195">
        <v>4795.38</v>
      </c>
      <c r="J195" s="2">
        <v>-7.9734000000000003E-3</v>
      </c>
      <c r="K195">
        <v>-35065.379999999997</v>
      </c>
      <c r="L195">
        <v>269</v>
      </c>
      <c r="M195">
        <v>630</v>
      </c>
      <c r="O195">
        <v>-740</v>
      </c>
      <c r="P195">
        <v>0.41</v>
      </c>
      <c r="Q195">
        <v>257532</v>
      </c>
    </row>
    <row r="196" spans="1:17" x14ac:dyDescent="0.25">
      <c r="H196">
        <v>0</v>
      </c>
      <c r="J196" s="2" t="e">
        <v>#DIV/0!</v>
      </c>
      <c r="K196">
        <v>0</v>
      </c>
      <c r="O196">
        <v>-269</v>
      </c>
      <c r="P196" t="e">
        <v>#DIV/0!</v>
      </c>
      <c r="Q196">
        <v>0</v>
      </c>
    </row>
    <row r="197" spans="1:17" x14ac:dyDescent="0.25">
      <c r="H197">
        <v>0</v>
      </c>
      <c r="J197" s="2" t="e">
        <v>#DIV/0!</v>
      </c>
      <c r="K197">
        <v>0</v>
      </c>
      <c r="O197">
        <v>0</v>
      </c>
      <c r="P197" t="e">
        <v>#DIV/0!</v>
      </c>
      <c r="Q197">
        <v>0</v>
      </c>
    </row>
    <row r="198" spans="1:17" x14ac:dyDescent="0.25">
      <c r="H198">
        <v>0</v>
      </c>
      <c r="J198" s="2" t="e">
        <v>#DIV/0!</v>
      </c>
      <c r="K198">
        <v>0</v>
      </c>
      <c r="O198">
        <v>0</v>
      </c>
      <c r="P198" t="e">
        <v>#DIV/0!</v>
      </c>
      <c r="Q198">
        <v>0</v>
      </c>
    </row>
    <row r="199" spans="1:17" x14ac:dyDescent="0.25">
      <c r="H199">
        <v>0</v>
      </c>
      <c r="J199" s="2" t="e">
        <v>#DIV/0!</v>
      </c>
      <c r="K199">
        <v>0</v>
      </c>
      <c r="O199">
        <v>0</v>
      </c>
      <c r="P199" t="e">
        <v>#DIV/0!</v>
      </c>
      <c r="Q199">
        <v>0</v>
      </c>
    </row>
    <row r="200" spans="1:17" x14ac:dyDescent="0.25">
      <c r="A200">
        <v>515132.25</v>
      </c>
      <c r="B200">
        <v>7712.12</v>
      </c>
      <c r="C200">
        <v>8453.74</v>
      </c>
      <c r="D200">
        <v>55986.559999999998</v>
      </c>
      <c r="E200">
        <v>25162.68</v>
      </c>
      <c r="F200">
        <v>8656.59</v>
      </c>
      <c r="G200">
        <v>586712.19999999995</v>
      </c>
      <c r="H200">
        <v>107087.4</v>
      </c>
      <c r="I200">
        <v>0</v>
      </c>
      <c r="J200" s="2" t="e">
        <v>#DIV/0!</v>
      </c>
      <c r="K200">
        <v>-35507.410000000003</v>
      </c>
      <c r="M200">
        <v>6468</v>
      </c>
      <c r="N200">
        <v>94.293428370000001</v>
      </c>
      <c r="P200">
        <v>0.48</v>
      </c>
      <c r="Q200">
        <v>2413994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B18" sqref="B18"/>
    </sheetView>
  </sheetViews>
  <sheetFormatPr defaultRowHeight="15" x14ac:dyDescent="0.25"/>
  <cols>
    <col min="1" max="1" width="25.28515625" bestFit="1" customWidth="1"/>
    <col min="2" max="2" width="30" bestFit="1" customWidth="1"/>
    <col min="3" max="3" width="16.42578125" bestFit="1" customWidth="1"/>
    <col min="4" max="4" width="22.42578125" bestFit="1" customWidth="1"/>
    <col min="5" max="5" width="15.28515625" bestFit="1" customWidth="1"/>
    <col min="6" max="6" width="14.7109375" bestFit="1" customWidth="1"/>
    <col min="7" max="7" width="8.140625" bestFit="1" customWidth="1"/>
    <col min="10" max="10" width="13.42578125" bestFit="1" customWidth="1"/>
  </cols>
  <sheetData>
    <row r="1" spans="1:16" ht="18.75" x14ac:dyDescent="0.3">
      <c r="A1" s="74" t="s">
        <v>0</v>
      </c>
      <c r="B1" s="74"/>
      <c r="C1" s="74"/>
      <c r="D1" s="74"/>
      <c r="E1" s="74"/>
      <c r="F1" s="74"/>
      <c r="G1" s="74"/>
    </row>
    <row r="2" spans="1:16" x14ac:dyDescent="0.25">
      <c r="A2" s="15"/>
      <c r="B2" s="15"/>
      <c r="C2" s="61" t="s">
        <v>439</v>
      </c>
      <c r="D2" s="63" t="s">
        <v>440</v>
      </c>
      <c r="E2" s="63" t="s">
        <v>441</v>
      </c>
      <c r="F2" s="61" t="s">
        <v>84</v>
      </c>
      <c r="G2" s="30" t="s">
        <v>85</v>
      </c>
    </row>
    <row r="3" spans="1:16" x14ac:dyDescent="0.25">
      <c r="A3" s="16" t="s">
        <v>86</v>
      </c>
      <c r="B3" s="57" t="s">
        <v>87</v>
      </c>
      <c r="C3" s="18">
        <f>SUMIF(Mining!$A$2:$A$123,$B3,Mining!$B$2:$B$123) / SUMIF(Mining!$A$2:$A$123,$B3,Mining!$D$2:$D$123)</f>
        <v>2.0408163265306123</v>
      </c>
      <c r="D3" s="18">
        <f>SUMIF(Mining!$A$2:$A$123,$B3,Mining!$B$2:$B$123) / SUMIF(Mining!$A$2:$A$123,$B3,Mining!$E$2:$E$123)</f>
        <v>4</v>
      </c>
      <c r="E3" s="18">
        <f>SUMIF(Mining!$A$2:$A$123,$B3,Mining!$B$2:$B$123) / SUMIF(Mining!$A$2:$A$123,$B3,Mining!$F$2:$F$123)</f>
        <v>6.0606060606060606</v>
      </c>
      <c r="F3" s="61"/>
      <c r="G3" s="59">
        <v>1.03</v>
      </c>
    </row>
    <row r="4" spans="1:16" x14ac:dyDescent="0.25">
      <c r="A4" s="16" t="s">
        <v>88</v>
      </c>
      <c r="B4" s="58" t="s">
        <v>427</v>
      </c>
      <c r="C4" s="18">
        <f>SUMIF(Mining!$I$2:$I$123,$B4,Mining!$K$2:$K$123)</f>
        <v>3.9600000000000003E-2</v>
      </c>
      <c r="D4" s="18">
        <f>SUMIF(Mining!$I$2:$I$123,$B4,Mining!$K$2:$K$123) * 2</f>
        <v>7.9200000000000007E-2</v>
      </c>
      <c r="E4" s="18">
        <f>SUMIF(Mining!$I$2:$I$123,$B4,Mining!$K$2:$K$123) * 3</f>
        <v>0.11880000000000002</v>
      </c>
      <c r="F4" s="18">
        <f>SUMIF(Mining!$I$2:$I$123,$B4,Mining!$L$2:$L$123) * 3</f>
        <v>6</v>
      </c>
      <c r="G4" s="65">
        <f>SUMIF(Mining!$I$2:$I$123,$B4,Mining!$J$2:$J$123)</f>
        <v>1.58</v>
      </c>
      <c r="K4" s="66"/>
      <c r="L4" s="66"/>
      <c r="M4" s="66"/>
      <c r="N4" s="66"/>
      <c r="O4" s="66"/>
      <c r="P4" s="66"/>
    </row>
    <row r="5" spans="1:16" x14ac:dyDescent="0.25">
      <c r="A5" s="16" t="s">
        <v>89</v>
      </c>
      <c r="B5" s="58" t="s">
        <v>425</v>
      </c>
      <c r="C5" s="18">
        <f>SUMIF(Mining!$P$2:$P$123,$B$5,Mining!$R$2:$R$123)</f>
        <v>3.2120000000000003E-2</v>
      </c>
      <c r="D5" s="18">
        <f>SUMIF(Mining!$P$2:$P$123,$B$5,Mining!$R$2:$R$123)</f>
        <v>3.2120000000000003E-2</v>
      </c>
      <c r="E5" s="18">
        <f>SUMIF(Mining!$P$2:$P$123,$B$5,Mining!$R$2:$R$123)</f>
        <v>3.2120000000000003E-2</v>
      </c>
      <c r="F5" s="18"/>
      <c r="G5" s="65">
        <f>SUMIF(Mining!$P$2:$P$123,$B5,Mining!$Q$2:$Q$123)</f>
        <v>1</v>
      </c>
      <c r="K5" s="66"/>
      <c r="L5" s="66"/>
      <c r="M5" s="66"/>
      <c r="N5" s="66"/>
      <c r="O5" s="66"/>
      <c r="P5" s="66"/>
    </row>
    <row r="6" spans="1:16" x14ac:dyDescent="0.25">
      <c r="A6" s="16"/>
      <c r="B6" s="19"/>
      <c r="C6" s="19"/>
      <c r="D6" s="19"/>
      <c r="E6" s="15"/>
      <c r="F6" s="15"/>
      <c r="G6" s="15"/>
      <c r="K6" s="66"/>
      <c r="L6" s="66"/>
      <c r="M6" s="66"/>
      <c r="N6" s="66"/>
      <c r="O6" s="66"/>
      <c r="P6" s="66"/>
    </row>
    <row r="7" spans="1:16" x14ac:dyDescent="0.25">
      <c r="A7" s="16"/>
      <c r="B7" s="19"/>
      <c r="C7" s="72" t="s">
        <v>9</v>
      </c>
      <c r="D7" s="72"/>
      <c r="E7" s="72"/>
      <c r="F7" s="72"/>
      <c r="G7" s="15"/>
      <c r="K7" s="66"/>
      <c r="L7" s="67"/>
      <c r="M7" s="68"/>
      <c r="N7" s="68"/>
      <c r="O7" s="69"/>
      <c r="P7" s="66"/>
    </row>
    <row r="8" spans="1:16" x14ac:dyDescent="0.25">
      <c r="A8" s="15"/>
      <c r="B8" s="15"/>
      <c r="C8" s="20" t="s">
        <v>10</v>
      </c>
      <c r="D8" s="20" t="s">
        <v>11</v>
      </c>
      <c r="E8" s="20"/>
      <c r="F8" s="20"/>
      <c r="G8" s="20"/>
      <c r="K8" s="66"/>
      <c r="L8" s="66"/>
      <c r="M8" s="66"/>
      <c r="N8" s="66"/>
      <c r="O8" s="66"/>
      <c r="P8" s="66"/>
    </row>
    <row r="9" spans="1:16" x14ac:dyDescent="0.25">
      <c r="A9" s="16" t="s">
        <v>16</v>
      </c>
      <c r="B9" s="17" t="s">
        <v>90</v>
      </c>
      <c r="C9" s="19">
        <f>SUMIF(LRings!$A$2:$A$106,$B$9,LRings!$E$2:$E$106) * B36</f>
        <v>0</v>
      </c>
      <c r="D9" s="21">
        <f>SUMIF(LRings!$A$2:$A$106,$B$9,LRings!$E$2:$E$106)</f>
        <v>0.15</v>
      </c>
      <c r="E9" s="21"/>
      <c r="F9" s="21"/>
      <c r="G9" s="21"/>
      <c r="K9" s="66"/>
      <c r="L9" s="66"/>
      <c r="M9" s="66"/>
      <c r="N9" s="66"/>
      <c r="O9" s="66"/>
      <c r="P9" s="66"/>
    </row>
    <row r="10" spans="1:16" x14ac:dyDescent="0.25">
      <c r="A10" s="16" t="s">
        <v>18</v>
      </c>
      <c r="B10" s="17" t="s">
        <v>23</v>
      </c>
      <c r="C10" s="19">
        <f>SUMIF(RRings!$A$2:$A$101,$B$10,RRings!$E$2:$E$101) *B36</f>
        <v>0</v>
      </c>
      <c r="D10" s="21">
        <f>SUMIF(RRings!$A$2:$A$101,$B$10,RRings!$E$2:$E$101)</f>
        <v>0</v>
      </c>
      <c r="E10" s="21"/>
      <c r="F10" s="21"/>
      <c r="G10" s="21"/>
    </row>
    <row r="11" spans="1:16" x14ac:dyDescent="0.25">
      <c r="A11" s="16"/>
      <c r="B11" s="17"/>
      <c r="C11" s="19"/>
      <c r="D11" s="21"/>
      <c r="E11" s="21"/>
      <c r="F11" s="21"/>
      <c r="G11" s="21"/>
    </row>
    <row r="12" spans="1:16" x14ac:dyDescent="0.25">
      <c r="A12" s="16"/>
      <c r="B12" s="19"/>
      <c r="C12" s="19"/>
      <c r="D12" s="21"/>
      <c r="E12" s="21"/>
      <c r="F12" s="21"/>
      <c r="G12" s="32"/>
    </row>
    <row r="13" spans="1:16" x14ac:dyDescent="0.25">
      <c r="A13" s="16" t="s">
        <v>27</v>
      </c>
      <c r="B13" s="19"/>
      <c r="C13" s="19"/>
      <c r="D13" s="21" t="e">
        <f>IF(D9+D10+#REF!+#REF!&lt;0.15, SUM(D9:D11), 0.15)</f>
        <v>#REF!</v>
      </c>
      <c r="E13" s="21"/>
      <c r="F13" s="21"/>
      <c r="G13" s="21"/>
    </row>
    <row r="14" spans="1:16" x14ac:dyDescent="0.25">
      <c r="A14" s="16" t="s">
        <v>28</v>
      </c>
      <c r="B14" s="19"/>
      <c r="C14" s="19"/>
      <c r="D14" s="21" t="e">
        <f>#REF!</f>
        <v>#REF!</v>
      </c>
      <c r="E14" s="21"/>
      <c r="F14" s="21"/>
      <c r="G14" s="21"/>
    </row>
    <row r="15" spans="1:16" x14ac:dyDescent="0.25">
      <c r="A15" s="16" t="s">
        <v>29</v>
      </c>
      <c r="B15" s="19"/>
      <c r="C15" s="19" t="e">
        <f>$B$36*(1+D15)</f>
        <v>#REF!</v>
      </c>
      <c r="D15" s="21" t="e">
        <f>IF(D13+D14&lt;0.3, D13+D14, 0.3)</f>
        <v>#REF!</v>
      </c>
      <c r="E15" s="21"/>
      <c r="F15" s="21"/>
      <c r="G15" s="50"/>
    </row>
    <row r="17" spans="1:12" x14ac:dyDescent="0.25">
      <c r="A17" t="s">
        <v>91</v>
      </c>
      <c r="B17">
        <v>1</v>
      </c>
    </row>
    <row r="18" spans="1:12" x14ac:dyDescent="0.25">
      <c r="A18" t="s">
        <v>92</v>
      </c>
      <c r="B18" s="2">
        <v>0.3</v>
      </c>
    </row>
    <row r="19" spans="1:12" x14ac:dyDescent="0.25">
      <c r="A19" t="s">
        <v>93</v>
      </c>
      <c r="B19" s="3">
        <v>2</v>
      </c>
    </row>
    <row r="20" spans="1:12" x14ac:dyDescent="0.25">
      <c r="A20" t="s">
        <v>94</v>
      </c>
      <c r="B20" s="2">
        <v>0.95</v>
      </c>
    </row>
    <row r="22" spans="1:12" x14ac:dyDescent="0.25">
      <c r="A22" s="1" t="s">
        <v>437</v>
      </c>
    </row>
    <row r="23" spans="1:12" x14ac:dyDescent="0.25">
      <c r="A23" s="1" t="s">
        <v>96</v>
      </c>
      <c r="B23">
        <v>2</v>
      </c>
    </row>
    <row r="24" spans="1:12" x14ac:dyDescent="0.25">
      <c r="A24" s="1"/>
    </row>
    <row r="25" spans="1:12" x14ac:dyDescent="0.25">
      <c r="B25" s="62" t="s">
        <v>442</v>
      </c>
      <c r="C25" s="62" t="s">
        <v>98</v>
      </c>
      <c r="D25" s="62" t="s">
        <v>99</v>
      </c>
      <c r="E25" s="64"/>
      <c r="F25" s="62" t="s">
        <v>443</v>
      </c>
      <c r="G25" s="62" t="s">
        <v>98</v>
      </c>
      <c r="H25" s="62" t="s">
        <v>99</v>
      </c>
      <c r="I25" s="64"/>
      <c r="J25" s="62" t="s">
        <v>444</v>
      </c>
      <c r="K25" s="62" t="s">
        <v>98</v>
      </c>
      <c r="L25" s="62" t="s">
        <v>99</v>
      </c>
    </row>
    <row r="26" spans="1:12" x14ac:dyDescent="0.25">
      <c r="A26" t="s">
        <v>100</v>
      </c>
      <c r="B26">
        <f xml:space="preserve"> $C$3 * B17</f>
        <v>2.0408163265306123</v>
      </c>
      <c r="C26">
        <f xml:space="preserve"> ($B$26*($G$3-1))</f>
        <v>6.1224489795918421E-2</v>
      </c>
      <c r="D26">
        <f>SUM(B26:C26)</f>
        <v>2.1020408163265305</v>
      </c>
      <c r="F26">
        <f xml:space="preserve"> $D$3 * B17</f>
        <v>4</v>
      </c>
      <c r="G26">
        <f xml:space="preserve"> ($B$26*($G$3-1))</f>
        <v>6.1224489795918421E-2</v>
      </c>
      <c r="H26">
        <f>SUM(F26:G26)</f>
        <v>4.0612244897959187</v>
      </c>
      <c r="J26">
        <f xml:space="preserve"> $E$3 * B17</f>
        <v>6.0606060606060606</v>
      </c>
      <c r="K26">
        <f xml:space="preserve"> ($B$26*($G$3-1))</f>
        <v>6.1224489795918421E-2</v>
      </c>
      <c r="L26">
        <f>SUM(J26:K26)</f>
        <v>6.1218305504019792</v>
      </c>
    </row>
    <row r="27" spans="1:12" x14ac:dyDescent="0.25">
      <c r="A27" t="s">
        <v>101</v>
      </c>
      <c r="B27">
        <f xml:space="preserve"> $C$4 * $B$17</f>
        <v>3.9600000000000003E-2</v>
      </c>
      <c r="C27">
        <f xml:space="preserve"> ($B$27*($G$4-1))</f>
        <v>2.2968000000000006E-2</v>
      </c>
      <c r="D27">
        <f>SUM(B27:C27)</f>
        <v>6.2568000000000012E-2</v>
      </c>
      <c r="F27">
        <f xml:space="preserve"> $D$4 * $B$17</f>
        <v>7.9200000000000007E-2</v>
      </c>
      <c r="G27">
        <f xml:space="preserve"> ($B$27*($G$4-1))</f>
        <v>2.2968000000000006E-2</v>
      </c>
      <c r="H27">
        <f>SUM(F27:G27)</f>
        <v>0.10216800000000001</v>
      </c>
      <c r="J27">
        <f xml:space="preserve"> $E$4 * $B$17</f>
        <v>0.11880000000000002</v>
      </c>
      <c r="K27">
        <f xml:space="preserve"> ($B$27*($G$4-1))</f>
        <v>2.2968000000000006E-2</v>
      </c>
      <c r="L27">
        <f>SUM(J27:K27)</f>
        <v>0.14176800000000003</v>
      </c>
    </row>
    <row r="28" spans="1:12" x14ac:dyDescent="0.25">
      <c r="A28" t="s">
        <v>102</v>
      </c>
      <c r="B28">
        <f>$B$17*1*$B$18*$B$19*$C$5</f>
        <v>1.9272000000000001E-2</v>
      </c>
      <c r="C28">
        <f xml:space="preserve"> ($B$28*($G$5-1))</f>
        <v>0</v>
      </c>
      <c r="D28">
        <f>SUM(B28:C28)</f>
        <v>1.9272000000000001E-2</v>
      </c>
      <c r="F28">
        <f>$B$17*2*$B$18*$B$19*$C$5</f>
        <v>3.8544000000000002E-2</v>
      </c>
      <c r="G28">
        <f xml:space="preserve"> ($B$28*($G$5-1))</f>
        <v>0</v>
      </c>
      <c r="H28">
        <f>SUM(F28:G28)</f>
        <v>3.8544000000000002E-2</v>
      </c>
      <c r="J28">
        <f>$B$17*3*$B$18*$B$19*$C$5</f>
        <v>5.7815999999999999E-2</v>
      </c>
      <c r="K28">
        <f xml:space="preserve"> ($B$28*($G$5-1))</f>
        <v>0</v>
      </c>
      <c r="L28">
        <f>SUM(J28:K28)</f>
        <v>5.7815999999999999E-2</v>
      </c>
    </row>
    <row r="29" spans="1:12" x14ac:dyDescent="0.25">
      <c r="A29" t="s">
        <v>103</v>
      </c>
      <c r="B29">
        <f>$F$4*$B$17 * (1/3)</f>
        <v>2</v>
      </c>
      <c r="F29">
        <f>$F$4*$B$17 * (1/2)</f>
        <v>3</v>
      </c>
      <c r="J29">
        <f>$F$4*$B$17</f>
        <v>6</v>
      </c>
    </row>
    <row r="31" spans="1:12" x14ac:dyDescent="0.25">
      <c r="A31" t="s">
        <v>104</v>
      </c>
      <c r="B31">
        <f>B27+B28+SUM(C26:C28)</f>
        <v>0.14306448979591843</v>
      </c>
      <c r="F31">
        <f>F27+F28+SUM(G26:G28)</f>
        <v>0.20193648979591844</v>
      </c>
      <c r="J31">
        <f>J27+J28+SUM(K26:K28)</f>
        <v>0.26080848979591842</v>
      </c>
    </row>
    <row r="32" spans="1:12" x14ac:dyDescent="0.25">
      <c r="A32" t="s">
        <v>105</v>
      </c>
      <c r="B32">
        <f>SUM(B26:B29)</f>
        <v>4.0996883265306128</v>
      </c>
      <c r="C32">
        <f>SUM(C26:C28)</f>
        <v>8.4192489795918424E-2</v>
      </c>
      <c r="D32">
        <f>SUM(D26:D28)</f>
        <v>2.1838808163265306</v>
      </c>
      <c r="F32">
        <f>SUM(F26:F29)</f>
        <v>7.1177440000000001</v>
      </c>
      <c r="G32">
        <f>SUM(G26:G28)</f>
        <v>8.4192489795918424E-2</v>
      </c>
      <c r="H32">
        <f>SUM(H26:H28)</f>
        <v>4.2019364897959184</v>
      </c>
      <c r="J32">
        <f>SUM(J26:J29)</f>
        <v>12.237222060606062</v>
      </c>
    </row>
    <row r="33" spans="1:10" x14ac:dyDescent="0.25">
      <c r="A33" t="s">
        <v>106</v>
      </c>
      <c r="B33" s="2">
        <f xml:space="preserve"> B31/B32</f>
        <v>3.4896430753063527E-2</v>
      </c>
      <c r="F33" s="2">
        <f xml:space="preserve"> F31/F32</f>
        <v>2.8370855961652799E-2</v>
      </c>
      <c r="J33" s="2">
        <f xml:space="preserve"> J31/J32</f>
        <v>2.1312720199424214E-2</v>
      </c>
    </row>
  </sheetData>
  <mergeCells count="2">
    <mergeCell ref="A1:G1"/>
    <mergeCell ref="C7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LRings!$A$2:$A$103</xm:f>
          </x14:formula1>
          <xm:sqref>B9</xm:sqref>
        </x14:dataValidation>
        <x14:dataValidation type="list" allowBlank="1" showInputMessage="1" showErrorMessage="1" xr:uid="{00000000-0002-0000-0100-000001000000}">
          <x14:formula1>
            <xm:f>RRings!$A$2:$A$99</xm:f>
          </x14:formula1>
          <xm:sqref>B10:B11</xm:sqref>
        </x14:dataValidation>
        <x14:dataValidation type="list" allowBlank="1" showInputMessage="1" showErrorMessage="1" xr:uid="{00000000-0002-0000-0100-000002000000}">
          <x14:formula1>
            <xm:f>Sights!$A$2:$A$101</xm:f>
          </x14:formula1>
          <xm:sqref>B12</xm:sqref>
        </x14:dataValidation>
        <x14:dataValidation type="list" allowBlank="1" showInputMessage="1" showErrorMessage="1" xr:uid="{69B5FC08-F8D3-472B-9A2D-B4697772EE60}">
          <x14:formula1>
            <xm:f>Mining!$I$2:$I$42</xm:f>
          </x14:formula1>
          <xm:sqref>B4</xm:sqref>
        </x14:dataValidation>
        <x14:dataValidation type="list" allowBlank="1" showInputMessage="1" showErrorMessage="1" xr:uid="{F724A736-76D4-49AB-ABA3-BE04DA2F67EC}">
          <x14:formula1>
            <xm:f>Mining!$P$2:$P$42</xm:f>
          </x14:formula1>
          <xm:sqref>B5</xm:sqref>
        </x14:dataValidation>
        <x14:dataValidation type="list" allowBlank="1" showInputMessage="1" showErrorMessage="1" xr:uid="{E21BAD05-63FE-499B-B4D2-AEDE512EA5F3}">
          <x14:formula1>
            <xm:f>Mining!A2:A42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076E-5457-48A1-A6B2-4E6EA257B97B}">
  <dimension ref="A1:T10"/>
  <sheetViews>
    <sheetView workbookViewId="0">
      <selection activeCell="D14" sqref="D14"/>
    </sheetView>
  </sheetViews>
  <sheetFormatPr defaultRowHeight="15" x14ac:dyDescent="0.25"/>
  <cols>
    <col min="1" max="1" width="26.7109375" bestFit="1" customWidth="1"/>
    <col min="2" max="2" width="26.7109375" customWidth="1"/>
    <col min="4" max="4" width="11.140625" bestFit="1" customWidth="1"/>
    <col min="5" max="5" width="12.140625" bestFit="1" customWidth="1"/>
    <col min="6" max="6" width="10.85546875" bestFit="1" customWidth="1"/>
    <col min="9" max="9" width="27" bestFit="1" customWidth="1"/>
    <col min="10" max="10" width="7.85546875" bestFit="1" customWidth="1"/>
    <col min="11" max="11" width="8" bestFit="1" customWidth="1"/>
    <col min="12" max="12" width="11.5703125" bestFit="1" customWidth="1"/>
    <col min="16" max="16" width="44.140625" bestFit="1" customWidth="1"/>
    <col min="19" max="19" width="9.5703125" bestFit="1" customWidth="1"/>
    <col min="20" max="20" width="17" bestFit="1" customWidth="1"/>
  </cols>
  <sheetData>
    <row r="1" spans="1:20" x14ac:dyDescent="0.25">
      <c r="A1" s="62" t="s">
        <v>370</v>
      </c>
      <c r="B1" s="62" t="s">
        <v>97</v>
      </c>
      <c r="C1" s="62" t="s">
        <v>85</v>
      </c>
      <c r="D1" s="62" t="s">
        <v>436</v>
      </c>
      <c r="E1" s="62" t="s">
        <v>437</v>
      </c>
      <c r="F1" s="62" t="s">
        <v>95</v>
      </c>
      <c r="G1" s="62"/>
      <c r="H1" s="62"/>
      <c r="I1" s="62" t="s">
        <v>414</v>
      </c>
      <c r="J1" s="62" t="s">
        <v>85</v>
      </c>
      <c r="K1" s="62" t="s">
        <v>1</v>
      </c>
      <c r="L1" s="62" t="s">
        <v>433</v>
      </c>
      <c r="M1" s="62"/>
      <c r="N1" s="62"/>
      <c r="O1" s="62"/>
      <c r="P1" s="62" t="s">
        <v>415</v>
      </c>
      <c r="Q1" s="62" t="s">
        <v>85</v>
      </c>
      <c r="R1" s="62" t="s">
        <v>1</v>
      </c>
      <c r="S1" s="62" t="s">
        <v>428</v>
      </c>
      <c r="T1" s="62" t="s">
        <v>429</v>
      </c>
    </row>
    <row r="2" spans="1:20" x14ac:dyDescent="0.25">
      <c r="A2" t="s">
        <v>87</v>
      </c>
      <c r="B2">
        <v>200</v>
      </c>
      <c r="C2" s="49">
        <v>1.03</v>
      </c>
      <c r="D2">
        <v>98</v>
      </c>
      <c r="E2">
        <v>50</v>
      </c>
      <c r="F2">
        <v>33</v>
      </c>
      <c r="I2" t="s">
        <v>427</v>
      </c>
      <c r="J2" s="31">
        <v>1.58</v>
      </c>
      <c r="K2">
        <v>3.9600000000000003E-2</v>
      </c>
      <c r="L2">
        <v>2</v>
      </c>
      <c r="P2" t="s">
        <v>423</v>
      </c>
      <c r="Q2" s="31">
        <v>1</v>
      </c>
      <c r="R2">
        <v>5.0000000000000001E-3</v>
      </c>
      <c r="S2">
        <v>12.8</v>
      </c>
      <c r="T2">
        <v>4.91</v>
      </c>
    </row>
    <row r="3" spans="1:20" x14ac:dyDescent="0.25">
      <c r="A3" t="s">
        <v>416</v>
      </c>
      <c r="B3">
        <v>120</v>
      </c>
      <c r="C3" s="49">
        <v>1.075</v>
      </c>
      <c r="D3">
        <v>39</v>
      </c>
      <c r="E3">
        <v>20</v>
      </c>
      <c r="F3">
        <v>13</v>
      </c>
      <c r="I3" t="s">
        <v>432</v>
      </c>
      <c r="J3" s="31">
        <v>1</v>
      </c>
      <c r="K3">
        <v>3.2250000000000001E-2</v>
      </c>
      <c r="L3">
        <v>1</v>
      </c>
      <c r="P3" t="s">
        <v>424</v>
      </c>
      <c r="Q3" s="31">
        <v>1</v>
      </c>
      <c r="R3">
        <v>5.0000000000000001E-3</v>
      </c>
      <c r="S3">
        <v>15.2</v>
      </c>
      <c r="T3">
        <v>6.08</v>
      </c>
    </row>
    <row r="4" spans="1:20" x14ac:dyDescent="0.25">
      <c r="A4" t="s">
        <v>417</v>
      </c>
      <c r="B4">
        <v>160</v>
      </c>
      <c r="C4" s="49">
        <v>1.05</v>
      </c>
      <c r="D4">
        <v>39</v>
      </c>
      <c r="E4">
        <v>20</v>
      </c>
      <c r="F4">
        <v>13</v>
      </c>
      <c r="I4" t="s">
        <v>434</v>
      </c>
      <c r="J4" s="31">
        <v>1.36</v>
      </c>
      <c r="K4">
        <v>3.3000000000000002E-2</v>
      </c>
      <c r="L4">
        <v>2.5</v>
      </c>
      <c r="P4" t="s">
        <v>425</v>
      </c>
      <c r="Q4" s="31">
        <v>1</v>
      </c>
      <c r="R4">
        <v>3.2120000000000003E-2</v>
      </c>
      <c r="S4">
        <v>20.8</v>
      </c>
      <c r="T4">
        <v>9.36</v>
      </c>
    </row>
    <row r="5" spans="1:20" x14ac:dyDescent="0.25">
      <c r="A5" t="s">
        <v>418</v>
      </c>
      <c r="B5">
        <v>160</v>
      </c>
      <c r="C5" s="49">
        <v>1.0462</v>
      </c>
      <c r="D5">
        <v>39</v>
      </c>
      <c r="E5">
        <v>20</v>
      </c>
      <c r="F5">
        <v>13</v>
      </c>
      <c r="I5" t="s">
        <v>435</v>
      </c>
      <c r="J5" s="31">
        <v>1.4</v>
      </c>
      <c r="K5">
        <v>2.4E-2</v>
      </c>
      <c r="L5">
        <v>1.5</v>
      </c>
      <c r="P5" t="s">
        <v>426</v>
      </c>
      <c r="Q5" s="31">
        <v>1</v>
      </c>
      <c r="R5">
        <v>8.3300000000000006E-3</v>
      </c>
      <c r="S5">
        <v>8.5</v>
      </c>
      <c r="T5">
        <v>4.1100000000000003</v>
      </c>
    </row>
    <row r="6" spans="1:20" x14ac:dyDescent="0.25">
      <c r="A6" t="s">
        <v>419</v>
      </c>
      <c r="B6">
        <v>200</v>
      </c>
      <c r="C6" s="49">
        <v>1</v>
      </c>
      <c r="D6">
        <v>98</v>
      </c>
      <c r="E6">
        <v>50</v>
      </c>
      <c r="F6">
        <v>33</v>
      </c>
      <c r="P6" t="s">
        <v>430</v>
      </c>
      <c r="Q6" s="31">
        <v>1</v>
      </c>
      <c r="R6">
        <v>0.01</v>
      </c>
      <c r="S6">
        <v>8.8000000000000007</v>
      </c>
      <c r="T6">
        <v>3.37</v>
      </c>
    </row>
    <row r="7" spans="1:20" x14ac:dyDescent="0.25">
      <c r="A7" t="s">
        <v>420</v>
      </c>
      <c r="B7">
        <v>120</v>
      </c>
      <c r="C7" s="49">
        <v>1</v>
      </c>
      <c r="D7">
        <v>39</v>
      </c>
      <c r="E7">
        <v>20</v>
      </c>
      <c r="F7">
        <v>13</v>
      </c>
      <c r="P7" t="s">
        <v>431</v>
      </c>
      <c r="Q7" s="31">
        <v>1</v>
      </c>
      <c r="R7">
        <v>8.0000000000000002E-3</v>
      </c>
      <c r="S7">
        <v>8.8000000000000007</v>
      </c>
      <c r="T7">
        <v>4.84</v>
      </c>
    </row>
    <row r="8" spans="1:20" x14ac:dyDescent="0.25">
      <c r="A8" t="s">
        <v>421</v>
      </c>
      <c r="B8">
        <v>160</v>
      </c>
      <c r="C8" s="49">
        <v>1</v>
      </c>
      <c r="D8">
        <v>39</v>
      </c>
      <c r="E8">
        <v>20</v>
      </c>
      <c r="F8">
        <v>13</v>
      </c>
    </row>
    <row r="9" spans="1:20" x14ac:dyDescent="0.25">
      <c r="A9" t="s">
        <v>422</v>
      </c>
      <c r="B9">
        <v>45</v>
      </c>
      <c r="C9" s="49">
        <v>1</v>
      </c>
      <c r="D9">
        <v>56</v>
      </c>
      <c r="E9">
        <v>28</v>
      </c>
      <c r="F9">
        <v>19</v>
      </c>
    </row>
    <row r="10" spans="1:20" x14ac:dyDescent="0.25">
      <c r="A10" t="s">
        <v>438</v>
      </c>
      <c r="B10">
        <v>45</v>
      </c>
      <c r="C10" s="2">
        <v>1.0667</v>
      </c>
      <c r="D10">
        <v>56</v>
      </c>
      <c r="E10">
        <v>28</v>
      </c>
      <c r="F10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2"/>
  <sheetViews>
    <sheetView workbookViewId="0">
      <selection activeCell="B34" sqref="B34"/>
    </sheetView>
  </sheetViews>
  <sheetFormatPr defaultRowHeight="15" x14ac:dyDescent="0.25"/>
  <cols>
    <col min="1" max="1" width="23.42578125" customWidth="1"/>
    <col min="2" max="2" width="36.28515625" bestFit="1" customWidth="1"/>
    <col min="3" max="3" width="14.140625" customWidth="1"/>
    <col min="4" max="4" width="24.7109375" customWidth="1"/>
    <col min="5" max="5" width="17.140625" bestFit="1" customWidth="1"/>
    <col min="6" max="6" width="14.28515625" customWidth="1"/>
    <col min="7" max="7" width="9.42578125" bestFit="1" customWidth="1"/>
    <col min="8" max="8" width="8.85546875" customWidth="1"/>
    <col min="9" max="9" width="26.28515625" bestFit="1" customWidth="1"/>
    <col min="10" max="10" width="13.85546875" bestFit="1" customWidth="1"/>
    <col min="11" max="11" width="14.140625" customWidth="1"/>
    <col min="12" max="13" width="14.5703125" bestFit="1" customWidth="1"/>
    <col min="14" max="14" width="19" bestFit="1" customWidth="1"/>
    <col min="15" max="15" width="16.140625" customWidth="1"/>
    <col min="17" max="17" width="13.5703125" customWidth="1"/>
  </cols>
  <sheetData>
    <row r="1" spans="1:13" ht="18.75" x14ac:dyDescent="0.3">
      <c r="A1" s="74" t="s">
        <v>0</v>
      </c>
      <c r="B1" s="74"/>
      <c r="C1" s="74"/>
      <c r="D1" s="74"/>
      <c r="E1" s="74"/>
      <c r="F1" s="74"/>
      <c r="G1" s="74"/>
    </row>
    <row r="2" spans="1:13" x14ac:dyDescent="0.25">
      <c r="A2" s="15"/>
      <c r="B2" s="15"/>
      <c r="C2" s="61" t="s">
        <v>1</v>
      </c>
      <c r="D2" s="61" t="s">
        <v>2</v>
      </c>
      <c r="E2" s="30" t="s">
        <v>3</v>
      </c>
      <c r="F2" s="30" t="s">
        <v>4</v>
      </c>
      <c r="G2" s="15"/>
    </row>
    <row r="3" spans="1:13" x14ac:dyDescent="0.25">
      <c r="A3" s="16" t="s">
        <v>5</v>
      </c>
      <c r="B3" s="17" t="s">
        <v>448</v>
      </c>
      <c r="C3" s="18">
        <f>SUMIF(Weapon!$A$2:$A$103,$B$3,Weapon!$E$2:$E$103)</f>
        <v>1.0589999999999999</v>
      </c>
      <c r="D3" s="18">
        <f>SUMIF(Weapon!$A$2:$A$103,$B$3,Weapon!$F$2:$F$103) / 100</f>
        <v>13.05</v>
      </c>
      <c r="E3" s="15" t="str">
        <f>IF(SUMIF(Weapon!$A$2:$A$103,$B$3,Weapon!$G$2:$G$103) &gt;= Inputs!$F$7, "N", "Y")</f>
        <v>Y</v>
      </c>
      <c r="F3" s="15" t="str">
        <f>IF(SUMIF(Weapon!$A$2:$A$103,$B$3,Weapon!$H$2:$H$103) &gt;= Inputs!$F$8, "N", "Y")</f>
        <v>Y</v>
      </c>
      <c r="G3" s="15"/>
    </row>
    <row r="4" spans="1:13" x14ac:dyDescent="0.25">
      <c r="A4" s="16" t="s">
        <v>7</v>
      </c>
      <c r="B4" s="17" t="s">
        <v>330</v>
      </c>
      <c r="C4" s="18">
        <f>SUMIF(Amps!$A$18:$A$123,$B$4,Amps!$C$18:$C$123)</f>
        <v>6.2229999999999999</v>
      </c>
      <c r="D4" s="18">
        <f>SUMIF(Amps!$A$18:$A$123,$B$4,Amps!$D$18:$D$123) / 100</f>
        <v>0</v>
      </c>
      <c r="E4" s="15"/>
      <c r="F4" s="15"/>
      <c r="G4" s="15"/>
    </row>
    <row r="5" spans="1:13" x14ac:dyDescent="0.25">
      <c r="A5" s="16"/>
      <c r="B5" s="19"/>
      <c r="C5" s="19"/>
      <c r="D5" s="19"/>
      <c r="E5" s="15"/>
      <c r="F5" s="15"/>
      <c r="G5" s="15"/>
    </row>
    <row r="6" spans="1:13" x14ac:dyDescent="0.25">
      <c r="A6" s="16"/>
      <c r="B6" s="19"/>
      <c r="C6" s="72" t="s">
        <v>9</v>
      </c>
      <c r="D6" s="72"/>
      <c r="E6" s="72"/>
      <c r="F6" s="72"/>
      <c r="G6" s="15"/>
    </row>
    <row r="7" spans="1:13" x14ac:dyDescent="0.25">
      <c r="A7" s="15"/>
      <c r="B7" s="15"/>
      <c r="C7" s="20" t="s">
        <v>10</v>
      </c>
      <c r="D7" s="20" t="s">
        <v>11</v>
      </c>
      <c r="E7" s="20" t="s">
        <v>12</v>
      </c>
      <c r="F7" s="20" t="s">
        <v>13</v>
      </c>
      <c r="G7" s="20" t="s">
        <v>1</v>
      </c>
    </row>
    <row r="8" spans="1:13" x14ac:dyDescent="0.25">
      <c r="A8" s="16" t="s">
        <v>14</v>
      </c>
      <c r="B8" s="17" t="s">
        <v>15</v>
      </c>
      <c r="C8" s="19">
        <f>SUMIF(Pills!$A$2:$A$104,$B$8,Pills!$D$2:$D$104) * B34</f>
        <v>8.8559999999999999</v>
      </c>
      <c r="D8" s="21">
        <f>SUMIF(Pills!$A$2:$A$104,$B$8,Pills!$D$2:$D$104)</f>
        <v>0.1</v>
      </c>
      <c r="E8" s="21">
        <f>SUMIF(Pills!$A$2:$A$104,$B$8,Pills!$C$2:$C$104)</f>
        <v>0.01</v>
      </c>
      <c r="F8" s="21">
        <f>SUMIF(Pills!$A$2:$A$104,$B$8,Pills!$B$2:$B$104)</f>
        <v>0</v>
      </c>
      <c r="G8" s="21"/>
    </row>
    <row r="9" spans="1:13" x14ac:dyDescent="0.25">
      <c r="A9" s="15"/>
      <c r="B9" s="15"/>
      <c r="C9" s="15"/>
      <c r="D9" s="15"/>
      <c r="E9" s="15"/>
      <c r="F9" s="15"/>
      <c r="G9" s="15"/>
      <c r="M9" s="43"/>
    </row>
    <row r="10" spans="1:13" x14ac:dyDescent="0.25">
      <c r="A10" s="16" t="s">
        <v>16</v>
      </c>
      <c r="B10" s="17" t="s">
        <v>23</v>
      </c>
      <c r="C10" s="19">
        <f>SUMIF(LRings!$A$2:$A$106,$B$10,LRings!$E$2:$E$106) * B34</f>
        <v>0</v>
      </c>
      <c r="D10" s="21">
        <f>SUMIF(LRings!$A$2:$A$106,$B$10,LRings!$E$2:$E$106)</f>
        <v>0</v>
      </c>
      <c r="E10" s="21">
        <f>SUMIF(LRings!$A$2:$A$106,$B$10,LRings!$D$2:$D$106)</f>
        <v>0</v>
      </c>
      <c r="F10" s="21">
        <f>SUMIF(LRings!$A$2:$A$106,$B$10,LRings!$C$2:$C$106)</f>
        <v>0</v>
      </c>
      <c r="G10" s="21"/>
      <c r="M10" s="43"/>
    </row>
    <row r="11" spans="1:13" x14ac:dyDescent="0.25">
      <c r="A11" s="16" t="s">
        <v>18</v>
      </c>
      <c r="B11" s="17" t="s">
        <v>314</v>
      </c>
      <c r="C11" s="19">
        <f>SUMIF(RRings!$A$2:$A$101,$B$11,RRings!$E$2:$E$101) *B34</f>
        <v>7.0848000000000004</v>
      </c>
      <c r="D11" s="21">
        <f>SUMIF(RRings!$A$2:$A$101,$B$11,RRings!$E$2:$E$101)</f>
        <v>0.08</v>
      </c>
      <c r="E11" s="21">
        <f>SUMIF(RRings!$A$2:$A$101,$B$11,RRings!$D$2:$D$101)</f>
        <v>6.0000000000000001E-3</v>
      </c>
      <c r="F11" s="21">
        <f>SUMIF(RRings!$A$2:$A$101,$B$11,RRings!$C$2:$C$101)</f>
        <v>0.08</v>
      </c>
      <c r="G11" s="21"/>
    </row>
    <row r="12" spans="1:13" x14ac:dyDescent="0.25">
      <c r="A12" s="16"/>
      <c r="B12" s="17"/>
      <c r="C12" s="19"/>
      <c r="D12" s="21"/>
      <c r="E12" s="21"/>
      <c r="F12" s="21"/>
      <c r="G12" s="21"/>
    </row>
    <row r="13" spans="1:13" x14ac:dyDescent="0.25">
      <c r="A13" s="16" t="s">
        <v>20</v>
      </c>
      <c r="B13" s="17" t="s">
        <v>21</v>
      </c>
      <c r="C13" s="19">
        <f>SUMIF(Misc!$A$2:$A$106,$B$13,Misc!$D$2:$D$106) *B34</f>
        <v>0</v>
      </c>
      <c r="D13" s="21">
        <f>SUMIF(Misc!$A$2:$A$106,$B$13,Misc!$D$2:$D$106)</f>
        <v>0</v>
      </c>
      <c r="E13" s="21">
        <f>SUMIF(Misc!$A$2:$A$106,$B$13,Misc!$C$2:$C$106)</f>
        <v>0.01</v>
      </c>
      <c r="F13" s="21">
        <f>SUMIF(Misc!$A$2:$A$106,$B$13,Misc!$B$2:$B$106)</f>
        <v>0</v>
      </c>
      <c r="G13" s="21"/>
    </row>
    <row r="14" spans="1:13" x14ac:dyDescent="0.25">
      <c r="A14" s="16" t="s">
        <v>22</v>
      </c>
      <c r="B14" s="17" t="s">
        <v>23</v>
      </c>
      <c r="C14" s="19">
        <f>SUMIF(Misc!$A$2:$A$106,$B$14,Misc!$D$2:$D$106) *B34</f>
        <v>0</v>
      </c>
      <c r="D14" s="21">
        <f>SUMIF(Misc!$A$2:$A$106,$B$14,Misc!$D$2:$D$106)</f>
        <v>0</v>
      </c>
      <c r="E14" s="21">
        <f>SUMIF(Misc!$A$2:$A$106,$B$14,Misc!$C$2:$C$106)</f>
        <v>0</v>
      </c>
      <c r="F14" s="21">
        <f>SUMIF(Misc!$A$2:$A$106,$B$14,Misc!$B$2:$B$106)</f>
        <v>0</v>
      </c>
      <c r="G14" s="21"/>
    </row>
    <row r="15" spans="1:13" x14ac:dyDescent="0.25">
      <c r="A15" s="16" t="s">
        <v>24</v>
      </c>
      <c r="B15" s="17" t="s">
        <v>23</v>
      </c>
      <c r="C15" s="19"/>
      <c r="D15" s="21"/>
      <c r="E15" s="21">
        <f>SUMIF(Sights!$A$2:$A$105,$B$15,Sights!$C$2:$C$105)</f>
        <v>0</v>
      </c>
      <c r="F15" s="21">
        <f>SUMIF(Sights!$A$2:$A$105,$B$15,Sights!$B$2:$B$105)</f>
        <v>0</v>
      </c>
      <c r="G15" s="32">
        <f>SUMIF(Sights!$A$3:$A$105,$B$15,Sights!$D$3:$D$105)</f>
        <v>0</v>
      </c>
    </row>
    <row r="16" spans="1:13" x14ac:dyDescent="0.25">
      <c r="A16" s="16" t="s">
        <v>25</v>
      </c>
      <c r="B16" s="17" t="s">
        <v>23</v>
      </c>
      <c r="C16" s="19"/>
      <c r="D16" s="21"/>
      <c r="E16" s="21">
        <f>SUMIF(Sights!$A$2:$A$104,$B$16,Sights!$C$2:$C$104)</f>
        <v>0</v>
      </c>
      <c r="F16" s="21">
        <f>SUMIF(Sights!$A$2:$A$104,$B$16,Sights!$B$2:$B$104)</f>
        <v>0</v>
      </c>
      <c r="G16" s="32">
        <f>SUMIF(Sights!$A$2:$A$104,$B$16,Sights!$D$2:$D$104)</f>
        <v>0</v>
      </c>
    </row>
    <row r="17" spans="1:12" x14ac:dyDescent="0.25">
      <c r="A17" s="16" t="s">
        <v>26</v>
      </c>
      <c r="B17" s="17" t="s">
        <v>23</v>
      </c>
      <c r="C17" s="19"/>
      <c r="D17" s="21"/>
      <c r="E17" s="21">
        <f>SUMIF(Scope!$A$2:$A$104,$B$17,Scope!$C$2:$C$104)</f>
        <v>0</v>
      </c>
      <c r="F17" s="21">
        <f>SUMIF(Scope!$A$2:$A$104,$B$17,Scope!$B$2:$B$104)</f>
        <v>0</v>
      </c>
      <c r="G17" s="32">
        <f>SUMIF(Scope!$A$2:$A$104,$B$17,Scope!$D$2:$D$104)</f>
        <v>0</v>
      </c>
    </row>
    <row r="18" spans="1:12" x14ac:dyDescent="0.25">
      <c r="A18" s="16"/>
      <c r="B18" s="19"/>
      <c r="C18" s="19"/>
      <c r="D18" s="21"/>
      <c r="E18" s="21"/>
      <c r="F18" s="21"/>
      <c r="G18" s="32"/>
    </row>
    <row r="19" spans="1:12" x14ac:dyDescent="0.25">
      <c r="A19" s="16" t="s">
        <v>27</v>
      </c>
      <c r="B19" s="19"/>
      <c r="C19" s="19"/>
      <c r="D19" s="21">
        <f>IF(D10+D11+D13+D14&lt;0.15, SUM(D10:D14), 0.15)</f>
        <v>0.08</v>
      </c>
      <c r="E19" s="21">
        <f>IF((E10+E11+E13+E14+E15+E16+E17)&lt;0.05, (E10+E11+E13+E14+E15+E16+E17), 0.05)</f>
        <v>1.6E-2</v>
      </c>
      <c r="F19" s="21">
        <f>IF((F10+F11+F13+F14+F15+F16+F17)&lt;1, (F10+F11+F13+F14+F15+F16+F17), 1)</f>
        <v>0.08</v>
      </c>
      <c r="G19" s="21"/>
    </row>
    <row r="20" spans="1:12" x14ac:dyDescent="0.25">
      <c r="A20" s="16" t="s">
        <v>28</v>
      </c>
      <c r="B20" s="19"/>
      <c r="C20" s="19"/>
      <c r="D20" s="21">
        <f>D8</f>
        <v>0.1</v>
      </c>
      <c r="E20" s="21">
        <f>E8</f>
        <v>0.01</v>
      </c>
      <c r="F20" s="21">
        <f>F8</f>
        <v>0</v>
      </c>
      <c r="G20" s="21"/>
    </row>
    <row r="21" spans="1:12" x14ac:dyDescent="0.25">
      <c r="A21" s="16" t="s">
        <v>29</v>
      </c>
      <c r="B21" s="19"/>
      <c r="C21" s="19">
        <f>StatSheet!$B$34*(1+D21)</f>
        <v>84.96</v>
      </c>
      <c r="D21" s="21">
        <f>IF(D19+D20&lt;0.3, D19+D20, 0.3)</f>
        <v>0.18</v>
      </c>
      <c r="E21" s="21">
        <f>IF(E19+E20&lt;0.1, E19+E20, 0.1)</f>
        <v>2.6000000000000002E-2</v>
      </c>
      <c r="F21" s="21">
        <f>IF(F19+F20&lt;3.5, F19+F20, 3.5)</f>
        <v>0.08</v>
      </c>
      <c r="G21" s="50">
        <f>SUM(G15:G17)</f>
        <v>0</v>
      </c>
    </row>
    <row r="22" spans="1:12" x14ac:dyDescent="0.25">
      <c r="A22" s="1"/>
      <c r="B22" s="10"/>
      <c r="C22" s="10"/>
      <c r="D22" s="10"/>
      <c r="E22" s="12"/>
      <c r="F22" s="12"/>
      <c r="J22" s="60" t="s">
        <v>110</v>
      </c>
      <c r="K22" s="60" t="s">
        <v>111</v>
      </c>
      <c r="L22" s="60" t="s">
        <v>112</v>
      </c>
    </row>
    <row r="23" spans="1:12" x14ac:dyDescent="0.25">
      <c r="A23" s="1"/>
      <c r="B23" s="27" t="s">
        <v>30</v>
      </c>
      <c r="C23" s="27" t="s">
        <v>31</v>
      </c>
      <c r="D23" s="27" t="s">
        <v>32</v>
      </c>
      <c r="E23" s="1" t="s">
        <v>33</v>
      </c>
      <c r="F23" s="28" t="s">
        <v>34</v>
      </c>
      <c r="G23" s="1" t="s">
        <v>35</v>
      </c>
      <c r="I23" t="s">
        <v>36</v>
      </c>
      <c r="J23" s="4">
        <f>StatSheet!E44</f>
        <v>3.8772844697572593</v>
      </c>
    </row>
    <row r="24" spans="1:12" x14ac:dyDescent="0.25">
      <c r="A24" s="1" t="s">
        <v>37</v>
      </c>
      <c r="B24" s="10">
        <v>1</v>
      </c>
      <c r="C24" s="10">
        <v>80</v>
      </c>
      <c r="D24" s="12">
        <v>3.25</v>
      </c>
      <c r="E24">
        <f>Inputs!$F$6*B24</f>
        <v>3.7037037037037035E-4</v>
      </c>
      <c r="F24" s="11">
        <f>C24*D24*E24</f>
        <v>9.6296296296296297E-2</v>
      </c>
      <c r="G24" s="2">
        <f>0.1*B24</f>
        <v>0.1</v>
      </c>
      <c r="I24" t="s">
        <v>38</v>
      </c>
      <c r="J24" s="3">
        <f>E49</f>
        <v>1011.4142244266669</v>
      </c>
      <c r="K24" s="3">
        <f>J24-StatSheet!J24</f>
        <v>-394.26001389333339</v>
      </c>
      <c r="L24" s="2">
        <f>K24/StatSheet!J24</f>
        <v>-0.2804775126024473</v>
      </c>
    </row>
    <row r="25" spans="1:12" x14ac:dyDescent="0.25">
      <c r="A25" s="1" t="s">
        <v>39</v>
      </c>
      <c r="B25" s="10">
        <v>0</v>
      </c>
      <c r="C25" s="10">
        <v>40</v>
      </c>
      <c r="D25" s="12">
        <f>StatSheet!D25</f>
        <v>10</v>
      </c>
      <c r="E25">
        <f>Inputs!$F$6*B25</f>
        <v>0</v>
      </c>
      <c r="F25" s="11">
        <f>C25*D25*E25</f>
        <v>0</v>
      </c>
      <c r="G25" s="2">
        <v>0</v>
      </c>
      <c r="I25" t="s">
        <v>40</v>
      </c>
      <c r="J25" s="4">
        <f>E44-J23</f>
        <v>-0.51126892908881683</v>
      </c>
      <c r="K25" s="3"/>
      <c r="L25" s="2">
        <f>J25/E44</f>
        <v>-0.15189143452002191</v>
      </c>
    </row>
    <row r="26" spans="1:12" x14ac:dyDescent="0.25">
      <c r="A26" s="1" t="s">
        <v>41</v>
      </c>
      <c r="B26" s="10">
        <v>0</v>
      </c>
      <c r="C26" s="10">
        <v>100</v>
      </c>
      <c r="D26" s="12">
        <f>StatSheet!D26</f>
        <v>5.5</v>
      </c>
      <c r="E26">
        <f>Inputs!$F$6*B26</f>
        <v>0</v>
      </c>
      <c r="F26" s="11">
        <f>C26*D26*E26</f>
        <v>0</v>
      </c>
      <c r="G26" s="2">
        <v>0</v>
      </c>
      <c r="I26" t="s">
        <v>42</v>
      </c>
      <c r="J26" s="4">
        <f>(J24 - ((J24*E44)/J23)) * -1</f>
        <v>-133.36774008232419</v>
      </c>
      <c r="L26" s="2"/>
    </row>
    <row r="27" spans="1:12" x14ac:dyDescent="0.25">
      <c r="I27" t="s">
        <v>43</v>
      </c>
      <c r="J27">
        <f>J26 *Inputs!F10 *4</f>
        <v>-26673.54801646484</v>
      </c>
      <c r="L27" s="2"/>
    </row>
    <row r="28" spans="1:12" x14ac:dyDescent="0.25">
      <c r="A28" s="71" t="s">
        <v>44</v>
      </c>
      <c r="B28" s="71"/>
      <c r="D28" s="60" t="s">
        <v>45</v>
      </c>
      <c r="E28" s="60"/>
      <c r="F28" s="1" t="s">
        <v>46</v>
      </c>
      <c r="G28" s="60" t="s">
        <v>47</v>
      </c>
    </row>
    <row r="29" spans="1:12" x14ac:dyDescent="0.25">
      <c r="A29" s="1" t="s">
        <v>48</v>
      </c>
      <c r="B29">
        <f>StatSheet!E29</f>
        <v>126.10000000000001</v>
      </c>
      <c r="D29" s="1" t="s">
        <v>48</v>
      </c>
      <c r="E29">
        <f>SUMIF(Weapon!$A$2:$A$103,$B$3,Weapon!$C$2:$C$103) * (1+$G$24)</f>
        <v>74.25</v>
      </c>
      <c r="F29" s="13">
        <f>E29-B29</f>
        <v>-51.850000000000009</v>
      </c>
      <c r="G29" s="2">
        <f t="shared" ref="G29:G31" si="0">F29/E29</f>
        <v>-0.69831649831649845</v>
      </c>
    </row>
    <row r="30" spans="1:12" x14ac:dyDescent="0.25">
      <c r="A30" s="1" t="s">
        <v>50</v>
      </c>
      <c r="B30">
        <f>StatSheet!E30</f>
        <v>28.6</v>
      </c>
      <c r="D30" s="1" t="s">
        <v>50</v>
      </c>
      <c r="E30">
        <f>SUMIF(Amps!$A$18:$A$123,$B$4,Amps!$B$18:$B$123) * (1+$G$24)</f>
        <v>30.800000000000004</v>
      </c>
      <c r="F30" s="13">
        <f>E30-B30</f>
        <v>2.2000000000000028</v>
      </c>
      <c r="G30" s="2">
        <f t="shared" si="0"/>
        <v>7.1428571428571508E-2</v>
      </c>
    </row>
    <row r="31" spans="1:12" x14ac:dyDescent="0.25">
      <c r="A31" s="1" t="s">
        <v>52</v>
      </c>
      <c r="B31">
        <f>StatSheet!E31</f>
        <v>154.70000000000002</v>
      </c>
      <c r="D31" s="1" t="s">
        <v>52</v>
      </c>
      <c r="E31">
        <f>E29+E30</f>
        <v>105.05000000000001</v>
      </c>
      <c r="F31" s="13">
        <f>E31-B31</f>
        <v>-49.650000000000006</v>
      </c>
      <c r="G31" s="2">
        <f t="shared" si="0"/>
        <v>-0.47263207996192291</v>
      </c>
    </row>
    <row r="32" spans="1:12" x14ac:dyDescent="0.25">
      <c r="A32" s="1" t="s">
        <v>54</v>
      </c>
      <c r="B32">
        <f>StatSheet!E32</f>
        <v>340.34000000000003</v>
      </c>
      <c r="D32" s="1" t="s">
        <v>54</v>
      </c>
      <c r="E32">
        <f>(E31*2) + (E31 * (E38 - 1))</f>
        <v>218.50400000000002</v>
      </c>
      <c r="F32" s="13">
        <f>E32-B32</f>
        <v>-121.83600000000001</v>
      </c>
      <c r="G32" s="2">
        <f>F32/E32</f>
        <v>-0.55759162303664922</v>
      </c>
      <c r="J32" s="2"/>
    </row>
    <row r="33" spans="1:13" x14ac:dyDescent="0.25">
      <c r="A33" s="1"/>
      <c r="D33" s="1"/>
      <c r="F33" s="13"/>
    </row>
    <row r="34" spans="1:13" x14ac:dyDescent="0.25">
      <c r="A34" s="1" t="s">
        <v>56</v>
      </c>
      <c r="B34">
        <f>StatSheet!E34</f>
        <v>88.56</v>
      </c>
      <c r="D34" s="1" t="s">
        <v>10</v>
      </c>
      <c r="E34" s="46">
        <f>C21</f>
        <v>84.96</v>
      </c>
      <c r="F34" s="13">
        <f t="shared" ref="F34:F39" si="1">E34-B34</f>
        <v>-3.6000000000000085</v>
      </c>
      <c r="G34" s="2">
        <f>F34/E34</f>
        <v>-4.2372881355932306E-2</v>
      </c>
      <c r="I34" s="1"/>
      <c r="J34" s="3"/>
      <c r="M34" s="46"/>
    </row>
    <row r="35" spans="1:13" x14ac:dyDescent="0.25">
      <c r="A35" s="1" t="s">
        <v>58</v>
      </c>
      <c r="B35" s="49">
        <f>StatSheet!E35</f>
        <v>7.0000000000000007E-2</v>
      </c>
      <c r="D35" s="1" t="s">
        <v>12</v>
      </c>
      <c r="E35" s="2">
        <f>(IF($E$3 = "N", 0.01+(Inputs!$G$7/1000), 0.02)) + ($B$25*0.004)+$E$21</f>
        <v>4.5999999999999999E-2</v>
      </c>
      <c r="F35" s="47">
        <f t="shared" si="1"/>
        <v>-2.4000000000000007E-2</v>
      </c>
      <c r="I35" s="1"/>
      <c r="J35" s="3"/>
    </row>
    <row r="36" spans="1:13" x14ac:dyDescent="0.25">
      <c r="A36" s="1" t="s">
        <v>60</v>
      </c>
      <c r="B36" s="49">
        <f>StatSheet!E36</f>
        <v>0.75</v>
      </c>
      <c r="D36" s="1" t="s">
        <v>60</v>
      </c>
      <c r="E36" s="2">
        <f>IF($F$3 = "N", (0.65+Inputs!$F$8/SUMIF(Weapon!$A$2:$A$103,$B$3,Weapon!$H$2:$H$103)/10), 0.75)</f>
        <v>0.75</v>
      </c>
      <c r="F36" s="47">
        <f t="shared" si="1"/>
        <v>0</v>
      </c>
      <c r="I36" s="1"/>
      <c r="J36" s="3"/>
    </row>
    <row r="37" spans="1:13" x14ac:dyDescent="0.25">
      <c r="A37" s="1" t="s">
        <v>62</v>
      </c>
      <c r="B37" s="49">
        <f>StatSheet!E37</f>
        <v>0.9</v>
      </c>
      <c r="D37" s="1" t="s">
        <v>62</v>
      </c>
      <c r="E37" s="2">
        <f>IF($E$3 = "N", (0.8+Inputs!$F$7/SUMIF(Weapon!$A$2:$A$103,$B$3,Weapon!$H$2:$H$103)/10), 0.9)</f>
        <v>0.9</v>
      </c>
      <c r="F37" s="47">
        <f t="shared" si="1"/>
        <v>0</v>
      </c>
    </row>
    <row r="38" spans="1:13" x14ac:dyDescent="0.25">
      <c r="A38" s="1" t="s">
        <v>63</v>
      </c>
      <c r="B38" s="49">
        <f>StatSheet!E38</f>
        <v>1.2</v>
      </c>
      <c r="D38" s="1" t="s">
        <v>63</v>
      </c>
      <c r="E38" s="2">
        <f>StatSheet!$B$38+($F$21)</f>
        <v>1.08</v>
      </c>
      <c r="F38" s="13">
        <f t="shared" si="1"/>
        <v>-0.11999999999999988</v>
      </c>
    </row>
    <row r="39" spans="1:13" x14ac:dyDescent="0.25">
      <c r="A39" s="1" t="s">
        <v>64</v>
      </c>
      <c r="B39">
        <f>StatSheet!E39</f>
        <v>29.948233333333338</v>
      </c>
      <c r="D39" s="1" t="s">
        <v>64</v>
      </c>
      <c r="E39" s="4">
        <f>($C$3 * (1+$G$24)) + ($C$4 * (1+$G$24)) + $F$24+$F$25+$F$26 + (($D$3) * (1+$G$24) + $D$4) + $G$21</f>
        <v>22.4614962962963</v>
      </c>
      <c r="F39" s="13">
        <f t="shared" si="1"/>
        <v>-7.4867370370370381</v>
      </c>
    </row>
    <row r="41" spans="1:13" x14ac:dyDescent="0.25">
      <c r="A41" s="1" t="s">
        <v>65</v>
      </c>
      <c r="B41" s="4">
        <f>StatSheet!E41</f>
        <v>0</v>
      </c>
      <c r="I41" s="71" t="s">
        <v>113</v>
      </c>
      <c r="J41" s="71"/>
      <c r="K41" s="1"/>
    </row>
    <row r="42" spans="1:13" x14ac:dyDescent="0.25">
      <c r="A42" s="1" t="s">
        <v>66</v>
      </c>
      <c r="B42" s="4">
        <f>StatSheet!E42</f>
        <v>116.11782000000002</v>
      </c>
      <c r="D42" s="1" t="s">
        <v>66</v>
      </c>
      <c r="E42" s="4">
        <f>E31*E37*E36+(E31*E37*E38*E35)</f>
        <v>75.605745600000006</v>
      </c>
      <c r="F42" s="13">
        <f>E42-B42</f>
        <v>-40.512074400000017</v>
      </c>
      <c r="G42" s="2">
        <f>F42/E42</f>
        <v>-0.53583327667097325</v>
      </c>
      <c r="I42" s="1" t="s">
        <v>114</v>
      </c>
      <c r="J42">
        <v>160</v>
      </c>
    </row>
    <row r="43" spans="1:13" x14ac:dyDescent="0.25">
      <c r="A43" s="1" t="s">
        <v>67</v>
      </c>
      <c r="B43" s="4">
        <f>StatSheet!E43</f>
        <v>171.38990232000003</v>
      </c>
      <c r="D43" s="1" t="s">
        <v>68</v>
      </c>
      <c r="E43" s="4">
        <f>E42/(60/E34)</f>
        <v>107.0577357696</v>
      </c>
      <c r="F43" s="13">
        <f>E43-B43</f>
        <v>-64.332166550400032</v>
      </c>
      <c r="G43" s="2">
        <f t="shared" ref="G43:G46" si="2">F43/E43</f>
        <v>-0.60091095788584503</v>
      </c>
      <c r="I43" s="1" t="s">
        <v>115</v>
      </c>
      <c r="J43">
        <f>J42*E49</f>
        <v>161826.27590826672</v>
      </c>
    </row>
    <row r="44" spans="1:13" x14ac:dyDescent="0.25">
      <c r="A44" s="1" t="s">
        <v>69</v>
      </c>
      <c r="B44" s="4">
        <f>StatSheet!E44</f>
        <v>3.8772844697572593</v>
      </c>
      <c r="D44" s="1" t="s">
        <v>70</v>
      </c>
      <c r="E44" s="43">
        <f>E42/E39</f>
        <v>3.3660155406684424</v>
      </c>
      <c r="F44" s="13">
        <f>E44-B44</f>
        <v>-0.51126892908881683</v>
      </c>
      <c r="G44" s="2">
        <f t="shared" si="2"/>
        <v>-0.15189143452002191</v>
      </c>
    </row>
    <row r="45" spans="1:13" x14ac:dyDescent="0.25">
      <c r="A45" s="1"/>
      <c r="B45" s="4"/>
      <c r="D45" s="1" t="s">
        <v>71</v>
      </c>
      <c r="E45" s="4">
        <f>(E49 - ((E49*B44)/E44))</f>
        <v>-153.6251574421218</v>
      </c>
      <c r="F45" s="13">
        <f>E45-B45</f>
        <v>-153.6251574421218</v>
      </c>
      <c r="G45" s="2"/>
    </row>
    <row r="46" spans="1:13" x14ac:dyDescent="0.25">
      <c r="D46" s="1" t="s">
        <v>72</v>
      </c>
      <c r="E46" s="14">
        <f>(E45*(Inputs!$F$10*4))</f>
        <v>-30725.03148842436</v>
      </c>
      <c r="F46" s="13">
        <f>E46-B46</f>
        <v>-30725.03148842436</v>
      </c>
      <c r="G46" s="2">
        <f t="shared" si="2"/>
        <v>1</v>
      </c>
    </row>
    <row r="48" spans="1:13" x14ac:dyDescent="0.25">
      <c r="A48" s="1" t="s">
        <v>73</v>
      </c>
      <c r="B48" s="4">
        <f>StatSheet!E48</f>
        <v>4693.68</v>
      </c>
      <c r="D48" s="1" t="s">
        <v>73</v>
      </c>
      <c r="E48">
        <f>E34*53</f>
        <v>4502.88</v>
      </c>
      <c r="F48" s="3">
        <f t="shared" ref="F48:F53" si="3">E48-B48</f>
        <v>-190.80000000000018</v>
      </c>
      <c r="G48" s="2">
        <f t="shared" ref="G48:G53" si="4">F48/E48</f>
        <v>-4.2372881355932243E-2</v>
      </c>
      <c r="I48" s="1" t="s">
        <v>116</v>
      </c>
      <c r="J48">
        <f>E48*$J$42</f>
        <v>720460.80000000005</v>
      </c>
    </row>
    <row r="49" spans="1:11" x14ac:dyDescent="0.25">
      <c r="A49" s="1" t="s">
        <v>74</v>
      </c>
      <c r="B49" s="4">
        <f>StatSheet!E49</f>
        <v>1405.6742383200003</v>
      </c>
      <c r="D49" s="1" t="s">
        <v>74</v>
      </c>
      <c r="E49" s="3">
        <f>(E48*E39) / 100</f>
        <v>1011.4142244266669</v>
      </c>
      <c r="F49" s="3">
        <f t="shared" si="3"/>
        <v>-394.26001389333339</v>
      </c>
      <c r="G49" s="2">
        <f t="shared" si="4"/>
        <v>-0.38981062790255372</v>
      </c>
    </row>
    <row r="50" spans="1:11" x14ac:dyDescent="0.25">
      <c r="A50" s="1" t="s">
        <v>75</v>
      </c>
      <c r="B50" s="4">
        <f>StatSheet!E50</f>
        <v>328.55760000000004</v>
      </c>
      <c r="D50" s="1" t="s">
        <v>75</v>
      </c>
      <c r="E50" s="3">
        <f>E48*E35</f>
        <v>207.13248000000002</v>
      </c>
      <c r="F50" s="3">
        <f t="shared" si="3"/>
        <v>-121.42512000000002</v>
      </c>
      <c r="G50" s="2">
        <f t="shared" si="4"/>
        <v>-0.5862196020633752</v>
      </c>
      <c r="I50" s="1" t="s">
        <v>117</v>
      </c>
      <c r="J50" s="3">
        <f>E50*$J$42</f>
        <v>33141.196800000005</v>
      </c>
    </row>
    <row r="51" spans="1:11" x14ac:dyDescent="0.25">
      <c r="A51" s="1" t="s">
        <v>76</v>
      </c>
      <c r="B51" s="4">
        <f>StatSheet!E51</f>
        <v>30.939999999999998</v>
      </c>
      <c r="D51" s="1" t="s">
        <v>76</v>
      </c>
      <c r="E51">
        <f>E31*(E38-1)</f>
        <v>8.4040000000000088</v>
      </c>
      <c r="F51" s="3">
        <f t="shared" si="3"/>
        <v>-22.535999999999987</v>
      </c>
      <c r="G51" s="2">
        <f t="shared" si="4"/>
        <v>-2.6815801999048028</v>
      </c>
      <c r="I51" s="1" t="s">
        <v>76</v>
      </c>
      <c r="J51" s="3">
        <f>E51*J50</f>
        <v>278518.61790720036</v>
      </c>
      <c r="K51" s="4"/>
    </row>
    <row r="52" spans="1:11" x14ac:dyDescent="0.25">
      <c r="A52" s="1" t="s">
        <v>77</v>
      </c>
      <c r="B52" s="4">
        <f>StatSheet!E52</f>
        <v>7.9798117061906024E-2</v>
      </c>
      <c r="D52" s="1" t="s">
        <v>77</v>
      </c>
      <c r="E52" s="4">
        <f>((E51/E42) * E39) / 100</f>
        <v>2.496720498899151E-2</v>
      </c>
      <c r="F52" s="3">
        <f t="shared" si="3"/>
        <v>-5.4830912072914517E-2</v>
      </c>
      <c r="G52" s="2">
        <f t="shared" si="4"/>
        <v>-2.1961173506241667</v>
      </c>
      <c r="I52" s="1" t="s">
        <v>118</v>
      </c>
      <c r="J52">
        <f>J50*E52</f>
        <v>827.44305408610956</v>
      </c>
      <c r="K52" s="2">
        <f>J52/J43</f>
        <v>5.1131563736605806E-3</v>
      </c>
    </row>
    <row r="53" spans="1:11" x14ac:dyDescent="0.25">
      <c r="A53" s="6" t="s">
        <v>78</v>
      </c>
      <c r="B53" s="4">
        <f>StatSheet!E53</f>
        <v>26.218277826378898</v>
      </c>
      <c r="D53" s="6" t="s">
        <v>78</v>
      </c>
      <c r="E53" s="4">
        <f>E52*E50</f>
        <v>5.1715190880381847</v>
      </c>
      <c r="F53" s="3">
        <f t="shared" si="3"/>
        <v>-21.046758738340714</v>
      </c>
      <c r="G53" s="2">
        <f t="shared" si="4"/>
        <v>-4.0697439920549145</v>
      </c>
    </row>
    <row r="55" spans="1:11" x14ac:dyDescent="0.25">
      <c r="A55" s="73" t="s">
        <v>79</v>
      </c>
      <c r="B55" s="73"/>
      <c r="C55" s="73"/>
      <c r="D55" s="73"/>
      <c r="E55" s="73"/>
      <c r="F55" s="45"/>
      <c r="G55" s="45"/>
    </row>
    <row r="56" spans="1:11" x14ac:dyDescent="0.25">
      <c r="A56" s="1" t="s">
        <v>80</v>
      </c>
      <c r="B56" s="3">
        <f>StatSheet!E56</f>
        <v>3427.7980464000007</v>
      </c>
      <c r="D56" s="1" t="s">
        <v>80</v>
      </c>
      <c r="E56" s="3">
        <f xml:space="preserve"> (E$43) * 20</f>
        <v>2141.1547153920001</v>
      </c>
    </row>
    <row r="57" spans="1:11" x14ac:dyDescent="0.25">
      <c r="A57" s="1" t="s">
        <v>81</v>
      </c>
      <c r="B57" s="3">
        <f>StatSheet!E57</f>
        <v>11.425993488000001</v>
      </c>
      <c r="D57" s="1" t="s">
        <v>81</v>
      </c>
      <c r="E57" s="3">
        <f>E56 / 3 / 100</f>
        <v>7.13718238464</v>
      </c>
    </row>
    <row r="58" spans="1:11" x14ac:dyDescent="0.25">
      <c r="A58" s="1" t="s">
        <v>82</v>
      </c>
      <c r="B58" s="3">
        <f>StatSheet!E58</f>
        <v>5141.6970696000008</v>
      </c>
      <c r="D58" s="1" t="s">
        <v>82</v>
      </c>
      <c r="E58" s="3">
        <f xml:space="preserve"> (E$43) * 30</f>
        <v>3211.7320730880001</v>
      </c>
    </row>
    <row r="59" spans="1:11" x14ac:dyDescent="0.25">
      <c r="A59" s="1" t="s">
        <v>83</v>
      </c>
      <c r="B59" s="3">
        <f>StatSheet!E59</f>
        <v>17.138990232000005</v>
      </c>
      <c r="D59" s="1" t="s">
        <v>83</v>
      </c>
      <c r="E59" s="3">
        <f>E58 / 3 / 100</f>
        <v>10.70577357696</v>
      </c>
    </row>
    <row r="61" spans="1:11" x14ac:dyDescent="0.25">
      <c r="D61" s="1" t="s">
        <v>119</v>
      </c>
      <c r="E61" s="3">
        <f xml:space="preserve"> (E$43) * 10</f>
        <v>1070.577357696</v>
      </c>
    </row>
    <row r="62" spans="1:11" x14ac:dyDescent="0.25">
      <c r="D62" s="1" t="s">
        <v>83</v>
      </c>
      <c r="E62" s="3">
        <f>E61/3/100</f>
        <v>3.56859119232</v>
      </c>
    </row>
  </sheetData>
  <mergeCells count="5">
    <mergeCell ref="A1:G1"/>
    <mergeCell ref="C6:F6"/>
    <mergeCell ref="A28:B28"/>
    <mergeCell ref="A55:E55"/>
    <mergeCell ref="I41:J4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LRings!$A$2:$A$103</xm:f>
          </x14:formula1>
          <xm:sqref>B10</xm:sqref>
        </x14:dataValidation>
        <x14:dataValidation type="list" allowBlank="1" showInputMessage="1" showErrorMessage="1" xr:uid="{00000000-0002-0000-0200-000001000000}">
          <x14:formula1>
            <xm:f>RRings!$A$2:$A$99</xm:f>
          </x14:formula1>
          <xm:sqref>B11:B12</xm:sqref>
        </x14:dataValidation>
        <x14:dataValidation type="list" allowBlank="1" showInputMessage="1" showErrorMessage="1" xr:uid="{00000000-0002-0000-0200-000002000000}">
          <x14:formula1>
            <xm:f>Scope!$A$2:$A$99</xm:f>
          </x14:formula1>
          <xm:sqref>B17</xm:sqref>
        </x14:dataValidation>
        <x14:dataValidation type="list" allowBlank="1" showInputMessage="1" showErrorMessage="1" xr:uid="{00000000-0002-0000-0200-000003000000}">
          <x14:formula1>
            <xm:f>Sights!$A$2:$A$101</xm:f>
          </x14:formula1>
          <xm:sqref>B15:B16 B18</xm:sqref>
        </x14:dataValidation>
        <x14:dataValidation type="list" allowBlank="1" showInputMessage="1" showErrorMessage="1" xr:uid="{00000000-0002-0000-0200-000004000000}">
          <x14:formula1>
            <xm:f>Misc!$A$2:$A$102</xm:f>
          </x14:formula1>
          <xm:sqref>B13:B14</xm:sqref>
        </x14:dataValidation>
        <x14:dataValidation type="list" allowBlank="1" showInputMessage="1" showErrorMessage="1" xr:uid="{00000000-0002-0000-0200-000005000000}">
          <x14:formula1>
            <xm:f>Weapon!A2:A999</xm:f>
          </x14:formula1>
          <xm:sqref>B3</xm:sqref>
        </x14:dataValidation>
        <x14:dataValidation type="list" allowBlank="1" showInputMessage="1" showErrorMessage="1" xr:uid="{00000000-0002-0000-0200-000006000000}">
          <x14:formula1>
            <xm:f>Pills!A2:A1000</xm:f>
          </x14:formula1>
          <xm:sqref>B8</xm:sqref>
        </x14:dataValidation>
        <x14:dataValidation type="list" allowBlank="1" showInputMessage="1" showErrorMessage="1" xr:uid="{00000000-0002-0000-0200-000007000000}">
          <x14:formula1>
            <xm:f>Amps!A3:A1019</xm:f>
          </x14:formula1>
          <xm:sqref>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>
      <selection activeCell="F8" sqref="F8"/>
    </sheetView>
  </sheetViews>
  <sheetFormatPr defaultRowHeight="15" x14ac:dyDescent="0.25"/>
  <cols>
    <col min="1" max="1" width="26" bestFit="1" customWidth="1"/>
    <col min="2" max="2" width="16.5703125" customWidth="1"/>
    <col min="5" max="5" width="21.5703125" bestFit="1" customWidth="1"/>
    <col min="6" max="6" width="21" bestFit="1" customWidth="1"/>
    <col min="8" max="8" width="18.85546875" customWidth="1"/>
  </cols>
  <sheetData>
    <row r="1" spans="1:12" x14ac:dyDescent="0.25">
      <c r="A1" s="39" t="s">
        <v>120</v>
      </c>
      <c r="B1" s="40">
        <v>60000</v>
      </c>
      <c r="E1" s="23" t="s">
        <v>121</v>
      </c>
      <c r="F1" s="23"/>
      <c r="G1" s="22"/>
      <c r="H1" s="24" t="s">
        <v>122</v>
      </c>
    </row>
    <row r="2" spans="1:12" x14ac:dyDescent="0.25">
      <c r="A2" s="39" t="s">
        <v>123</v>
      </c>
      <c r="B2" s="40">
        <v>0.8</v>
      </c>
      <c r="E2" s="25" t="s">
        <v>124</v>
      </c>
      <c r="F2" s="26">
        <v>6.0000000000000001E-3</v>
      </c>
      <c r="G2" s="22"/>
      <c r="H2" s="24"/>
    </row>
    <row r="3" spans="1:12" x14ac:dyDescent="0.25">
      <c r="A3" s="39" t="s">
        <v>125</v>
      </c>
      <c r="B3" s="40">
        <f xml:space="preserve"> Inputs!$F$4 * (1-$B$2)</f>
        <v>1559.9999999999995</v>
      </c>
      <c r="E3" s="25" t="s">
        <v>126</v>
      </c>
      <c r="F3" s="22">
        <v>6000</v>
      </c>
      <c r="G3" s="22"/>
      <c r="H3" s="22"/>
    </row>
    <row r="4" spans="1:12" x14ac:dyDescent="0.25">
      <c r="A4" s="39" t="s">
        <v>127</v>
      </c>
      <c r="B4" s="40">
        <v>2.5000000000000001E-2</v>
      </c>
      <c r="E4" s="25" t="s">
        <v>128</v>
      </c>
      <c r="F4" s="22">
        <f xml:space="preserve"> F3* (1+(0.1*StatSheet!B24))</f>
        <v>7800</v>
      </c>
      <c r="G4" s="22"/>
      <c r="H4" s="25">
        <f>F4*$F$2</f>
        <v>46.800000000000004</v>
      </c>
    </row>
    <row r="5" spans="1:12" x14ac:dyDescent="0.25">
      <c r="A5" s="39" t="s">
        <v>129</v>
      </c>
      <c r="B5" s="40">
        <f>Inputs!$F$4*$B$4</f>
        <v>195</v>
      </c>
      <c r="E5" s="25" t="s">
        <v>130</v>
      </c>
      <c r="F5" s="22">
        <f>F4*30</f>
        <v>234000</v>
      </c>
      <c r="G5" s="22"/>
      <c r="H5" s="25">
        <f>F5*$F$2</f>
        <v>1404</v>
      </c>
    </row>
    <row r="6" spans="1:12" x14ac:dyDescent="0.25">
      <c r="A6" s="39" t="s">
        <v>131</v>
      </c>
      <c r="B6" s="40">
        <f>$B$3-$B$5</f>
        <v>1364.9999999999995</v>
      </c>
      <c r="E6" s="25" t="s">
        <v>132</v>
      </c>
      <c r="F6" s="22">
        <f xml:space="preserve"> (1 / SUMIF(Weapon!$A$2:$A$103,StatSheet!$B$3,Weapon!$I$2:$I$103))</f>
        <v>3.7037037037037035E-4</v>
      </c>
      <c r="G6" s="22"/>
      <c r="H6" s="22"/>
    </row>
    <row r="7" spans="1:12" x14ac:dyDescent="0.25">
      <c r="A7" s="39" t="s">
        <v>133</v>
      </c>
      <c r="B7" s="41">
        <f>B3/B1</f>
        <v>2.5999999999999992E-2</v>
      </c>
      <c r="E7" s="25" t="s">
        <v>134</v>
      </c>
      <c r="F7" s="22">
        <v>103</v>
      </c>
      <c r="G7" s="33">
        <f>IF(StatSheet!$E$3 = "N", SQRT(F7), 10)</f>
        <v>10</v>
      </c>
      <c r="H7" s="22">
        <v>98.766800000000003</v>
      </c>
      <c r="I7">
        <f>F7-H7</f>
        <v>4.2331999999999965</v>
      </c>
      <c r="L7" s="22"/>
    </row>
    <row r="8" spans="1:12" x14ac:dyDescent="0.25">
      <c r="A8" s="39" t="s">
        <v>135</v>
      </c>
      <c r="B8" s="41">
        <f>B6/B1</f>
        <v>2.2749999999999992E-2</v>
      </c>
      <c r="E8" s="25" t="s">
        <v>136</v>
      </c>
      <c r="F8" s="22">
        <v>104.483</v>
      </c>
      <c r="G8" s="33">
        <f>IF(StatSheet!$F$3 = "N", SQRT(F8), 10)</f>
        <v>10</v>
      </c>
      <c r="H8" s="22">
        <v>103.50879999999999</v>
      </c>
      <c r="I8">
        <f>F8-H8</f>
        <v>0.97420000000001039</v>
      </c>
      <c r="L8" s="22"/>
    </row>
    <row r="9" spans="1:12" x14ac:dyDescent="0.25">
      <c r="A9" s="39"/>
      <c r="B9" s="42"/>
      <c r="E9" s="25" t="s">
        <v>137</v>
      </c>
      <c r="F9" s="22">
        <v>550.70000000000005</v>
      </c>
      <c r="G9" s="29"/>
      <c r="H9" s="22"/>
    </row>
    <row r="10" spans="1:12" x14ac:dyDescent="0.25">
      <c r="A10" s="39" t="s">
        <v>138</v>
      </c>
      <c r="B10" s="42">
        <f>Inputs!$F$4/3</f>
        <v>2600</v>
      </c>
      <c r="E10" s="25" t="s">
        <v>139</v>
      </c>
      <c r="F10" s="22">
        <v>50</v>
      </c>
      <c r="G10" s="29"/>
      <c r="H10" s="22"/>
    </row>
    <row r="11" spans="1:12" x14ac:dyDescent="0.25">
      <c r="A11" s="39" t="s">
        <v>140</v>
      </c>
      <c r="B11" s="42">
        <f>Inputs!$F$4/6</f>
        <v>1300</v>
      </c>
      <c r="E11" s="25" t="s">
        <v>40</v>
      </c>
      <c r="F11" s="22">
        <f>F8-F7</f>
        <v>1.4830000000000041</v>
      </c>
      <c r="G11" s="29"/>
      <c r="H11" s="22">
        <f>H8-H7</f>
        <v>4.7419999999999902</v>
      </c>
    </row>
    <row r="12" spans="1:12" x14ac:dyDescent="0.25">
      <c r="A12" s="39" t="s">
        <v>141</v>
      </c>
      <c r="B12" s="42">
        <f>Inputs!$F$4/8</f>
        <v>975</v>
      </c>
    </row>
    <row r="13" spans="1:12" x14ac:dyDescent="0.25">
      <c r="A13" s="39" t="s">
        <v>142</v>
      </c>
      <c r="B13" s="42">
        <f>Inputs!$F$4/10</f>
        <v>780</v>
      </c>
    </row>
    <row r="14" spans="1:12" x14ac:dyDescent="0.25">
      <c r="A14" s="39" t="s">
        <v>143</v>
      </c>
      <c r="B14" s="42">
        <f>Inputs!$F$4/12</f>
        <v>650</v>
      </c>
      <c r="E14" s="51" t="s">
        <v>144</v>
      </c>
      <c r="F14" s="56" t="s">
        <v>145</v>
      </c>
      <c r="G14" s="52"/>
      <c r="H14" s="52"/>
    </row>
    <row r="15" spans="1:12" x14ac:dyDescent="0.25">
      <c r="A15" s="39" t="s">
        <v>146</v>
      </c>
      <c r="B15" s="42">
        <f>Inputs!$F$4/16</f>
        <v>487.5</v>
      </c>
      <c r="E15" s="51" t="s">
        <v>147</v>
      </c>
      <c r="F15" s="52">
        <f>SUMIF(Creatures!$A$2:$A$104,$F$14,Creatures!$B$2:$B$104)</f>
        <v>1530</v>
      </c>
      <c r="G15" s="52"/>
      <c r="H15" s="52"/>
    </row>
    <row r="16" spans="1:12" x14ac:dyDescent="0.25">
      <c r="A16" s="39" t="s">
        <v>148</v>
      </c>
      <c r="B16" s="42">
        <f>Inputs!$F$4/20</f>
        <v>390</v>
      </c>
      <c r="E16" s="52"/>
      <c r="F16" s="52"/>
      <c r="G16" s="52"/>
      <c r="H16" s="52"/>
    </row>
    <row r="17" spans="1:8" x14ac:dyDescent="0.25">
      <c r="A17" s="39" t="s">
        <v>149</v>
      </c>
      <c r="B17" s="42">
        <f>Inputs!$F$4/35</f>
        <v>222.85714285714286</v>
      </c>
      <c r="E17" s="51" t="s">
        <v>150</v>
      </c>
      <c r="F17" s="53">
        <f>$F$15/3/100</f>
        <v>5.0999999999999996</v>
      </c>
      <c r="G17" s="52"/>
      <c r="H17" s="52"/>
    </row>
    <row r="18" spans="1:8" x14ac:dyDescent="0.25">
      <c r="A18" s="39"/>
      <c r="B18" s="42"/>
      <c r="E18" s="51" t="s">
        <v>151</v>
      </c>
      <c r="F18" s="53">
        <f>$F$15/StatSheet!$E$43</f>
        <v>8.9270136646869389</v>
      </c>
      <c r="G18" s="52"/>
      <c r="H18" s="52"/>
    </row>
    <row r="19" spans="1:8" x14ac:dyDescent="0.25">
      <c r="E19" s="51" t="s">
        <v>152</v>
      </c>
      <c r="F19" s="53">
        <f>($F$15 + (SUMIF(Creatures!$A$2:$A$104,$F$14,Creatures!$C$2:$C$104) * $F18))/StatSheet!$E$44/100</f>
        <v>3.9460607338305174</v>
      </c>
      <c r="G19" s="52"/>
      <c r="H19" s="52"/>
    </row>
    <row r="20" spans="1:8" x14ac:dyDescent="0.25">
      <c r="A20" s="34" t="s">
        <v>153</v>
      </c>
      <c r="B20" s="35">
        <f xml:space="preserve"> 0.9-StatSheet!$E$37</f>
        <v>0</v>
      </c>
      <c r="C20" s="36"/>
      <c r="E20" s="51" t="s">
        <v>154</v>
      </c>
      <c r="F20" s="54">
        <f>1-F19/F17</f>
        <v>0.22626260120970243</v>
      </c>
      <c r="G20" s="52"/>
      <c r="H20" s="52"/>
    </row>
    <row r="21" spans="1:8" x14ac:dyDescent="0.25">
      <c r="A21" s="34" t="s">
        <v>155</v>
      </c>
      <c r="B21" s="37">
        <f>StatSheet!$E$48*$B$20*StatSheet!$E$39/100</f>
        <v>0</v>
      </c>
      <c r="C21" s="36"/>
      <c r="E21" s="51"/>
      <c r="F21" s="55"/>
      <c r="G21" s="52"/>
      <c r="H21" s="52"/>
    </row>
    <row r="22" spans="1:8" x14ac:dyDescent="0.25">
      <c r="A22" s="48" t="s">
        <v>156</v>
      </c>
      <c r="B22" s="38">
        <f>B21*Inputs!F10*4</f>
        <v>0</v>
      </c>
      <c r="C22" s="35">
        <f>B22/Inputs!$F$5</f>
        <v>0</v>
      </c>
      <c r="E22" s="51" t="s">
        <v>157</v>
      </c>
      <c r="F22" s="55">
        <f>$F$17*0.1</f>
        <v>0.51</v>
      </c>
      <c r="G22" s="52"/>
      <c r="H22" s="52"/>
    </row>
    <row r="23" spans="1:8" x14ac:dyDescent="0.25">
      <c r="A23" s="34"/>
      <c r="B23" s="35"/>
      <c r="C23" s="36"/>
      <c r="E23" s="51" t="s">
        <v>158</v>
      </c>
      <c r="F23" s="55">
        <f>$F$15/3*0.55/100</f>
        <v>2.8050000000000002</v>
      </c>
      <c r="G23" s="52"/>
      <c r="H23" s="52"/>
    </row>
    <row r="24" spans="1:8" x14ac:dyDescent="0.25">
      <c r="A24" s="34" t="s">
        <v>159</v>
      </c>
      <c r="B24" s="35">
        <f>0.75-StatSheet!$E$36</f>
        <v>0</v>
      </c>
      <c r="C24" s="36"/>
      <c r="E24" s="51" t="s">
        <v>160</v>
      </c>
      <c r="F24" s="55">
        <f>$F$15/3/100</f>
        <v>5.0999999999999996</v>
      </c>
      <c r="G24" s="52"/>
      <c r="H24" s="52"/>
    </row>
    <row r="25" spans="1:8" x14ac:dyDescent="0.25">
      <c r="A25" s="48" t="s">
        <v>161</v>
      </c>
      <c r="B25" s="38">
        <f>StatSheet!$E$48*StatSheet!$E$42*$B$24</f>
        <v>0</v>
      </c>
      <c r="C25" s="36"/>
      <c r="E25" s="51" t="s">
        <v>162</v>
      </c>
      <c r="F25" s="53">
        <f>F24*3.5</f>
        <v>17.849999999999998</v>
      </c>
      <c r="G25" s="52"/>
      <c r="H25" s="52"/>
    </row>
    <row r="26" spans="1:8" x14ac:dyDescent="0.25">
      <c r="A26" s="48" t="s">
        <v>163</v>
      </c>
      <c r="B26" s="38">
        <f>B25*Inputs!F10*4</f>
        <v>0</v>
      </c>
      <c r="C26" s="36"/>
    </row>
    <row r="27" spans="1:8" x14ac:dyDescent="0.25">
      <c r="A27" s="34" t="s">
        <v>164</v>
      </c>
      <c r="B27" s="38">
        <f>B25/300</f>
        <v>0</v>
      </c>
      <c r="C27" s="35"/>
    </row>
    <row r="28" spans="1:8" x14ac:dyDescent="0.25">
      <c r="A28" s="48" t="s">
        <v>165</v>
      </c>
      <c r="B28" s="38">
        <f>B26/300</f>
        <v>0</v>
      </c>
      <c r="C28" s="35">
        <f>B28/Inputs!$F$5</f>
        <v>0</v>
      </c>
    </row>
    <row r="29" spans="1:8" x14ac:dyDescent="0.25">
      <c r="A29" s="36"/>
      <c r="B29" s="36"/>
      <c r="C29" s="36"/>
    </row>
    <row r="30" spans="1:8" x14ac:dyDescent="0.25">
      <c r="A30" s="34" t="s">
        <v>166</v>
      </c>
      <c r="B30" s="37">
        <f>B21+B27</f>
        <v>0</v>
      </c>
      <c r="C30" s="36"/>
    </row>
    <row r="31" spans="1:8" x14ac:dyDescent="0.25">
      <c r="A31" s="34" t="s">
        <v>167</v>
      </c>
      <c r="B31" s="38">
        <f>$B$30*Inputs!$F$10*4</f>
        <v>0</v>
      </c>
      <c r="C31" s="35">
        <f>B31/Inputs!$F$5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Creatures!A2:A998</xm:f>
          </x14:formula1>
          <xm:sqref>F14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7"/>
  <sheetViews>
    <sheetView workbookViewId="0">
      <selection activeCell="E98" sqref="E98"/>
    </sheetView>
  </sheetViews>
  <sheetFormatPr defaultRowHeight="15" x14ac:dyDescent="0.25"/>
  <cols>
    <col min="1" max="1" width="34.85546875" bestFit="1" customWidth="1"/>
    <col min="5" max="5" width="10.28515625" bestFit="1" customWidth="1"/>
  </cols>
  <sheetData>
    <row r="1" spans="1:5" s="1" customFormat="1" x14ac:dyDescent="0.25">
      <c r="A1" s="1" t="s">
        <v>144</v>
      </c>
      <c r="B1" s="1" t="s">
        <v>147</v>
      </c>
      <c r="C1" s="1" t="s">
        <v>168</v>
      </c>
      <c r="D1" s="1" t="s">
        <v>169</v>
      </c>
      <c r="E1" s="1" t="s">
        <v>170</v>
      </c>
    </row>
    <row r="2" spans="1:5" x14ac:dyDescent="0.25">
      <c r="A2" t="s">
        <v>171</v>
      </c>
      <c r="B2">
        <v>1530</v>
      </c>
      <c r="C2">
        <v>0</v>
      </c>
      <c r="D2">
        <v>65</v>
      </c>
      <c r="E2">
        <v>25</v>
      </c>
    </row>
    <row r="3" spans="1:5" x14ac:dyDescent="0.25">
      <c r="A3" t="s">
        <v>172</v>
      </c>
      <c r="B3">
        <v>1700</v>
      </c>
      <c r="C3">
        <v>0</v>
      </c>
      <c r="D3">
        <v>72</v>
      </c>
      <c r="E3">
        <v>28</v>
      </c>
    </row>
    <row r="4" spans="1:5" x14ac:dyDescent="0.25">
      <c r="A4" t="s">
        <v>173</v>
      </c>
      <c r="B4">
        <v>1890</v>
      </c>
      <c r="C4">
        <v>0</v>
      </c>
      <c r="D4">
        <v>80</v>
      </c>
      <c r="E4">
        <v>31</v>
      </c>
    </row>
    <row r="5" spans="1:5" x14ac:dyDescent="0.25">
      <c r="A5" t="s">
        <v>174</v>
      </c>
      <c r="B5">
        <v>2130</v>
      </c>
      <c r="C5">
        <v>0</v>
      </c>
      <c r="D5">
        <v>89</v>
      </c>
      <c r="E5">
        <v>34</v>
      </c>
    </row>
    <row r="6" spans="1:5" x14ac:dyDescent="0.25">
      <c r="A6" t="s">
        <v>175</v>
      </c>
      <c r="B6">
        <v>2350</v>
      </c>
      <c r="C6">
        <v>0</v>
      </c>
      <c r="D6">
        <v>98</v>
      </c>
      <c r="E6">
        <v>38</v>
      </c>
    </row>
    <row r="7" spans="1:5" x14ac:dyDescent="0.25">
      <c r="A7" t="s">
        <v>176</v>
      </c>
      <c r="B7">
        <v>2620</v>
      </c>
      <c r="C7">
        <v>0</v>
      </c>
      <c r="D7">
        <v>108</v>
      </c>
      <c r="E7">
        <v>42</v>
      </c>
    </row>
    <row r="8" spans="1:5" x14ac:dyDescent="0.25">
      <c r="A8" t="s">
        <v>177</v>
      </c>
      <c r="B8">
        <v>2870</v>
      </c>
      <c r="C8">
        <v>0</v>
      </c>
      <c r="D8">
        <v>118</v>
      </c>
      <c r="E8">
        <v>45</v>
      </c>
    </row>
    <row r="9" spans="1:5" x14ac:dyDescent="0.25">
      <c r="A9" t="s">
        <v>178</v>
      </c>
      <c r="B9">
        <v>3200</v>
      </c>
      <c r="C9">
        <v>0</v>
      </c>
      <c r="D9">
        <v>130</v>
      </c>
      <c r="E9">
        <v>50</v>
      </c>
    </row>
    <row r="10" spans="1:5" x14ac:dyDescent="0.25">
      <c r="A10" t="s">
        <v>179</v>
      </c>
      <c r="B10">
        <v>3550</v>
      </c>
      <c r="C10">
        <v>0</v>
      </c>
      <c r="D10">
        <v>144</v>
      </c>
      <c r="E10">
        <v>54</v>
      </c>
    </row>
    <row r="11" spans="1:5" x14ac:dyDescent="0.25">
      <c r="A11" t="s">
        <v>180</v>
      </c>
      <c r="B11">
        <v>4000</v>
      </c>
      <c r="C11">
        <v>0</v>
      </c>
      <c r="D11">
        <v>160</v>
      </c>
      <c r="E11">
        <v>58</v>
      </c>
    </row>
    <row r="12" spans="1:5" x14ac:dyDescent="0.25">
      <c r="A12" t="s">
        <v>181</v>
      </c>
      <c r="B12">
        <v>1340</v>
      </c>
      <c r="C12">
        <v>0</v>
      </c>
      <c r="D12">
        <v>0</v>
      </c>
      <c r="E12">
        <v>22</v>
      </c>
    </row>
    <row r="13" spans="1:5" x14ac:dyDescent="0.25">
      <c r="A13" t="s">
        <v>182</v>
      </c>
      <c r="C13">
        <v>0</v>
      </c>
      <c r="D13">
        <v>0</v>
      </c>
      <c r="E13">
        <v>28</v>
      </c>
    </row>
    <row r="14" spans="1:5" x14ac:dyDescent="0.25">
      <c r="A14" t="s">
        <v>183</v>
      </c>
      <c r="C14">
        <v>0</v>
      </c>
      <c r="D14">
        <v>0</v>
      </c>
      <c r="E14">
        <v>31</v>
      </c>
    </row>
    <row r="15" spans="1:5" x14ac:dyDescent="0.25">
      <c r="A15" t="s">
        <v>184</v>
      </c>
      <c r="C15">
        <v>0</v>
      </c>
      <c r="D15">
        <v>0</v>
      </c>
    </row>
    <row r="16" spans="1:5" x14ac:dyDescent="0.25">
      <c r="A16" t="s">
        <v>185</v>
      </c>
      <c r="B16">
        <v>2080</v>
      </c>
      <c r="C16">
        <v>0</v>
      </c>
      <c r="D16">
        <v>0</v>
      </c>
      <c r="E16">
        <v>34</v>
      </c>
    </row>
    <row r="17" spans="1:5" x14ac:dyDescent="0.25">
      <c r="A17" t="s">
        <v>186</v>
      </c>
      <c r="B17">
        <v>2330</v>
      </c>
      <c r="C17">
        <v>0</v>
      </c>
      <c r="D17">
        <v>0</v>
      </c>
      <c r="E17">
        <v>37</v>
      </c>
    </row>
    <row r="18" spans="1:5" x14ac:dyDescent="0.25">
      <c r="A18" t="s">
        <v>187</v>
      </c>
      <c r="C18">
        <v>0</v>
      </c>
      <c r="D18">
        <v>0</v>
      </c>
    </row>
    <row r="19" spans="1:5" x14ac:dyDescent="0.25">
      <c r="A19" t="s">
        <v>188</v>
      </c>
      <c r="C19">
        <v>0</v>
      </c>
      <c r="D19">
        <v>0</v>
      </c>
    </row>
    <row r="20" spans="1:5" x14ac:dyDescent="0.25">
      <c r="A20" t="s">
        <v>189</v>
      </c>
      <c r="B20">
        <v>3150</v>
      </c>
      <c r="C20">
        <v>0</v>
      </c>
      <c r="D20">
        <v>0</v>
      </c>
      <c r="E20">
        <v>49</v>
      </c>
    </row>
    <row r="21" spans="1:5" x14ac:dyDescent="0.25">
      <c r="A21" t="s">
        <v>190</v>
      </c>
      <c r="C21">
        <v>0</v>
      </c>
      <c r="D21">
        <v>0</v>
      </c>
    </row>
    <row r="22" spans="1:5" x14ac:dyDescent="0.25">
      <c r="A22" t="s">
        <v>191</v>
      </c>
      <c r="B22">
        <v>60</v>
      </c>
      <c r="D22">
        <v>32</v>
      </c>
      <c r="E22">
        <v>6</v>
      </c>
    </row>
    <row r="23" spans="1:5" x14ac:dyDescent="0.25">
      <c r="A23" t="s">
        <v>192</v>
      </c>
      <c r="B23">
        <v>150</v>
      </c>
      <c r="D23">
        <v>40</v>
      </c>
    </row>
    <row r="24" spans="1:5" x14ac:dyDescent="0.25">
      <c r="A24" t="s">
        <v>193</v>
      </c>
      <c r="B24">
        <v>300</v>
      </c>
      <c r="D24">
        <v>45</v>
      </c>
    </row>
    <row r="25" spans="1:5" x14ac:dyDescent="0.25">
      <c r="A25" t="s">
        <v>194</v>
      </c>
      <c r="B25">
        <v>600</v>
      </c>
      <c r="D25">
        <v>48</v>
      </c>
      <c r="E25">
        <v>11</v>
      </c>
    </row>
    <row r="26" spans="1:5" x14ac:dyDescent="0.25">
      <c r="A26" t="s">
        <v>195</v>
      </c>
      <c r="B26">
        <v>700</v>
      </c>
      <c r="D26">
        <v>50</v>
      </c>
      <c r="E26">
        <v>11</v>
      </c>
    </row>
    <row r="27" spans="1:5" x14ac:dyDescent="0.25">
      <c r="A27" t="s">
        <v>196</v>
      </c>
      <c r="B27">
        <v>800</v>
      </c>
      <c r="D27">
        <v>60</v>
      </c>
      <c r="E27">
        <v>13</v>
      </c>
    </row>
    <row r="28" spans="1:5" x14ac:dyDescent="0.25">
      <c r="A28" t="s">
        <v>197</v>
      </c>
      <c r="B28">
        <v>1000</v>
      </c>
      <c r="D28">
        <v>75</v>
      </c>
      <c r="E28">
        <v>15</v>
      </c>
    </row>
    <row r="29" spans="1:5" x14ac:dyDescent="0.25">
      <c r="A29" t="s">
        <v>198</v>
      </c>
      <c r="B29">
        <v>1500</v>
      </c>
      <c r="D29">
        <v>90</v>
      </c>
      <c r="E29">
        <v>18</v>
      </c>
    </row>
    <row r="30" spans="1:5" x14ac:dyDescent="0.25">
      <c r="A30" t="s">
        <v>199</v>
      </c>
      <c r="B30">
        <v>1500</v>
      </c>
      <c r="D30">
        <v>95</v>
      </c>
      <c r="E30">
        <v>19</v>
      </c>
    </row>
    <row r="31" spans="1:5" x14ac:dyDescent="0.25">
      <c r="A31" t="s">
        <v>200</v>
      </c>
      <c r="B31">
        <v>1650</v>
      </c>
      <c r="D31">
        <v>100</v>
      </c>
      <c r="E31">
        <v>20</v>
      </c>
    </row>
    <row r="32" spans="1:5" x14ac:dyDescent="0.25">
      <c r="A32" t="s">
        <v>201</v>
      </c>
      <c r="B32">
        <v>1450</v>
      </c>
      <c r="D32">
        <v>103</v>
      </c>
      <c r="E32">
        <v>23</v>
      </c>
    </row>
    <row r="33" spans="1:5" x14ac:dyDescent="0.25">
      <c r="A33" t="s">
        <v>202</v>
      </c>
      <c r="B33">
        <v>1520</v>
      </c>
      <c r="E33">
        <v>25</v>
      </c>
    </row>
    <row r="34" spans="1:5" x14ac:dyDescent="0.25">
      <c r="A34" t="s">
        <v>203</v>
      </c>
      <c r="B34">
        <v>1580</v>
      </c>
      <c r="D34">
        <v>114</v>
      </c>
      <c r="E34">
        <v>27</v>
      </c>
    </row>
    <row r="35" spans="1:5" x14ac:dyDescent="0.25">
      <c r="A35" t="s">
        <v>204</v>
      </c>
      <c r="B35">
        <v>1650</v>
      </c>
      <c r="D35">
        <v>118</v>
      </c>
      <c r="E35">
        <v>29</v>
      </c>
    </row>
    <row r="36" spans="1:5" x14ac:dyDescent="0.25">
      <c r="A36" t="s">
        <v>205</v>
      </c>
      <c r="B36">
        <v>1710</v>
      </c>
      <c r="D36">
        <v>123</v>
      </c>
      <c r="E36">
        <v>31</v>
      </c>
    </row>
    <row r="37" spans="1:5" x14ac:dyDescent="0.25">
      <c r="A37" t="s">
        <v>206</v>
      </c>
      <c r="B37">
        <v>1780</v>
      </c>
      <c r="D37">
        <v>126</v>
      </c>
      <c r="E37">
        <v>33</v>
      </c>
    </row>
    <row r="38" spans="1:5" x14ac:dyDescent="0.25">
      <c r="A38" t="s">
        <v>207</v>
      </c>
      <c r="B38">
        <v>1840</v>
      </c>
    </row>
    <row r="39" spans="1:5" x14ac:dyDescent="0.25">
      <c r="A39" t="s">
        <v>208</v>
      </c>
      <c r="B39">
        <v>1910</v>
      </c>
    </row>
    <row r="40" spans="1:5" x14ac:dyDescent="0.25">
      <c r="A40" t="s">
        <v>209</v>
      </c>
      <c r="B40">
        <v>1970</v>
      </c>
    </row>
    <row r="41" spans="1:5" x14ac:dyDescent="0.25">
      <c r="A41" t="s">
        <v>210</v>
      </c>
      <c r="B41">
        <v>2040</v>
      </c>
      <c r="E41">
        <v>41</v>
      </c>
    </row>
    <row r="42" spans="1:5" x14ac:dyDescent="0.25">
      <c r="A42" t="s">
        <v>211</v>
      </c>
      <c r="B42">
        <v>750</v>
      </c>
      <c r="E42">
        <v>16</v>
      </c>
    </row>
    <row r="43" spans="1:5" x14ac:dyDescent="0.25">
      <c r="A43" t="s">
        <v>212</v>
      </c>
      <c r="B43">
        <v>1170</v>
      </c>
      <c r="C43">
        <v>11.7</v>
      </c>
      <c r="D43">
        <v>60</v>
      </c>
      <c r="E43">
        <v>34</v>
      </c>
    </row>
    <row r="44" spans="1:5" x14ac:dyDescent="0.25">
      <c r="A44" t="s">
        <v>213</v>
      </c>
      <c r="B44">
        <v>1300</v>
      </c>
      <c r="C44">
        <v>13</v>
      </c>
      <c r="D44">
        <v>73</v>
      </c>
      <c r="E44">
        <v>37</v>
      </c>
    </row>
    <row r="45" spans="1:5" x14ac:dyDescent="0.25">
      <c r="A45" t="s">
        <v>214</v>
      </c>
      <c r="B45">
        <v>1400</v>
      </c>
      <c r="C45">
        <v>14</v>
      </c>
      <c r="D45">
        <v>77</v>
      </c>
      <c r="E45">
        <v>40</v>
      </c>
    </row>
    <row r="46" spans="1:5" x14ac:dyDescent="0.25">
      <c r="A46" t="s">
        <v>215</v>
      </c>
      <c r="B46">
        <v>1310</v>
      </c>
      <c r="C46">
        <v>13.1</v>
      </c>
      <c r="D46">
        <v>94</v>
      </c>
      <c r="E46">
        <v>43</v>
      </c>
    </row>
    <row r="47" spans="1:5" x14ac:dyDescent="0.25">
      <c r="A47" t="s">
        <v>216</v>
      </c>
      <c r="B47">
        <v>1660</v>
      </c>
      <c r="C47">
        <v>16.600000000000001</v>
      </c>
      <c r="D47">
        <v>99</v>
      </c>
      <c r="E47">
        <v>48</v>
      </c>
    </row>
    <row r="48" spans="1:5" x14ac:dyDescent="0.25">
      <c r="A48" t="s">
        <v>217</v>
      </c>
      <c r="B48">
        <v>1700</v>
      </c>
      <c r="C48">
        <v>17</v>
      </c>
      <c r="D48">
        <v>104</v>
      </c>
      <c r="E48">
        <v>49</v>
      </c>
    </row>
    <row r="49" spans="1:5" x14ac:dyDescent="0.25">
      <c r="A49" t="s">
        <v>218</v>
      </c>
      <c r="B49">
        <v>1700</v>
      </c>
      <c r="C49">
        <v>17</v>
      </c>
      <c r="D49">
        <v>110</v>
      </c>
      <c r="E49">
        <v>51</v>
      </c>
    </row>
    <row r="50" spans="1:5" x14ac:dyDescent="0.25">
      <c r="A50" t="s">
        <v>219</v>
      </c>
      <c r="B50">
        <v>1760</v>
      </c>
      <c r="C50">
        <v>17.600000000000001</v>
      </c>
      <c r="D50">
        <v>120</v>
      </c>
      <c r="E50">
        <v>53</v>
      </c>
    </row>
    <row r="51" spans="1:5" x14ac:dyDescent="0.25">
      <c r="A51" t="s">
        <v>220</v>
      </c>
      <c r="B51">
        <v>1850</v>
      </c>
      <c r="C51">
        <v>18.5</v>
      </c>
    </row>
    <row r="52" spans="1:5" x14ac:dyDescent="0.25">
      <c r="A52" t="s">
        <v>221</v>
      </c>
      <c r="B52">
        <v>1940</v>
      </c>
      <c r="C52">
        <v>19.399999999999999</v>
      </c>
    </row>
    <row r="53" spans="1:5" x14ac:dyDescent="0.25">
      <c r="A53" t="s">
        <v>222</v>
      </c>
      <c r="B53">
        <v>1530</v>
      </c>
      <c r="C53">
        <v>15.3</v>
      </c>
      <c r="D53">
        <v>33</v>
      </c>
    </row>
    <row r="54" spans="1:5" x14ac:dyDescent="0.25">
      <c r="A54" t="s">
        <v>223</v>
      </c>
      <c r="B54">
        <v>1670</v>
      </c>
      <c r="C54">
        <v>16.7</v>
      </c>
      <c r="D54">
        <v>39</v>
      </c>
    </row>
    <row r="55" spans="1:5" x14ac:dyDescent="0.25">
      <c r="A55" t="s">
        <v>224</v>
      </c>
      <c r="B55">
        <v>1670</v>
      </c>
      <c r="C55">
        <v>16.7</v>
      </c>
      <c r="D55">
        <v>41</v>
      </c>
    </row>
    <row r="56" spans="1:5" x14ac:dyDescent="0.25">
      <c r="A56" t="s">
        <v>225</v>
      </c>
      <c r="B56">
        <v>1670</v>
      </c>
      <c r="C56">
        <v>16.7</v>
      </c>
      <c r="D56">
        <v>41</v>
      </c>
    </row>
    <row r="57" spans="1:5" x14ac:dyDescent="0.25">
      <c r="A57" t="s">
        <v>226</v>
      </c>
      <c r="B57">
        <v>1670</v>
      </c>
      <c r="C57">
        <v>16.7</v>
      </c>
      <c r="D57">
        <v>41</v>
      </c>
    </row>
    <row r="58" spans="1:5" x14ac:dyDescent="0.25">
      <c r="A58" t="s">
        <v>227</v>
      </c>
      <c r="B58">
        <v>1870</v>
      </c>
      <c r="C58">
        <v>18.7</v>
      </c>
      <c r="D58">
        <v>43</v>
      </c>
    </row>
    <row r="59" spans="1:5" x14ac:dyDescent="0.25">
      <c r="A59" t="s">
        <v>228</v>
      </c>
      <c r="B59">
        <v>1200</v>
      </c>
      <c r="C59">
        <v>0</v>
      </c>
    </row>
    <row r="60" spans="1:5" x14ac:dyDescent="0.25">
      <c r="A60" t="s">
        <v>229</v>
      </c>
      <c r="B60">
        <v>4000</v>
      </c>
      <c r="C60">
        <v>0</v>
      </c>
      <c r="D60">
        <v>242</v>
      </c>
      <c r="E60">
        <v>61</v>
      </c>
    </row>
    <row r="61" spans="1:5" x14ac:dyDescent="0.25">
      <c r="A61" t="s">
        <v>230</v>
      </c>
      <c r="B61">
        <v>5020</v>
      </c>
      <c r="C61">
        <v>0</v>
      </c>
      <c r="D61">
        <v>139</v>
      </c>
      <c r="E61">
        <v>52</v>
      </c>
    </row>
    <row r="62" spans="1:5" x14ac:dyDescent="0.25">
      <c r="A62" t="s">
        <v>231</v>
      </c>
      <c r="B62">
        <v>5240</v>
      </c>
      <c r="C62">
        <v>0</v>
      </c>
      <c r="D62">
        <v>152</v>
      </c>
      <c r="E62">
        <v>59</v>
      </c>
    </row>
    <row r="63" spans="1:5" x14ac:dyDescent="0.25">
      <c r="A63" t="s">
        <v>232</v>
      </c>
      <c r="B63">
        <v>8450</v>
      </c>
      <c r="C63">
        <v>0</v>
      </c>
      <c r="D63">
        <v>159</v>
      </c>
      <c r="E63">
        <v>68</v>
      </c>
    </row>
    <row r="64" spans="1:5" x14ac:dyDescent="0.25">
      <c r="A64" t="s">
        <v>233</v>
      </c>
      <c r="B64">
        <v>1300</v>
      </c>
      <c r="C64">
        <v>0</v>
      </c>
      <c r="D64">
        <v>29</v>
      </c>
      <c r="E64">
        <v>12</v>
      </c>
    </row>
    <row r="65" spans="1:5" x14ac:dyDescent="0.25">
      <c r="A65" t="s">
        <v>234</v>
      </c>
      <c r="B65">
        <v>3980</v>
      </c>
      <c r="C65">
        <v>0</v>
      </c>
      <c r="D65">
        <v>70</v>
      </c>
      <c r="E65">
        <v>29</v>
      </c>
    </row>
    <row r="66" spans="1:5" x14ac:dyDescent="0.25">
      <c r="A66" t="s">
        <v>235</v>
      </c>
      <c r="B66">
        <v>4160</v>
      </c>
      <c r="C66">
        <v>0</v>
      </c>
      <c r="D66">
        <v>74</v>
      </c>
      <c r="E66">
        <v>32</v>
      </c>
    </row>
    <row r="67" spans="1:5" x14ac:dyDescent="0.25">
      <c r="A67" t="s">
        <v>236</v>
      </c>
      <c r="B67">
        <v>4280</v>
      </c>
      <c r="C67">
        <v>0</v>
      </c>
      <c r="D67">
        <v>80</v>
      </c>
      <c r="E67">
        <v>34</v>
      </c>
    </row>
    <row r="68" spans="1:5" x14ac:dyDescent="0.25">
      <c r="A68" t="s">
        <v>237</v>
      </c>
      <c r="B68">
        <v>4400</v>
      </c>
      <c r="C68">
        <v>0</v>
      </c>
      <c r="D68">
        <v>86</v>
      </c>
      <c r="E68">
        <v>36</v>
      </c>
    </row>
    <row r="69" spans="1:5" x14ac:dyDescent="0.25">
      <c r="A69" t="s">
        <v>238</v>
      </c>
      <c r="B69">
        <v>5000</v>
      </c>
      <c r="C69">
        <v>0</v>
      </c>
      <c r="D69">
        <v>98</v>
      </c>
      <c r="E69">
        <v>42</v>
      </c>
    </row>
    <row r="70" spans="1:5" x14ac:dyDescent="0.25">
      <c r="A70" t="s">
        <v>239</v>
      </c>
      <c r="B70">
        <v>1220</v>
      </c>
      <c r="C70">
        <v>0</v>
      </c>
      <c r="D70">
        <v>143</v>
      </c>
      <c r="E70">
        <v>42</v>
      </c>
    </row>
    <row r="71" spans="1:5" x14ac:dyDescent="0.25">
      <c r="A71" t="s">
        <v>240</v>
      </c>
      <c r="B71">
        <v>1320</v>
      </c>
      <c r="C71">
        <v>0</v>
      </c>
      <c r="D71">
        <v>163</v>
      </c>
      <c r="E71">
        <v>45</v>
      </c>
    </row>
    <row r="72" spans="1:5" x14ac:dyDescent="0.25">
      <c r="A72" t="s">
        <v>241</v>
      </c>
      <c r="B72">
        <v>1420</v>
      </c>
      <c r="C72">
        <v>0</v>
      </c>
      <c r="D72">
        <v>178</v>
      </c>
      <c r="E72">
        <v>48</v>
      </c>
    </row>
    <row r="73" spans="1:5" x14ac:dyDescent="0.25">
      <c r="A73" t="s">
        <v>242</v>
      </c>
      <c r="B73">
        <v>1530</v>
      </c>
      <c r="C73">
        <v>0</v>
      </c>
      <c r="D73">
        <v>189</v>
      </c>
      <c r="E73">
        <v>51</v>
      </c>
    </row>
    <row r="74" spans="1:5" x14ac:dyDescent="0.25">
      <c r="A74" t="s">
        <v>243</v>
      </c>
      <c r="B74">
        <v>1630</v>
      </c>
      <c r="C74">
        <v>0</v>
      </c>
      <c r="D74">
        <v>201</v>
      </c>
      <c r="E74">
        <v>54</v>
      </c>
    </row>
    <row r="75" spans="1:5" x14ac:dyDescent="0.25">
      <c r="A75" t="s">
        <v>244</v>
      </c>
      <c r="B75">
        <v>1730</v>
      </c>
      <c r="C75">
        <v>0</v>
      </c>
      <c r="D75">
        <v>215</v>
      </c>
      <c r="E75">
        <v>57</v>
      </c>
    </row>
    <row r="76" spans="1:5" x14ac:dyDescent="0.25">
      <c r="A76" t="s">
        <v>245</v>
      </c>
      <c r="B76">
        <v>850</v>
      </c>
      <c r="C76">
        <v>0</v>
      </c>
      <c r="D76">
        <v>135</v>
      </c>
      <c r="E76">
        <v>30</v>
      </c>
    </row>
    <row r="77" spans="1:5" x14ac:dyDescent="0.25">
      <c r="A77" t="s">
        <v>246</v>
      </c>
      <c r="B77">
        <v>1600</v>
      </c>
      <c r="C77">
        <v>0</v>
      </c>
      <c r="D77">
        <v>195</v>
      </c>
      <c r="E77">
        <v>41</v>
      </c>
    </row>
    <row r="78" spans="1:5" x14ac:dyDescent="0.25">
      <c r="A78" t="s">
        <v>247</v>
      </c>
      <c r="B78">
        <v>1190</v>
      </c>
      <c r="C78">
        <v>11.9</v>
      </c>
      <c r="D78">
        <v>95</v>
      </c>
      <c r="E78">
        <v>38</v>
      </c>
    </row>
    <row r="79" spans="1:5" x14ac:dyDescent="0.25">
      <c r="A79" t="s">
        <v>248</v>
      </c>
      <c r="B79">
        <v>1370</v>
      </c>
      <c r="C79">
        <v>13.7</v>
      </c>
      <c r="D79">
        <v>120</v>
      </c>
      <c r="E79">
        <v>46</v>
      </c>
    </row>
    <row r="80" spans="1:5" x14ac:dyDescent="0.25">
      <c r="A80" t="s">
        <v>249</v>
      </c>
      <c r="B80">
        <v>570</v>
      </c>
      <c r="C80">
        <v>0</v>
      </c>
      <c r="D80">
        <v>87</v>
      </c>
      <c r="E80">
        <v>17</v>
      </c>
    </row>
    <row r="81" spans="1:5" x14ac:dyDescent="0.25">
      <c r="A81" t="s">
        <v>250</v>
      </c>
      <c r="B81">
        <v>600</v>
      </c>
      <c r="D81">
        <v>92</v>
      </c>
      <c r="E81">
        <v>18</v>
      </c>
    </row>
    <row r="82" spans="1:5" x14ac:dyDescent="0.25">
      <c r="A82" t="s">
        <v>251</v>
      </c>
      <c r="B82">
        <v>680</v>
      </c>
      <c r="E82">
        <v>20</v>
      </c>
    </row>
    <row r="83" spans="1:5" x14ac:dyDescent="0.25">
      <c r="A83" t="s">
        <v>252</v>
      </c>
      <c r="B83">
        <v>750</v>
      </c>
      <c r="E83">
        <v>21</v>
      </c>
    </row>
    <row r="84" spans="1:5" x14ac:dyDescent="0.25">
      <c r="A84" t="s">
        <v>253</v>
      </c>
      <c r="B84">
        <v>810</v>
      </c>
      <c r="D84">
        <v>111</v>
      </c>
      <c r="E84">
        <v>23</v>
      </c>
    </row>
    <row r="85" spans="1:5" x14ac:dyDescent="0.25">
      <c r="A85" t="s">
        <v>254</v>
      </c>
      <c r="B85">
        <v>900</v>
      </c>
      <c r="E85">
        <v>25</v>
      </c>
    </row>
    <row r="86" spans="1:5" x14ac:dyDescent="0.25">
      <c r="A86" t="s">
        <v>255</v>
      </c>
      <c r="B86">
        <v>1100</v>
      </c>
      <c r="E86">
        <v>29</v>
      </c>
    </row>
    <row r="87" spans="1:5" x14ac:dyDescent="0.25">
      <c r="A87" t="s">
        <v>256</v>
      </c>
      <c r="B87">
        <v>1600</v>
      </c>
      <c r="E87">
        <v>23</v>
      </c>
    </row>
    <row r="88" spans="1:5" x14ac:dyDescent="0.25">
      <c r="A88" t="s">
        <v>257</v>
      </c>
      <c r="B88">
        <v>1000</v>
      </c>
    </row>
    <row r="89" spans="1:5" x14ac:dyDescent="0.25">
      <c r="A89" t="s">
        <v>258</v>
      </c>
      <c r="B89">
        <v>2000</v>
      </c>
    </row>
    <row r="90" spans="1:5" x14ac:dyDescent="0.25">
      <c r="A90" t="s">
        <v>259</v>
      </c>
      <c r="B90">
        <v>4000</v>
      </c>
    </row>
    <row r="91" spans="1:5" x14ac:dyDescent="0.25">
      <c r="A91" t="s">
        <v>260</v>
      </c>
      <c r="B91">
        <v>1100</v>
      </c>
      <c r="C91">
        <v>5.31</v>
      </c>
      <c r="E91">
        <v>22</v>
      </c>
    </row>
    <row r="92" spans="1:5" x14ac:dyDescent="0.25">
      <c r="A92" t="s">
        <v>261</v>
      </c>
      <c r="B92">
        <v>1820</v>
      </c>
      <c r="D92">
        <v>96</v>
      </c>
      <c r="E92">
        <v>24</v>
      </c>
    </row>
    <row r="93" spans="1:5" x14ac:dyDescent="0.25">
      <c r="A93" t="s">
        <v>262</v>
      </c>
      <c r="B93">
        <v>3200</v>
      </c>
      <c r="D93">
        <v>150</v>
      </c>
      <c r="E93">
        <v>39</v>
      </c>
    </row>
    <row r="94" spans="1:5" x14ac:dyDescent="0.25">
      <c r="A94" t="s">
        <v>263</v>
      </c>
      <c r="B94">
        <v>990</v>
      </c>
      <c r="D94">
        <v>75</v>
      </c>
      <c r="E94">
        <v>16</v>
      </c>
    </row>
    <row r="95" spans="1:5" x14ac:dyDescent="0.25">
      <c r="A95" t="s">
        <v>264</v>
      </c>
      <c r="B95">
        <v>1600</v>
      </c>
      <c r="D95">
        <v>111</v>
      </c>
      <c r="E95">
        <v>25</v>
      </c>
    </row>
    <row r="96" spans="1:5" x14ac:dyDescent="0.25">
      <c r="A96" t="s">
        <v>265</v>
      </c>
      <c r="B96">
        <v>3500</v>
      </c>
      <c r="D96">
        <v>125</v>
      </c>
      <c r="E96">
        <v>48</v>
      </c>
    </row>
    <row r="97" spans="1:5" x14ac:dyDescent="0.25">
      <c r="A97" t="s">
        <v>145</v>
      </c>
      <c r="B97">
        <v>1530</v>
      </c>
      <c r="D97">
        <v>65</v>
      </c>
      <c r="E97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3"/>
  <sheetViews>
    <sheetView workbookViewId="0">
      <pane ySplit="1" topLeftCell="A2" activePane="bottomLeft" state="frozen"/>
      <selection pane="bottomLeft" activeCell="H33" sqref="H33"/>
    </sheetView>
  </sheetViews>
  <sheetFormatPr defaultRowHeight="15" x14ac:dyDescent="0.25"/>
  <cols>
    <col min="1" max="1" width="39.140625" bestFit="1" customWidth="1"/>
    <col min="3" max="3" width="12.85546875" bestFit="1" customWidth="1"/>
    <col min="6" max="6" width="10.7109375" bestFit="1" customWidth="1"/>
    <col min="7" max="7" width="13" bestFit="1" customWidth="1"/>
    <col min="8" max="8" width="14.7109375" bestFit="1" customWidth="1"/>
    <col min="9" max="9" width="18.28515625" customWidth="1"/>
  </cols>
  <sheetData>
    <row r="1" spans="1:9" x14ac:dyDescent="0.25">
      <c r="A1" s="5" t="s">
        <v>5</v>
      </c>
      <c r="B1" s="5" t="s">
        <v>266</v>
      </c>
      <c r="C1" s="5" t="s">
        <v>48</v>
      </c>
      <c r="D1" s="5" t="s">
        <v>10</v>
      </c>
      <c r="E1" s="5" t="s">
        <v>1</v>
      </c>
      <c r="F1" s="1" t="s">
        <v>2</v>
      </c>
      <c r="G1" s="1" t="s">
        <v>267</v>
      </c>
      <c r="H1" s="1" t="s">
        <v>268</v>
      </c>
      <c r="I1" s="1" t="s">
        <v>132</v>
      </c>
    </row>
    <row r="2" spans="1:9" x14ac:dyDescent="0.25">
      <c r="A2" t="s">
        <v>6</v>
      </c>
      <c r="B2" t="s">
        <v>269</v>
      </c>
      <c r="C2">
        <v>88</v>
      </c>
      <c r="D2">
        <v>50</v>
      </c>
      <c r="E2">
        <v>19.140999999999998</v>
      </c>
      <c r="F2">
        <v>0</v>
      </c>
      <c r="G2">
        <v>100</v>
      </c>
      <c r="H2">
        <v>100</v>
      </c>
      <c r="I2">
        <v>2174</v>
      </c>
    </row>
    <row r="3" spans="1:9" x14ac:dyDescent="0.25">
      <c r="A3" t="s">
        <v>270</v>
      </c>
      <c r="B3" t="s">
        <v>271</v>
      </c>
      <c r="C3">
        <v>139</v>
      </c>
      <c r="D3">
        <v>37</v>
      </c>
      <c r="E3">
        <v>2.4</v>
      </c>
      <c r="F3">
        <v>3058</v>
      </c>
      <c r="G3">
        <v>75</v>
      </c>
      <c r="H3">
        <v>75</v>
      </c>
      <c r="I3">
        <v>2700</v>
      </c>
    </row>
    <row r="4" spans="1:9" x14ac:dyDescent="0.25">
      <c r="A4" t="s">
        <v>272</v>
      </c>
      <c r="B4" t="s">
        <v>269</v>
      </c>
      <c r="C4">
        <v>179</v>
      </c>
      <c r="D4">
        <v>27</v>
      </c>
      <c r="E4">
        <v>1.4999999999999999E-2</v>
      </c>
      <c r="F4">
        <v>4248</v>
      </c>
      <c r="G4">
        <v>65</v>
      </c>
      <c r="H4">
        <v>65</v>
      </c>
      <c r="I4">
        <v>2174</v>
      </c>
    </row>
    <row r="5" spans="1:9" x14ac:dyDescent="0.25">
      <c r="A5" t="s">
        <v>273</v>
      </c>
      <c r="B5" t="s">
        <v>269</v>
      </c>
      <c r="C5">
        <v>157</v>
      </c>
      <c r="D5">
        <v>36</v>
      </c>
      <c r="E5">
        <v>37.729999999999997</v>
      </c>
      <c r="F5">
        <v>0</v>
      </c>
      <c r="G5">
        <v>60</v>
      </c>
      <c r="H5">
        <v>60</v>
      </c>
      <c r="I5">
        <v>2174</v>
      </c>
    </row>
    <row r="6" spans="1:9" x14ac:dyDescent="0.25">
      <c r="A6" t="s">
        <v>107</v>
      </c>
      <c r="B6" t="s">
        <v>271</v>
      </c>
      <c r="C6">
        <v>72</v>
      </c>
      <c r="D6">
        <v>60</v>
      </c>
      <c r="E6">
        <v>0.255</v>
      </c>
      <c r="F6">
        <v>1500</v>
      </c>
      <c r="G6">
        <v>100</v>
      </c>
      <c r="H6">
        <v>100</v>
      </c>
      <c r="I6">
        <v>2174</v>
      </c>
    </row>
    <row r="7" spans="1:9" x14ac:dyDescent="0.25">
      <c r="A7" t="s">
        <v>274</v>
      </c>
      <c r="B7" t="s">
        <v>269</v>
      </c>
      <c r="C7">
        <v>178</v>
      </c>
      <c r="D7">
        <v>33</v>
      </c>
      <c r="E7">
        <v>0.2</v>
      </c>
      <c r="F7">
        <v>4184</v>
      </c>
      <c r="G7">
        <v>90</v>
      </c>
      <c r="H7">
        <v>90</v>
      </c>
      <c r="I7">
        <v>2174</v>
      </c>
    </row>
    <row r="8" spans="1:9" x14ac:dyDescent="0.25">
      <c r="A8" t="s">
        <v>275</v>
      </c>
      <c r="B8" t="s">
        <v>271</v>
      </c>
      <c r="C8">
        <v>80</v>
      </c>
      <c r="D8">
        <v>63</v>
      </c>
      <c r="E8">
        <v>2.36</v>
      </c>
      <c r="F8">
        <v>1600</v>
      </c>
      <c r="G8">
        <v>100</v>
      </c>
      <c r="H8">
        <v>100</v>
      </c>
      <c r="I8">
        <v>2174</v>
      </c>
    </row>
    <row r="9" spans="1:9" x14ac:dyDescent="0.25">
      <c r="A9" t="s">
        <v>276</v>
      </c>
      <c r="B9" t="s">
        <v>271</v>
      </c>
      <c r="C9">
        <v>102</v>
      </c>
      <c r="D9">
        <v>54</v>
      </c>
      <c r="E9">
        <v>2.02</v>
      </c>
      <c r="F9">
        <v>2210</v>
      </c>
      <c r="G9">
        <v>80</v>
      </c>
      <c r="H9">
        <v>80</v>
      </c>
      <c r="I9">
        <v>2174</v>
      </c>
    </row>
    <row r="10" spans="1:9" x14ac:dyDescent="0.25">
      <c r="A10" t="s">
        <v>277</v>
      </c>
      <c r="B10" t="s">
        <v>271</v>
      </c>
      <c r="C10">
        <v>56</v>
      </c>
      <c r="D10">
        <v>51</v>
      </c>
      <c r="E10">
        <v>1</v>
      </c>
      <c r="F10">
        <v>1258</v>
      </c>
      <c r="G10">
        <v>30</v>
      </c>
      <c r="H10">
        <v>30</v>
      </c>
      <c r="I10">
        <v>2174</v>
      </c>
    </row>
    <row r="11" spans="1:9" x14ac:dyDescent="0.25">
      <c r="A11" t="s">
        <v>278</v>
      </c>
      <c r="B11" t="s">
        <v>271</v>
      </c>
      <c r="C11">
        <v>101</v>
      </c>
      <c r="D11">
        <v>60</v>
      </c>
      <c r="E11">
        <v>3.9140000000000001</v>
      </c>
      <c r="F11">
        <v>2000</v>
      </c>
      <c r="G11">
        <v>89.3</v>
      </c>
      <c r="H11">
        <v>89.3</v>
      </c>
      <c r="I11">
        <v>2174</v>
      </c>
    </row>
    <row r="12" spans="1:9" x14ac:dyDescent="0.25">
      <c r="A12" t="s">
        <v>279</v>
      </c>
      <c r="B12" t="s">
        <v>271</v>
      </c>
      <c r="C12">
        <v>100</v>
      </c>
      <c r="D12">
        <v>49</v>
      </c>
      <c r="E12">
        <v>2.4249999999999998</v>
      </c>
      <c r="F12">
        <v>2160</v>
      </c>
      <c r="G12">
        <v>60</v>
      </c>
      <c r="H12">
        <v>65</v>
      </c>
      <c r="I12">
        <v>2174</v>
      </c>
    </row>
    <row r="13" spans="1:9" x14ac:dyDescent="0.25">
      <c r="A13" t="s">
        <v>280</v>
      </c>
      <c r="B13" t="s">
        <v>269</v>
      </c>
      <c r="C13">
        <v>211</v>
      </c>
      <c r="D13">
        <v>30</v>
      </c>
      <c r="E13">
        <v>49.35</v>
      </c>
      <c r="F13">
        <v>0</v>
      </c>
      <c r="G13">
        <v>105</v>
      </c>
      <c r="H13">
        <v>105</v>
      </c>
      <c r="I13">
        <v>2174</v>
      </c>
    </row>
    <row r="14" spans="1:9" x14ac:dyDescent="0.25">
      <c r="A14" t="s">
        <v>281</v>
      </c>
      <c r="B14" t="s">
        <v>282</v>
      </c>
      <c r="C14">
        <v>300</v>
      </c>
      <c r="D14">
        <v>5</v>
      </c>
      <c r="E14">
        <v>10.5</v>
      </c>
      <c r="F14">
        <v>6000</v>
      </c>
      <c r="G14">
        <v>29.5</v>
      </c>
      <c r="H14">
        <v>29.5</v>
      </c>
      <c r="I14">
        <v>2174</v>
      </c>
    </row>
    <row r="15" spans="1:9" x14ac:dyDescent="0.25">
      <c r="A15" t="s">
        <v>283</v>
      </c>
      <c r="B15" t="s">
        <v>271</v>
      </c>
      <c r="C15">
        <v>138</v>
      </c>
      <c r="D15">
        <v>41</v>
      </c>
      <c r="E15">
        <v>3.3</v>
      </c>
      <c r="F15">
        <v>2925</v>
      </c>
      <c r="G15">
        <v>80</v>
      </c>
      <c r="H15">
        <v>80</v>
      </c>
      <c r="I15">
        <v>2174</v>
      </c>
    </row>
    <row r="16" spans="1:9" x14ac:dyDescent="0.25">
      <c r="A16" t="s">
        <v>284</v>
      </c>
      <c r="B16" t="s">
        <v>271</v>
      </c>
      <c r="C16">
        <v>138</v>
      </c>
      <c r="D16">
        <v>44</v>
      </c>
      <c r="E16">
        <v>3.4620000000000002</v>
      </c>
      <c r="F16">
        <v>2984</v>
      </c>
      <c r="G16">
        <v>85</v>
      </c>
      <c r="H16">
        <v>85</v>
      </c>
      <c r="I16">
        <v>2174</v>
      </c>
    </row>
    <row r="17" spans="1:9" x14ac:dyDescent="0.25">
      <c r="A17" t="s">
        <v>285</v>
      </c>
      <c r="B17" t="s">
        <v>271</v>
      </c>
      <c r="C17">
        <v>65</v>
      </c>
      <c r="D17">
        <v>88</v>
      </c>
      <c r="E17">
        <v>2.5999999999999999E-3</v>
      </c>
      <c r="F17">
        <v>1500</v>
      </c>
      <c r="G17">
        <v>95</v>
      </c>
      <c r="H17">
        <v>95</v>
      </c>
      <c r="I17">
        <v>2174</v>
      </c>
    </row>
    <row r="18" spans="1:9" x14ac:dyDescent="0.25">
      <c r="A18" t="s">
        <v>286</v>
      </c>
      <c r="B18" t="s">
        <v>271</v>
      </c>
      <c r="C18">
        <v>62</v>
      </c>
      <c r="D18">
        <v>40</v>
      </c>
      <c r="E18">
        <v>1.05</v>
      </c>
      <c r="F18">
        <v>1390</v>
      </c>
      <c r="G18">
        <v>31</v>
      </c>
      <c r="H18">
        <v>31</v>
      </c>
      <c r="I18">
        <v>2700</v>
      </c>
    </row>
    <row r="19" spans="1:9" x14ac:dyDescent="0.25">
      <c r="A19" t="s">
        <v>287</v>
      </c>
      <c r="B19" t="s">
        <v>269</v>
      </c>
      <c r="C19">
        <v>130</v>
      </c>
      <c r="D19">
        <v>27</v>
      </c>
      <c r="E19">
        <v>30.751000000000001</v>
      </c>
      <c r="F19">
        <v>0</v>
      </c>
      <c r="G19">
        <v>100</v>
      </c>
      <c r="H19">
        <v>100</v>
      </c>
      <c r="I19">
        <v>2700</v>
      </c>
    </row>
    <row r="20" spans="1:9" x14ac:dyDescent="0.25">
      <c r="A20" t="s">
        <v>288</v>
      </c>
      <c r="B20" t="s">
        <v>271</v>
      </c>
      <c r="C20">
        <v>16</v>
      </c>
      <c r="D20">
        <v>88</v>
      </c>
      <c r="E20">
        <v>9.4E-2</v>
      </c>
      <c r="F20">
        <v>368</v>
      </c>
      <c r="G20">
        <v>40</v>
      </c>
      <c r="H20">
        <v>40</v>
      </c>
      <c r="I20">
        <v>2174</v>
      </c>
    </row>
    <row r="21" spans="1:9" x14ac:dyDescent="0.25">
      <c r="A21" t="s">
        <v>289</v>
      </c>
      <c r="B21" t="s">
        <v>271</v>
      </c>
      <c r="C21">
        <v>159</v>
      </c>
      <c r="D21">
        <v>44</v>
      </c>
      <c r="E21">
        <v>3.9119999999999999</v>
      </c>
      <c r="F21">
        <v>3440</v>
      </c>
      <c r="G21">
        <v>105</v>
      </c>
      <c r="H21">
        <v>105</v>
      </c>
      <c r="I21">
        <v>2174</v>
      </c>
    </row>
    <row r="22" spans="1:9" x14ac:dyDescent="0.25">
      <c r="A22" t="s">
        <v>290</v>
      </c>
      <c r="B22" t="s">
        <v>291</v>
      </c>
      <c r="C22">
        <v>102</v>
      </c>
      <c r="D22">
        <v>54</v>
      </c>
      <c r="E22">
        <v>2.0150000000000001</v>
      </c>
      <c r="F22">
        <v>2210</v>
      </c>
      <c r="G22">
        <v>85</v>
      </c>
      <c r="H22">
        <v>85</v>
      </c>
      <c r="I22">
        <v>2174</v>
      </c>
    </row>
    <row r="23" spans="1:9" x14ac:dyDescent="0.25">
      <c r="A23" t="s">
        <v>292</v>
      </c>
      <c r="B23" t="s">
        <v>291</v>
      </c>
      <c r="C23">
        <v>90</v>
      </c>
      <c r="D23">
        <v>33</v>
      </c>
      <c r="E23">
        <v>6.25</v>
      </c>
      <c r="F23">
        <v>1875</v>
      </c>
      <c r="G23">
        <v>35</v>
      </c>
      <c r="H23">
        <v>35</v>
      </c>
      <c r="I23">
        <v>2700</v>
      </c>
    </row>
    <row r="24" spans="1:9" x14ac:dyDescent="0.25">
      <c r="A24" t="s">
        <v>293</v>
      </c>
      <c r="B24" t="s">
        <v>271</v>
      </c>
      <c r="C24">
        <v>43</v>
      </c>
      <c r="D24">
        <v>44</v>
      </c>
      <c r="E24">
        <v>0.39600000000000002</v>
      </c>
      <c r="F24">
        <v>1000</v>
      </c>
      <c r="G24">
        <v>23</v>
      </c>
      <c r="H24">
        <v>23</v>
      </c>
      <c r="I24">
        <v>2200</v>
      </c>
    </row>
    <row r="25" spans="1:9" x14ac:dyDescent="0.25">
      <c r="A25" t="s">
        <v>294</v>
      </c>
      <c r="B25" t="s">
        <v>291</v>
      </c>
      <c r="C25">
        <v>133</v>
      </c>
      <c r="D25">
        <v>49</v>
      </c>
      <c r="E25">
        <v>0.5</v>
      </c>
      <c r="F25">
        <v>2834</v>
      </c>
      <c r="G25">
        <v>103</v>
      </c>
      <c r="H25">
        <v>103</v>
      </c>
      <c r="I25">
        <v>2200</v>
      </c>
    </row>
    <row r="26" spans="1:9" x14ac:dyDescent="0.25">
      <c r="A26" t="s">
        <v>295</v>
      </c>
      <c r="B26" t="s">
        <v>271</v>
      </c>
      <c r="C26">
        <v>129</v>
      </c>
      <c r="D26">
        <v>23</v>
      </c>
      <c r="E26">
        <v>7.32</v>
      </c>
      <c r="F26">
        <v>2193</v>
      </c>
      <c r="G26">
        <v>100</v>
      </c>
      <c r="H26">
        <v>100</v>
      </c>
      <c r="I26">
        <v>3000</v>
      </c>
    </row>
    <row r="27" spans="1:9" x14ac:dyDescent="0.25">
      <c r="A27" t="s">
        <v>445</v>
      </c>
      <c r="B27" t="s">
        <v>269</v>
      </c>
      <c r="C27">
        <v>128.1</v>
      </c>
      <c r="D27">
        <v>46</v>
      </c>
      <c r="E27">
        <v>26.37</v>
      </c>
      <c r="F27">
        <v>0</v>
      </c>
      <c r="G27">
        <v>60</v>
      </c>
      <c r="H27">
        <v>60</v>
      </c>
      <c r="I27">
        <v>2500</v>
      </c>
    </row>
    <row r="28" spans="1:9" x14ac:dyDescent="0.25">
      <c r="A28" t="s">
        <v>447</v>
      </c>
      <c r="B28" t="s">
        <v>269</v>
      </c>
      <c r="C28">
        <v>122</v>
      </c>
      <c r="D28">
        <v>42</v>
      </c>
      <c r="E28">
        <v>29.3</v>
      </c>
      <c r="F28">
        <v>0</v>
      </c>
      <c r="G28">
        <v>60</v>
      </c>
      <c r="H28">
        <v>60</v>
      </c>
      <c r="I28">
        <v>2500</v>
      </c>
    </row>
    <row r="29" spans="1:9" x14ac:dyDescent="0.25">
      <c r="A29" t="s">
        <v>448</v>
      </c>
      <c r="B29" t="s">
        <v>269</v>
      </c>
      <c r="C29">
        <v>67.5</v>
      </c>
      <c r="D29">
        <v>76</v>
      </c>
      <c r="E29">
        <v>1.0589999999999999</v>
      </c>
      <c r="F29">
        <v>1305</v>
      </c>
      <c r="G29">
        <v>70</v>
      </c>
      <c r="H29">
        <v>70</v>
      </c>
      <c r="I29">
        <v>2500</v>
      </c>
    </row>
    <row r="30" spans="1:9" x14ac:dyDescent="0.25">
      <c r="A30" t="s">
        <v>449</v>
      </c>
      <c r="B30" t="s">
        <v>269</v>
      </c>
      <c r="C30">
        <v>80</v>
      </c>
      <c r="D30">
        <v>76</v>
      </c>
      <c r="E30">
        <v>1.1839999999999999</v>
      </c>
      <c r="F30">
        <v>1461</v>
      </c>
      <c r="G30">
        <v>95</v>
      </c>
      <c r="H30">
        <v>95</v>
      </c>
      <c r="I30">
        <v>2500</v>
      </c>
    </row>
    <row r="31" spans="1:9" x14ac:dyDescent="0.25">
      <c r="A31" t="s">
        <v>451</v>
      </c>
      <c r="B31" t="s">
        <v>271</v>
      </c>
      <c r="C31">
        <v>97</v>
      </c>
      <c r="D31">
        <v>72</v>
      </c>
      <c r="E31">
        <v>1.3620000000000001</v>
      </c>
      <c r="F31">
        <v>1710</v>
      </c>
      <c r="G31">
        <v>100</v>
      </c>
      <c r="H31">
        <v>100</v>
      </c>
      <c r="I31">
        <v>2700</v>
      </c>
    </row>
    <row r="32" spans="1:9" x14ac:dyDescent="0.25">
      <c r="A32" t="s">
        <v>465</v>
      </c>
      <c r="B32" t="s">
        <v>291</v>
      </c>
      <c r="C32">
        <v>78.7</v>
      </c>
      <c r="D32">
        <v>76</v>
      </c>
      <c r="E32">
        <v>1.175</v>
      </c>
      <c r="F32">
        <v>1448</v>
      </c>
      <c r="G32">
        <v>100</v>
      </c>
      <c r="H32">
        <v>100</v>
      </c>
      <c r="I32">
        <v>2700</v>
      </c>
    </row>
    <row r="33" spans="1:9" x14ac:dyDescent="0.25">
      <c r="A33" t="s">
        <v>470</v>
      </c>
      <c r="B33" t="s">
        <v>271</v>
      </c>
      <c r="C33">
        <v>86.1</v>
      </c>
      <c r="D33">
        <v>65</v>
      </c>
      <c r="E33">
        <v>1.3120000000000001</v>
      </c>
      <c r="F33">
        <v>1617</v>
      </c>
      <c r="G33">
        <v>100</v>
      </c>
      <c r="H33">
        <v>100</v>
      </c>
      <c r="I33">
        <v>2700</v>
      </c>
    </row>
  </sheetData>
  <autoFilter ref="A1:I1" xr:uid="{C14A2F9C-9567-4EDD-B52B-67AD9D8823A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>
      <selection activeCell="A3" sqref="A3"/>
    </sheetView>
  </sheetViews>
  <sheetFormatPr defaultRowHeight="15" x14ac:dyDescent="0.25"/>
  <cols>
    <col min="1" max="1" width="27.5703125" bestFit="1" customWidth="1"/>
    <col min="2" max="2" width="10.28515625" bestFit="1" customWidth="1"/>
    <col min="3" max="3" width="12.85546875" bestFit="1" customWidth="1"/>
    <col min="4" max="4" width="8.5703125" bestFit="1" customWidth="1"/>
    <col min="6" max="6" width="10.85546875" bestFit="1" customWidth="1"/>
    <col min="7" max="7" width="13.28515625" bestFit="1" customWidth="1"/>
    <col min="8" max="8" width="9.28515625" customWidth="1"/>
  </cols>
  <sheetData>
    <row r="1" spans="1:8" x14ac:dyDescent="0.25">
      <c r="A1" s="5" t="s">
        <v>5</v>
      </c>
      <c r="B1" s="5" t="s">
        <v>266</v>
      </c>
      <c r="C1" s="5" t="s">
        <v>48</v>
      </c>
      <c r="D1" s="5" t="s">
        <v>10</v>
      </c>
      <c r="E1" s="5" t="s">
        <v>1</v>
      </c>
      <c r="F1" s="1" t="s">
        <v>2</v>
      </c>
      <c r="G1" s="1" t="s">
        <v>267</v>
      </c>
      <c r="H1" s="1" t="s">
        <v>268</v>
      </c>
    </row>
    <row r="2" spans="1:8" x14ac:dyDescent="0.25">
      <c r="A2" t="s">
        <v>281</v>
      </c>
      <c r="B2" t="s">
        <v>282</v>
      </c>
      <c r="C2">
        <v>300</v>
      </c>
      <c r="D2">
        <v>5</v>
      </c>
      <c r="E2">
        <v>10.5</v>
      </c>
      <c r="F2">
        <v>6000</v>
      </c>
      <c r="G2">
        <v>29.5</v>
      </c>
      <c r="H2">
        <v>29.5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>
      <selection activeCell="D1" sqref="A1:D1"/>
    </sheetView>
  </sheetViews>
  <sheetFormatPr defaultRowHeight="15" x14ac:dyDescent="0.25"/>
  <cols>
    <col min="1" max="1" width="25.85546875" bestFit="1" customWidth="1"/>
    <col min="2" max="2" width="10.7109375" bestFit="1" customWidth="1"/>
    <col min="3" max="3" width="10.7109375" customWidth="1"/>
    <col min="4" max="4" width="11.28515625" bestFit="1" customWidth="1"/>
  </cols>
  <sheetData>
    <row r="1" spans="1:4" s="5" customFormat="1" x14ac:dyDescent="0.25">
      <c r="A1" s="5" t="s">
        <v>296</v>
      </c>
      <c r="B1" s="5" t="s">
        <v>13</v>
      </c>
      <c r="C1" s="5" t="s">
        <v>12</v>
      </c>
      <c r="D1" s="5" t="s">
        <v>11</v>
      </c>
    </row>
    <row r="2" spans="1:4" s="8" customFormat="1" x14ac:dyDescent="0.25">
      <c r="A2" s="8" t="s">
        <v>23</v>
      </c>
      <c r="B2" s="9">
        <v>0</v>
      </c>
      <c r="C2" s="9">
        <v>0</v>
      </c>
      <c r="D2" s="9">
        <v>0</v>
      </c>
    </row>
    <row r="3" spans="1:4" x14ac:dyDescent="0.25">
      <c r="A3" t="s">
        <v>297</v>
      </c>
      <c r="B3" s="2">
        <v>0.14000000000000001</v>
      </c>
      <c r="C3" s="2">
        <v>0.02</v>
      </c>
      <c r="D3" s="2">
        <v>0.14000000000000001</v>
      </c>
    </row>
    <row r="4" spans="1:4" x14ac:dyDescent="0.25">
      <c r="A4" t="s">
        <v>298</v>
      </c>
      <c r="B4" s="2">
        <v>0.12</v>
      </c>
      <c r="C4" s="2">
        <v>0.01</v>
      </c>
      <c r="D4" s="2">
        <v>0.12</v>
      </c>
    </row>
    <row r="5" spans="1:4" x14ac:dyDescent="0.25">
      <c r="A5" t="s">
        <v>299</v>
      </c>
      <c r="B5" s="2">
        <v>0.16</v>
      </c>
      <c r="C5" s="2">
        <v>0.02</v>
      </c>
      <c r="D5" s="2">
        <v>0.16</v>
      </c>
    </row>
    <row r="6" spans="1:4" x14ac:dyDescent="0.25">
      <c r="A6" t="s">
        <v>15</v>
      </c>
      <c r="B6" s="2">
        <v>0</v>
      </c>
      <c r="C6" s="2">
        <v>0.01</v>
      </c>
      <c r="D6" s="2">
        <v>0.1</v>
      </c>
    </row>
    <row r="7" spans="1:4" x14ac:dyDescent="0.25">
      <c r="A7" t="s">
        <v>300</v>
      </c>
      <c r="B7" s="2">
        <v>0.16</v>
      </c>
      <c r="C7" s="2">
        <v>0.02</v>
      </c>
      <c r="D7" s="2">
        <v>0.16</v>
      </c>
    </row>
    <row r="8" spans="1:4" x14ac:dyDescent="0.25">
      <c r="A8" t="s">
        <v>301</v>
      </c>
      <c r="B8" s="2">
        <v>0</v>
      </c>
      <c r="C8" s="2">
        <v>0.01</v>
      </c>
      <c r="D8" s="2">
        <v>0.1</v>
      </c>
    </row>
    <row r="9" spans="1:4" x14ac:dyDescent="0.25">
      <c r="A9" t="s">
        <v>302</v>
      </c>
      <c r="B9" s="2">
        <v>0</v>
      </c>
      <c r="C9" s="2">
        <v>0.01</v>
      </c>
      <c r="D9" s="2">
        <v>0</v>
      </c>
    </row>
    <row r="10" spans="1:4" x14ac:dyDescent="0.25">
      <c r="A10" t="s">
        <v>303</v>
      </c>
      <c r="B10" s="2">
        <v>0</v>
      </c>
      <c r="C10" s="2">
        <v>0</v>
      </c>
      <c r="D10" s="2">
        <v>0.1</v>
      </c>
    </row>
    <row r="11" spans="1:4" x14ac:dyDescent="0.25">
      <c r="A11" t="s">
        <v>304</v>
      </c>
      <c r="B11" s="2">
        <v>0.1</v>
      </c>
      <c r="C11" s="2">
        <v>0</v>
      </c>
      <c r="D1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StatSheet</vt:lpstr>
      <vt:lpstr>MiningTools</vt:lpstr>
      <vt:lpstr>Mining</vt:lpstr>
      <vt:lpstr>Improvements</vt:lpstr>
      <vt:lpstr>Inputs</vt:lpstr>
      <vt:lpstr>Creatures</vt:lpstr>
      <vt:lpstr>Weapon</vt:lpstr>
      <vt:lpstr>Aux</vt:lpstr>
      <vt:lpstr>Pills</vt:lpstr>
      <vt:lpstr>LRings</vt:lpstr>
      <vt:lpstr>RRings</vt:lpstr>
      <vt:lpstr>Amps</vt:lpstr>
      <vt:lpstr>Misc</vt:lpstr>
      <vt:lpstr>Sights</vt:lpstr>
      <vt:lpstr>Scope</vt:lpstr>
      <vt:lpstr>combo-imk2data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Girts Niedra</dc:creator>
  <cp:keywords/>
  <dc:description/>
  <cp:lastModifiedBy>Aaron Freeman</cp:lastModifiedBy>
  <cp:revision/>
  <dcterms:created xsi:type="dcterms:W3CDTF">2016-03-30T15:59:58Z</dcterms:created>
  <dcterms:modified xsi:type="dcterms:W3CDTF">2020-11-15T03:25:05Z</dcterms:modified>
  <cp:category/>
  <cp:contentStatus/>
</cp:coreProperties>
</file>