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kist/Desktop/Miscounted Cash Flow Files/"/>
    </mc:Choice>
  </mc:AlternateContent>
  <xr:revisionPtr revIDLastSave="0" documentId="13_ncr:1_{20407522-D0BB-E049-8524-16A3D5A2D87E}" xr6:coauthVersionLast="47" xr6:coauthVersionMax="47" xr10:uidLastSave="{00000000-0000-0000-0000-000000000000}"/>
  <bookViews>
    <workbookView xWindow="0" yWindow="740" windowWidth="29400" windowHeight="18380" activeTab="4" xr2:uid="{9F9C4D43-4EC9-4C4A-964A-3960FA7F9886}"/>
  </bookViews>
  <sheets>
    <sheet name="DCF" sheetId="11" r:id="rId1"/>
    <sheet name="Income Statement - FCF" sheetId="9" r:id="rId2"/>
    <sheet name="Balance Sheet" sheetId="2" r:id="rId3"/>
    <sheet name="Variance Analysis" sheetId="12" r:id="rId4"/>
    <sheet name="Revenue Build (Toggle &amp; Link)" sheetId="13" r:id="rId5"/>
    <sheet name="Revevnue Build Base" sheetId="3" r:id="rId6"/>
    <sheet name="Public Comparables" sheetId="6" r:id="rId7"/>
    <sheet name="Pre and Post Earnings" sheetId="14" r:id="rId8"/>
    <sheet name="Forex Assumptions" sheetId="10" r:id="rId9"/>
    <sheet name="Stock Price History" sheetId="15" r:id="rId10"/>
    <sheet name="Customer Demographics" sheetId="16" r:id="rId1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7" i="13" l="1"/>
  <c r="I77" i="13"/>
  <c r="H77" i="13"/>
  <c r="J75" i="13"/>
  <c r="I75" i="13"/>
  <c r="H75" i="13"/>
  <c r="H71" i="13" s="1"/>
  <c r="J71" i="13"/>
  <c r="I71" i="13"/>
  <c r="I70" i="13" s="1"/>
  <c r="J70" i="13" s="1"/>
  <c r="I69" i="13"/>
  <c r="J69" i="13" s="1"/>
  <c r="AB12" i="13"/>
  <c r="AB6" i="13"/>
  <c r="AA6" i="13"/>
  <c r="C22" i="11"/>
  <c r="C15" i="11"/>
  <c r="H49" i="9"/>
  <c r="F49" i="9"/>
  <c r="G49" i="9"/>
  <c r="E49" i="9"/>
  <c r="D84" i="9"/>
  <c r="F11" i="2"/>
  <c r="C23" i="11"/>
  <c r="H37" i="2"/>
  <c r="I37" i="2" s="1"/>
  <c r="G37" i="2"/>
  <c r="F37" i="2"/>
  <c r="F36" i="2"/>
  <c r="F13" i="2"/>
  <c r="F50" i="9"/>
  <c r="G50" i="9" s="1"/>
  <c r="E50" i="9"/>
  <c r="F27" i="2" s="1"/>
  <c r="G36" i="2"/>
  <c r="H36" i="2" s="1"/>
  <c r="I36" i="2" s="1"/>
  <c r="F47" i="2"/>
  <c r="G47" i="2" s="1"/>
  <c r="H47" i="2" s="1"/>
  <c r="I47" i="2" s="1"/>
  <c r="G41" i="2"/>
  <c r="I41" i="2" s="1"/>
  <c r="H41" i="2"/>
  <c r="F41" i="2"/>
  <c r="G48" i="9"/>
  <c r="H48" i="9" s="1"/>
  <c r="F48" i="9"/>
  <c r="E48" i="9"/>
  <c r="F38" i="2"/>
  <c r="G38" i="2"/>
  <c r="G45" i="2"/>
  <c r="H45" i="2" s="1"/>
  <c r="I45" i="2" s="1"/>
  <c r="F45" i="2"/>
  <c r="G40" i="2"/>
  <c r="F40" i="2"/>
  <c r="H40" i="2" s="1"/>
  <c r="F39" i="2"/>
  <c r="G28" i="2"/>
  <c r="H28" i="2" s="1"/>
  <c r="I28" i="2" s="1"/>
  <c r="G29" i="2"/>
  <c r="H29" i="2" s="1"/>
  <c r="G30" i="2"/>
  <c r="H30" i="2"/>
  <c r="I30" i="2"/>
  <c r="G31" i="2"/>
  <c r="I31" i="2" s="1"/>
  <c r="H31" i="2"/>
  <c r="G32" i="2"/>
  <c r="H32" i="2"/>
  <c r="I32" i="2"/>
  <c r="G33" i="2"/>
  <c r="I33" i="2" s="1"/>
  <c r="H33" i="2"/>
  <c r="F29" i="2"/>
  <c r="F30" i="2"/>
  <c r="F31" i="2"/>
  <c r="F32" i="2"/>
  <c r="F33" i="2"/>
  <c r="F28" i="2"/>
  <c r="G23" i="2"/>
  <c r="H23" i="2"/>
  <c r="I23" i="2" s="1"/>
  <c r="F23" i="2"/>
  <c r="G21" i="2"/>
  <c r="H21" i="2" s="1"/>
  <c r="I21" i="2" s="1"/>
  <c r="F21" i="2"/>
  <c r="G20" i="2"/>
  <c r="H20" i="2"/>
  <c r="I20" i="2"/>
  <c r="F20" i="2"/>
  <c r="G13" i="2"/>
  <c r="H13" i="2" s="1"/>
  <c r="I13" i="2" s="1"/>
  <c r="G7" i="2"/>
  <c r="G9" i="2" s="1"/>
  <c r="F8" i="2"/>
  <c r="G8" i="2" s="1"/>
  <c r="H8" i="2" s="1"/>
  <c r="I8" i="2" s="1"/>
  <c r="F7" i="2"/>
  <c r="D15" i="2"/>
  <c r="E15" i="2"/>
  <c r="C15" i="2"/>
  <c r="D16" i="2" s="1"/>
  <c r="F79" i="9"/>
  <c r="G79" i="9"/>
  <c r="H79" i="9"/>
  <c r="E79" i="9"/>
  <c r="G78" i="9"/>
  <c r="H78" i="9" s="1"/>
  <c r="F78" i="9"/>
  <c r="E78" i="9"/>
  <c r="E71" i="9"/>
  <c r="F71" i="9"/>
  <c r="G71" i="9"/>
  <c r="H71" i="9"/>
  <c r="E70" i="9"/>
  <c r="F70" i="9"/>
  <c r="G70" i="9" s="1"/>
  <c r="H70" i="9" s="1"/>
  <c r="D71" i="9"/>
  <c r="D70" i="9"/>
  <c r="E45" i="9"/>
  <c r="E63" i="9"/>
  <c r="F63" i="9" s="1"/>
  <c r="G63" i="9" s="1"/>
  <c r="H63" i="9" s="1"/>
  <c r="C64" i="9"/>
  <c r="B64" i="9"/>
  <c r="B10" i="9"/>
  <c r="B42" i="9"/>
  <c r="B43" i="9" s="1"/>
  <c r="E52" i="9"/>
  <c r="F52" i="9" s="1"/>
  <c r="G52" i="9" s="1"/>
  <c r="H52" i="9" s="1"/>
  <c r="D47" i="9"/>
  <c r="E47" i="9" s="1"/>
  <c r="F47" i="9" s="1"/>
  <c r="G47" i="9" s="1"/>
  <c r="H47" i="9" s="1"/>
  <c r="F46" i="9"/>
  <c r="G46" i="9"/>
  <c r="H46" i="9"/>
  <c r="E46" i="9"/>
  <c r="F45" i="9"/>
  <c r="G45" i="9" s="1"/>
  <c r="H45" i="9" s="1"/>
  <c r="E44" i="9"/>
  <c r="F44" i="9" s="1"/>
  <c r="G44" i="9" s="1"/>
  <c r="H44" i="9" s="1"/>
  <c r="C42" i="9"/>
  <c r="C43" i="9" s="1"/>
  <c r="C56" i="9"/>
  <c r="B56" i="9"/>
  <c r="D56" i="9" s="1"/>
  <c r="J17" i="6"/>
  <c r="K17" i="6"/>
  <c r="L17" i="6"/>
  <c r="F7" i="15" a="1"/>
  <c r="G11" i="2" l="1"/>
  <c r="H11" i="2" s="1"/>
  <c r="C25" i="11"/>
  <c r="H50" i="9"/>
  <c r="F34" i="2"/>
  <c r="H7" i="2"/>
  <c r="I40" i="2"/>
  <c r="G39" i="2"/>
  <c r="H39" i="2" s="1"/>
  <c r="I39" i="2" s="1"/>
  <c r="I29" i="2"/>
  <c r="F9" i="2"/>
  <c r="H9" i="2"/>
  <c r="E16" i="2"/>
  <c r="B53" i="9"/>
  <c r="C53" i="9"/>
  <c r="F7" i="15"/>
  <c r="D39" i="14"/>
  <c r="D38" i="14"/>
  <c r="C40" i="14"/>
  <c r="B7" i="15" a="1"/>
  <c r="I11" i="2" l="1"/>
  <c r="F42" i="2"/>
  <c r="G34" i="2"/>
  <c r="G42" i="2" s="1"/>
  <c r="H34" i="2"/>
  <c r="H42" i="2" s="1"/>
  <c r="G27" i="2"/>
  <c r="H27" i="2" s="1"/>
  <c r="I27" i="2" s="1"/>
  <c r="I7" i="2"/>
  <c r="I9" i="2" s="1"/>
  <c r="H38" i="2"/>
  <c r="H9" i="15"/>
  <c r="H10" i="15"/>
  <c r="H11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188" i="15"/>
  <c r="H196" i="15"/>
  <c r="H204" i="15"/>
  <c r="H212" i="15"/>
  <c r="H220" i="15"/>
  <c r="H228" i="15"/>
  <c r="H236" i="15"/>
  <c r="H244" i="15"/>
  <c r="H252" i="15"/>
  <c r="H260" i="15"/>
  <c r="H21" i="15"/>
  <c r="H29" i="15"/>
  <c r="H37" i="15"/>
  <c r="H45" i="15"/>
  <c r="H53" i="15"/>
  <c r="H61" i="15"/>
  <c r="H69" i="15"/>
  <c r="H77" i="15"/>
  <c r="H85" i="15"/>
  <c r="H93" i="15"/>
  <c r="H101" i="15"/>
  <c r="H109" i="15"/>
  <c r="H117" i="15"/>
  <c r="H125" i="15"/>
  <c r="H133" i="15"/>
  <c r="H141" i="15"/>
  <c r="H149" i="15"/>
  <c r="H157" i="15"/>
  <c r="H165" i="15"/>
  <c r="H173" i="15"/>
  <c r="H181" i="15"/>
  <c r="H189" i="15"/>
  <c r="H197" i="15"/>
  <c r="H205" i="15"/>
  <c r="H213" i="15"/>
  <c r="H221" i="15"/>
  <c r="H229" i="15"/>
  <c r="H237" i="15"/>
  <c r="H245" i="15"/>
  <c r="H253" i="15"/>
  <c r="H261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3" i="15"/>
  <c r="H14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135" i="15"/>
  <c r="H143" i="15"/>
  <c r="H151" i="15"/>
  <c r="H159" i="15"/>
  <c r="H167" i="15"/>
  <c r="H175" i="15"/>
  <c r="H183" i="15"/>
  <c r="H191" i="15"/>
  <c r="H199" i="15"/>
  <c r="H207" i="15"/>
  <c r="H215" i="15"/>
  <c r="H223" i="15"/>
  <c r="H231" i="15"/>
  <c r="H239" i="15"/>
  <c r="H247" i="15"/>
  <c r="H255" i="15"/>
  <c r="H263" i="15"/>
  <c r="H16" i="15"/>
  <c r="H24" i="15"/>
  <c r="H32" i="15"/>
  <c r="H40" i="15"/>
  <c r="H48" i="15"/>
  <c r="H56" i="15"/>
  <c r="H64" i="15"/>
  <c r="H72" i="15"/>
  <c r="H80" i="15"/>
  <c r="H88" i="15"/>
  <c r="H96" i="15"/>
  <c r="H104" i="15"/>
  <c r="H112" i="15"/>
  <c r="H120" i="15"/>
  <c r="H128" i="15"/>
  <c r="H136" i="15"/>
  <c r="H144" i="15"/>
  <c r="H152" i="15"/>
  <c r="H160" i="15"/>
  <c r="H168" i="15"/>
  <c r="H176" i="15"/>
  <c r="H184" i="15"/>
  <c r="H192" i="15"/>
  <c r="H200" i="15"/>
  <c r="H208" i="15"/>
  <c r="H216" i="15"/>
  <c r="H224" i="15"/>
  <c r="H232" i="15"/>
  <c r="H240" i="15"/>
  <c r="H248" i="15"/>
  <c r="H256" i="15"/>
  <c r="H264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193" i="15"/>
  <c r="H201" i="15"/>
  <c r="H209" i="15"/>
  <c r="H217" i="15"/>
  <c r="H225" i="15"/>
  <c r="H233" i="15"/>
  <c r="H241" i="15"/>
  <c r="H249" i="15"/>
  <c r="H257" i="15"/>
  <c r="H265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9" i="15"/>
  <c r="H83" i="15"/>
  <c r="H134" i="15"/>
  <c r="H166" i="15"/>
  <c r="H194" i="15"/>
  <c r="H214" i="15"/>
  <c r="H235" i="15"/>
  <c r="H258" i="15"/>
  <c r="H91" i="15"/>
  <c r="H171" i="15"/>
  <c r="H195" i="15"/>
  <c r="H238" i="15"/>
  <c r="H35" i="15"/>
  <c r="H174" i="15"/>
  <c r="H219" i="15"/>
  <c r="H242" i="15"/>
  <c r="H43" i="15"/>
  <c r="H147" i="15"/>
  <c r="H202" i="15"/>
  <c r="H243" i="15"/>
  <c r="H51" i="15"/>
  <c r="H150" i="15"/>
  <c r="H203" i="15"/>
  <c r="H246" i="15"/>
  <c r="H123" i="15"/>
  <c r="H155" i="15"/>
  <c r="H206" i="15"/>
  <c r="H250" i="15"/>
  <c r="H67" i="15"/>
  <c r="H187" i="15"/>
  <c r="H251" i="15"/>
  <c r="H75" i="15"/>
  <c r="H163" i="15"/>
  <c r="H211" i="15"/>
  <c r="H27" i="15"/>
  <c r="H139" i="15"/>
  <c r="H218" i="15"/>
  <c r="H259" i="15"/>
  <c r="H99" i="15"/>
  <c r="H142" i="15"/>
  <c r="H198" i="15"/>
  <c r="H262" i="15"/>
  <c r="H107" i="15"/>
  <c r="H179" i="15"/>
  <c r="H222" i="15"/>
  <c r="H8" i="15"/>
  <c r="H115" i="15"/>
  <c r="H182" i="15"/>
  <c r="H226" i="15"/>
  <c r="H59" i="15"/>
  <c r="H186" i="15"/>
  <c r="H227" i="15"/>
  <c r="H126" i="15"/>
  <c r="H158" i="15"/>
  <c r="H210" i="15"/>
  <c r="H230" i="15"/>
  <c r="H131" i="15"/>
  <c r="H190" i="15"/>
  <c r="H234" i="15"/>
  <c r="H254" i="15"/>
  <c r="B7" i="15"/>
  <c r="L16" i="6"/>
  <c r="K16" i="6"/>
  <c r="C18" i="11" s="1"/>
  <c r="J16" i="6"/>
  <c r="C19" i="11"/>
  <c r="D10" i="9"/>
  <c r="I34" i="2" l="1"/>
  <c r="I42" i="2" s="1"/>
  <c r="I38" i="2"/>
  <c r="C20" i="11"/>
  <c r="N28" i="13"/>
  <c r="M28" i="13"/>
  <c r="T12" i="13"/>
  <c r="Y28" i="13"/>
  <c r="Z28" i="13"/>
  <c r="N22" i="13"/>
  <c r="S12" i="13"/>
  <c r="Q22" i="13"/>
  <c r="N12" i="13"/>
  <c r="M12" i="13"/>
  <c r="G9" i="12"/>
  <c r="H9" i="12"/>
  <c r="I9" i="12"/>
  <c r="F9" i="12"/>
  <c r="Z43" i="13"/>
  <c r="Y43" i="13"/>
  <c r="X43" i="13"/>
  <c r="W43" i="13"/>
  <c r="V43" i="13"/>
  <c r="U43" i="13"/>
  <c r="T43" i="13"/>
  <c r="S43" i="13"/>
  <c r="Y37" i="13"/>
  <c r="X37" i="13"/>
  <c r="W37" i="13"/>
  <c r="V37" i="13"/>
  <c r="T37" i="13"/>
  <c r="S37" i="13"/>
  <c r="X28" i="13"/>
  <c r="W28" i="13"/>
  <c r="V28" i="13"/>
  <c r="U28" i="13"/>
  <c r="T28" i="13"/>
  <c r="S28" i="13"/>
  <c r="Y22" i="13"/>
  <c r="X22" i="13"/>
  <c r="W22" i="13"/>
  <c r="V22" i="13"/>
  <c r="U22" i="13"/>
  <c r="T22" i="13"/>
  <c r="S22" i="13"/>
  <c r="Y12" i="13"/>
  <c r="X12" i="13"/>
  <c r="W12" i="13"/>
  <c r="V12" i="13"/>
  <c r="U12" i="13"/>
  <c r="R12" i="13"/>
  <c r="AB43" i="13"/>
  <c r="P43" i="13"/>
  <c r="M37" i="13"/>
  <c r="P12" i="13"/>
  <c r="Q12" i="13"/>
  <c r="F12" i="11"/>
  <c r="F27" i="11" s="1"/>
  <c r="AD37" i="13"/>
  <c r="AC37" i="13"/>
  <c r="AB37" i="13"/>
  <c r="AA37" i="13"/>
  <c r="Z37" i="13"/>
  <c r="U37" i="13"/>
  <c r="R37" i="13"/>
  <c r="Q37" i="13"/>
  <c r="P37" i="13"/>
  <c r="O37" i="13"/>
  <c r="N37" i="13"/>
  <c r="AD43" i="13"/>
  <c r="AC43" i="13"/>
  <c r="AA43" i="13"/>
  <c r="R43" i="13"/>
  <c r="Q43" i="13"/>
  <c r="O43" i="13"/>
  <c r="N43" i="13"/>
  <c r="M43" i="13"/>
  <c r="AD28" i="13"/>
  <c r="AC28" i="13"/>
  <c r="AB28" i="13"/>
  <c r="AA28" i="13"/>
  <c r="R28" i="13"/>
  <c r="Q28" i="13"/>
  <c r="P28" i="13"/>
  <c r="O28" i="13"/>
  <c r="AD22" i="13"/>
  <c r="AC22" i="13"/>
  <c r="AB22" i="13"/>
  <c r="AA22" i="13"/>
  <c r="Z22" i="13"/>
  <c r="R22" i="13"/>
  <c r="P22" i="13"/>
  <c r="O22" i="13"/>
  <c r="M22" i="13"/>
  <c r="AD12" i="13"/>
  <c r="AC12" i="13"/>
  <c r="AA12" i="13"/>
  <c r="Z12" i="13"/>
  <c r="O12" i="13"/>
  <c r="H57" i="13"/>
  <c r="G57" i="13"/>
  <c r="F57" i="13"/>
  <c r="E57" i="13"/>
  <c r="D57" i="13"/>
  <c r="C57" i="13"/>
  <c r="H53" i="13"/>
  <c r="H55" i="13" s="1"/>
  <c r="G53" i="13"/>
  <c r="F53" i="13"/>
  <c r="E53" i="13"/>
  <c r="D53" i="13"/>
  <c r="C53" i="13"/>
  <c r="L50" i="13"/>
  <c r="K50" i="13"/>
  <c r="K51" i="13" s="1"/>
  <c r="J50" i="13"/>
  <c r="J51" i="13" s="1"/>
  <c r="I50" i="13"/>
  <c r="H50" i="13"/>
  <c r="G50" i="13"/>
  <c r="F50" i="13"/>
  <c r="E50" i="13"/>
  <c r="D50" i="13"/>
  <c r="C50" i="13"/>
  <c r="L47" i="13"/>
  <c r="K47" i="13"/>
  <c r="J47" i="13"/>
  <c r="I47" i="13"/>
  <c r="H47" i="13"/>
  <c r="G47" i="13"/>
  <c r="H42" i="13"/>
  <c r="G42" i="13"/>
  <c r="H41" i="13"/>
  <c r="G41" i="13"/>
  <c r="H36" i="13"/>
  <c r="G36" i="13"/>
  <c r="H35" i="13"/>
  <c r="G35" i="13"/>
  <c r="L32" i="13"/>
  <c r="K32" i="13"/>
  <c r="J32" i="13"/>
  <c r="I32" i="13"/>
  <c r="H32" i="13"/>
  <c r="G32" i="13"/>
  <c r="H27" i="13"/>
  <c r="G27" i="13"/>
  <c r="H26" i="13"/>
  <c r="G26" i="13"/>
  <c r="H21" i="13"/>
  <c r="G21" i="13"/>
  <c r="H20" i="13"/>
  <c r="G20" i="13"/>
  <c r="L16" i="13"/>
  <c r="K16" i="13"/>
  <c r="J16" i="13"/>
  <c r="I16" i="13"/>
  <c r="H16" i="13"/>
  <c r="G16" i="13"/>
  <c r="H11" i="13"/>
  <c r="G11" i="13"/>
  <c r="H10" i="13"/>
  <c r="G10" i="13"/>
  <c r="H5" i="13"/>
  <c r="G5" i="13"/>
  <c r="H4" i="13"/>
  <c r="G4" i="13"/>
  <c r="E10" i="9"/>
  <c r="F10" i="9" s="1"/>
  <c r="G51" i="13" l="1"/>
  <c r="H51" i="13"/>
  <c r="I51" i="13"/>
  <c r="G59" i="13"/>
  <c r="G55" i="13"/>
  <c r="H59" i="13"/>
  <c r="L51" i="13"/>
  <c r="E15" i="12"/>
  <c r="F15" i="12"/>
  <c r="G15" i="12"/>
  <c r="H15" i="12"/>
  <c r="I15" i="12"/>
  <c r="F13" i="11"/>
  <c r="C36" i="9"/>
  <c r="C41" i="9" s="1"/>
  <c r="C22" i="9"/>
  <c r="B22" i="9"/>
  <c r="C15" i="9"/>
  <c r="B15" i="9"/>
  <c r="C13" i="9"/>
  <c r="B13" i="9"/>
  <c r="H5" i="10"/>
  <c r="K5" i="10"/>
  <c r="H6" i="10"/>
  <c r="K6" i="10"/>
  <c r="H7" i="10"/>
  <c r="K7" i="10"/>
  <c r="H8" i="10"/>
  <c r="K8" i="10"/>
  <c r="H9" i="10"/>
  <c r="K9" i="10"/>
  <c r="H10" i="10"/>
  <c r="K10" i="10"/>
  <c r="H11" i="10"/>
  <c r="L11" i="10" s="1"/>
  <c r="K11" i="10"/>
  <c r="H12" i="10"/>
  <c r="K12" i="10"/>
  <c r="H13" i="10"/>
  <c r="L13" i="10" s="1"/>
  <c r="K13" i="10"/>
  <c r="H14" i="10"/>
  <c r="L14" i="10" s="1"/>
  <c r="K14" i="10"/>
  <c r="H15" i="10"/>
  <c r="K15" i="10"/>
  <c r="H16" i="10"/>
  <c r="L16" i="10" s="1"/>
  <c r="K16" i="10"/>
  <c r="H17" i="10"/>
  <c r="L17" i="10" s="1"/>
  <c r="K17" i="10"/>
  <c r="H18" i="10"/>
  <c r="L18" i="10" s="1"/>
  <c r="K18" i="10"/>
  <c r="H19" i="10"/>
  <c r="K19" i="10"/>
  <c r="AO19" i="10"/>
  <c r="AP19" i="10" s="1"/>
  <c r="AQ19" i="10" s="1"/>
  <c r="AR19" i="10" s="1"/>
  <c r="AM19" i="10"/>
  <c r="AJ19" i="10"/>
  <c r="AF19" i="10"/>
  <c r="AC19" i="10"/>
  <c r="AG19" i="10" s="1"/>
  <c r="Y19" i="10"/>
  <c r="V19" i="10"/>
  <c r="Z19" i="10" s="1"/>
  <c r="R19" i="10"/>
  <c r="O19" i="10"/>
  <c r="S19" i="10" s="1"/>
  <c r="L19" i="10"/>
  <c r="AO18" i="10"/>
  <c r="AP18" i="10" s="1"/>
  <c r="AQ18" i="10" s="1"/>
  <c r="AR18" i="10" s="1"/>
  <c r="AM18" i="10"/>
  <c r="AJ18" i="10"/>
  <c r="AN18" i="10" s="1"/>
  <c r="AF18" i="10"/>
  <c r="AC18" i="10"/>
  <c r="AG18" i="10" s="1"/>
  <c r="Y18" i="10"/>
  <c r="V18" i="10"/>
  <c r="Z18" i="10" s="1"/>
  <c r="R18" i="10"/>
  <c r="O18" i="10"/>
  <c r="S18" i="10" s="1"/>
  <c r="AO17" i="10"/>
  <c r="AP17" i="10" s="1"/>
  <c r="AQ17" i="10" s="1"/>
  <c r="AR17" i="10" s="1"/>
  <c r="AM17" i="10"/>
  <c r="AJ17" i="10"/>
  <c r="AF17" i="10"/>
  <c r="AC17" i="10"/>
  <c r="AG17" i="10" s="1"/>
  <c r="Y17" i="10"/>
  <c r="V17" i="10"/>
  <c r="R17" i="10"/>
  <c r="O17" i="10"/>
  <c r="S17" i="10" s="1"/>
  <c r="AO16" i="10"/>
  <c r="AP16" i="10" s="1"/>
  <c r="AQ16" i="10" s="1"/>
  <c r="AR16" i="10" s="1"/>
  <c r="AM16" i="10"/>
  <c r="AJ16" i="10"/>
  <c r="AN16" i="10" s="1"/>
  <c r="AF16" i="10"/>
  <c r="AC16" i="10"/>
  <c r="AG16" i="10" s="1"/>
  <c r="Y16" i="10"/>
  <c r="V16" i="10"/>
  <c r="Z16" i="10" s="1"/>
  <c r="R16" i="10"/>
  <c r="O16" i="10"/>
  <c r="AO15" i="10"/>
  <c r="AP15" i="10" s="1"/>
  <c r="AQ15" i="10" s="1"/>
  <c r="AR15" i="10" s="1"/>
  <c r="AM15" i="10"/>
  <c r="AJ15" i="10"/>
  <c r="AN15" i="10" s="1"/>
  <c r="AF15" i="10"/>
  <c r="AC15" i="10"/>
  <c r="AG15" i="10" s="1"/>
  <c r="Y15" i="10"/>
  <c r="V15" i="10"/>
  <c r="Z15" i="10" s="1"/>
  <c r="R15" i="10"/>
  <c r="O15" i="10"/>
  <c r="S15" i="10" s="1"/>
  <c r="L15" i="10"/>
  <c r="AO14" i="10"/>
  <c r="AP14" i="10" s="1"/>
  <c r="AQ14" i="10" s="1"/>
  <c r="AR14" i="10" s="1"/>
  <c r="AM14" i="10"/>
  <c r="AJ14" i="10"/>
  <c r="AN14" i="10" s="1"/>
  <c r="AF14" i="10"/>
  <c r="AC14" i="10"/>
  <c r="Y14" i="10"/>
  <c r="V14" i="10"/>
  <c r="Z14" i="10" s="1"/>
  <c r="R14" i="10"/>
  <c r="O14" i="10"/>
  <c r="S14" i="10" s="1"/>
  <c r="AO13" i="10"/>
  <c r="AP13" i="10" s="1"/>
  <c r="AQ13" i="10" s="1"/>
  <c r="AR13" i="10" s="1"/>
  <c r="AM13" i="10"/>
  <c r="AJ13" i="10"/>
  <c r="AN13" i="10" s="1"/>
  <c r="AF13" i="10"/>
  <c r="AC13" i="10"/>
  <c r="AG13" i="10" s="1"/>
  <c r="Y13" i="10"/>
  <c r="V13" i="10"/>
  <c r="Z13" i="10" s="1"/>
  <c r="R13" i="10"/>
  <c r="O13" i="10"/>
  <c r="S13" i="10" s="1"/>
  <c r="AO12" i="10"/>
  <c r="AP12" i="10" s="1"/>
  <c r="AQ12" i="10" s="1"/>
  <c r="AR12" i="10" s="1"/>
  <c r="AM12" i="10"/>
  <c r="AJ12" i="10"/>
  <c r="AN12" i="10" s="1"/>
  <c r="AF12" i="10"/>
  <c r="AC12" i="10"/>
  <c r="AG12" i="10" s="1"/>
  <c r="Y12" i="10"/>
  <c r="V12" i="10"/>
  <c r="Z12" i="10" s="1"/>
  <c r="R12" i="10"/>
  <c r="O12" i="10"/>
  <c r="S12" i="10" s="1"/>
  <c r="L12" i="10"/>
  <c r="AO11" i="10"/>
  <c r="AP11" i="10" s="1"/>
  <c r="AQ11" i="10" s="1"/>
  <c r="AR11" i="10" s="1"/>
  <c r="AM11" i="10"/>
  <c r="AJ11" i="10"/>
  <c r="AF11" i="10"/>
  <c r="AC11" i="10"/>
  <c r="AG11" i="10" s="1"/>
  <c r="Y11" i="10"/>
  <c r="V11" i="10"/>
  <c r="Z11" i="10" s="1"/>
  <c r="R11" i="10"/>
  <c r="O11" i="10"/>
  <c r="S11" i="10" s="1"/>
  <c r="AO10" i="10"/>
  <c r="AP10" i="10" s="1"/>
  <c r="AQ10" i="10" s="1"/>
  <c r="AR10" i="10" s="1"/>
  <c r="AM10" i="10"/>
  <c r="AJ10" i="10"/>
  <c r="AN10" i="10" s="1"/>
  <c r="AF10" i="10"/>
  <c r="AC10" i="10"/>
  <c r="AG10" i="10" s="1"/>
  <c r="Y10" i="10"/>
  <c r="V10" i="10"/>
  <c r="Z10" i="10" s="1"/>
  <c r="R10" i="10"/>
  <c r="O10" i="10"/>
  <c r="S10" i="10" s="1"/>
  <c r="L10" i="10"/>
  <c r="AO9" i="10"/>
  <c r="AP9" i="10" s="1"/>
  <c r="AQ9" i="10" s="1"/>
  <c r="AR9" i="10" s="1"/>
  <c r="AM9" i="10"/>
  <c r="AJ9" i="10"/>
  <c r="AF9" i="10"/>
  <c r="AC9" i="10"/>
  <c r="AG9" i="10" s="1"/>
  <c r="Y9" i="10"/>
  <c r="V9" i="10"/>
  <c r="Z9" i="10" s="1"/>
  <c r="R9" i="10"/>
  <c r="O9" i="10"/>
  <c r="L9" i="10"/>
  <c r="AO8" i="10"/>
  <c r="AP8" i="10" s="1"/>
  <c r="AQ8" i="10" s="1"/>
  <c r="AR8" i="10" s="1"/>
  <c r="AM8" i="10"/>
  <c r="AJ8" i="10"/>
  <c r="AN8" i="10" s="1"/>
  <c r="AF8" i="10"/>
  <c r="AC8" i="10"/>
  <c r="AG8" i="10" s="1"/>
  <c r="Y8" i="10"/>
  <c r="V8" i="10"/>
  <c r="Z8" i="10" s="1"/>
  <c r="R8" i="10"/>
  <c r="O8" i="10"/>
  <c r="L8" i="10"/>
  <c r="AO7" i="10"/>
  <c r="AP7" i="10" s="1"/>
  <c r="AQ7" i="10" s="1"/>
  <c r="AR7" i="10" s="1"/>
  <c r="AM7" i="10"/>
  <c r="AJ7" i="10"/>
  <c r="AN7" i="10" s="1"/>
  <c r="AF7" i="10"/>
  <c r="AC7" i="10"/>
  <c r="AG7" i="10" s="1"/>
  <c r="Y7" i="10"/>
  <c r="V7" i="10"/>
  <c r="R7" i="10"/>
  <c r="O7" i="10"/>
  <c r="S7" i="10" s="1"/>
  <c r="L7" i="10"/>
  <c r="AO6" i="10"/>
  <c r="AP6" i="10" s="1"/>
  <c r="AQ6" i="10" s="1"/>
  <c r="AR6" i="10" s="1"/>
  <c r="AM6" i="10"/>
  <c r="AJ6" i="10"/>
  <c r="AN6" i="10" s="1"/>
  <c r="AF6" i="10"/>
  <c r="AC6" i="10"/>
  <c r="Y6" i="10"/>
  <c r="V6" i="10"/>
  <c r="Z6" i="10" s="1"/>
  <c r="R6" i="10"/>
  <c r="O6" i="10"/>
  <c r="L6" i="10"/>
  <c r="AO5" i="10"/>
  <c r="AP5" i="10" s="1"/>
  <c r="AQ5" i="10" s="1"/>
  <c r="AR5" i="10" s="1"/>
  <c r="AM5" i="10"/>
  <c r="AJ5" i="10"/>
  <c r="AN5" i="10" s="1"/>
  <c r="AF5" i="10"/>
  <c r="AC5" i="10"/>
  <c r="AG5" i="10" s="1"/>
  <c r="Y5" i="10"/>
  <c r="V5" i="10"/>
  <c r="Z5" i="10" s="1"/>
  <c r="R5" i="10"/>
  <c r="O5" i="10"/>
  <c r="S5" i="10" s="1"/>
  <c r="L5" i="10"/>
  <c r="Y2" i="10"/>
  <c r="X2" i="10"/>
  <c r="W2" i="10"/>
  <c r="V2" i="10"/>
  <c r="U2" i="10"/>
  <c r="T2" i="10"/>
  <c r="C6" i="9"/>
  <c r="G53" i="3"/>
  <c r="D22" i="9" l="1"/>
  <c r="E22" i="9" s="1"/>
  <c r="F22" i="9" s="1"/>
  <c r="G22" i="9" s="1"/>
  <c r="H22" i="9" s="1"/>
  <c r="D15" i="9"/>
  <c r="E15" i="9" s="1"/>
  <c r="F15" i="9" s="1"/>
  <c r="D13" i="9"/>
  <c r="E13" i="9" s="1"/>
  <c r="F13" i="9" s="1"/>
  <c r="G13" i="9" s="1"/>
  <c r="H13" i="9" s="1"/>
  <c r="C24" i="9"/>
  <c r="C26" i="9" s="1"/>
  <c r="C18" i="9" s="1"/>
  <c r="C19" i="9" s="1"/>
  <c r="G10" i="9"/>
  <c r="H10" i="9" s="1"/>
  <c r="B24" i="9"/>
  <c r="B26" i="9" s="1"/>
  <c r="B30" i="9" s="1"/>
  <c r="B33" i="9" s="1"/>
  <c r="B36" i="9" s="1"/>
  <c r="B41" i="9" s="1"/>
  <c r="S6" i="10"/>
  <c r="AN11" i="10"/>
  <c r="AG14" i="10"/>
  <c r="Z17" i="10"/>
  <c r="Z7" i="10"/>
  <c r="S8" i="10"/>
  <c r="S16" i="10"/>
  <c r="AN19" i="10"/>
  <c r="AN9" i="10"/>
  <c r="AN17" i="10"/>
  <c r="AG6" i="10"/>
  <c r="S9" i="10"/>
  <c r="C30" i="9" l="1"/>
  <c r="C34" i="9" s="1"/>
  <c r="G15" i="9"/>
  <c r="H15" i="9" s="1"/>
  <c r="B37" i="9"/>
  <c r="C37" i="9"/>
  <c r="B18" i="9"/>
  <c r="B19" i="9" s="1"/>
  <c r="B34" i="9" l="1"/>
  <c r="H41" i="3"/>
  <c r="G41" i="3"/>
  <c r="H35" i="3"/>
  <c r="L47" i="3"/>
  <c r="H4" i="3"/>
  <c r="G4" i="3"/>
  <c r="H26" i="3"/>
  <c r="H20" i="3"/>
  <c r="G20" i="3"/>
  <c r="H42" i="3"/>
  <c r="G42" i="3"/>
  <c r="H36" i="3"/>
  <c r="G36" i="3"/>
  <c r="H27" i="3"/>
  <c r="G27" i="3"/>
  <c r="H21" i="3"/>
  <c r="G21" i="3"/>
  <c r="H11" i="3"/>
  <c r="G11" i="3"/>
  <c r="G19" i="6"/>
  <c r="D17" i="6"/>
  <c r="E17" i="6"/>
  <c r="F17" i="6"/>
  <c r="G17" i="6"/>
  <c r="H17" i="6"/>
  <c r="I17" i="6"/>
  <c r="C17" i="6"/>
  <c r="D16" i="6"/>
  <c r="E16" i="6"/>
  <c r="E19" i="6" s="1"/>
  <c r="F16" i="6"/>
  <c r="F19" i="6" s="1"/>
  <c r="G16" i="6"/>
  <c r="H16" i="6"/>
  <c r="I16" i="6"/>
  <c r="C16" i="6"/>
  <c r="C19" i="6" s="1"/>
  <c r="H19" i="6" l="1"/>
  <c r="D19" i="6"/>
  <c r="I19" i="6"/>
  <c r="H5" i="3"/>
  <c r="G5" i="3"/>
  <c r="D57" i="3"/>
  <c r="E57" i="3"/>
  <c r="F57" i="3"/>
  <c r="G57" i="3"/>
  <c r="H57" i="3"/>
  <c r="C57" i="3"/>
  <c r="D53" i="3"/>
  <c r="E53" i="3"/>
  <c r="F53" i="3"/>
  <c r="H53" i="3"/>
  <c r="C53" i="3"/>
  <c r="L50" i="3"/>
  <c r="K50" i="3"/>
  <c r="J50" i="3"/>
  <c r="I50" i="3"/>
  <c r="H50" i="3"/>
  <c r="G50" i="3"/>
  <c r="G55" i="3" s="1"/>
  <c r="F50" i="3"/>
  <c r="E50" i="3"/>
  <c r="D50" i="3"/>
  <c r="C50" i="3"/>
  <c r="K47" i="3"/>
  <c r="J47" i="3"/>
  <c r="I47" i="3"/>
  <c r="H47" i="3"/>
  <c r="G47" i="3"/>
  <c r="G35" i="3"/>
  <c r="L32" i="3"/>
  <c r="K32" i="3"/>
  <c r="J32" i="3"/>
  <c r="I32" i="3"/>
  <c r="H32" i="3"/>
  <c r="G32" i="3"/>
  <c r="G26" i="3"/>
  <c r="L16" i="3"/>
  <c r="K16" i="3"/>
  <c r="J16" i="3"/>
  <c r="I16" i="3"/>
  <c r="H16" i="3"/>
  <c r="G16" i="3"/>
  <c r="H10" i="3"/>
  <c r="G10" i="3"/>
  <c r="G59" i="3" l="1"/>
  <c r="H59" i="3"/>
  <c r="H55" i="3"/>
  <c r="H51" i="3"/>
  <c r="G51" i="3"/>
  <c r="I51" i="3"/>
  <c r="J51" i="3"/>
  <c r="K51" i="3"/>
  <c r="L51" i="3"/>
  <c r="C84" i="9"/>
  <c r="M6" i="13" l="1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C6" i="13"/>
  <c r="AD6" i="13"/>
  <c r="F5" i="2" l="1"/>
  <c r="G5" i="2"/>
  <c r="H5" i="2"/>
  <c r="I5" i="2"/>
  <c r="F14" i="2"/>
  <c r="G14" i="2"/>
  <c r="H14" i="2"/>
  <c r="I14" i="2"/>
  <c r="F15" i="2"/>
  <c r="G15" i="2"/>
  <c r="H15" i="2"/>
  <c r="I15" i="2"/>
  <c r="F16" i="2"/>
  <c r="G16" i="2"/>
  <c r="H16" i="2"/>
  <c r="I16" i="2"/>
  <c r="F18" i="2"/>
  <c r="G18" i="2"/>
  <c r="H18" i="2"/>
  <c r="I18" i="2"/>
  <c r="F24" i="2"/>
  <c r="G24" i="2"/>
  <c r="H24" i="2"/>
  <c r="I24" i="2"/>
  <c r="F46" i="2"/>
  <c r="G46" i="2"/>
  <c r="H46" i="2"/>
  <c r="I46" i="2"/>
  <c r="F49" i="2"/>
  <c r="G49" i="2"/>
  <c r="H49" i="2"/>
  <c r="I49" i="2"/>
  <c r="F51" i="2"/>
  <c r="G51" i="2"/>
  <c r="H51" i="2"/>
  <c r="I51" i="2"/>
  <c r="F53" i="2"/>
  <c r="G53" i="2"/>
  <c r="H53" i="2"/>
  <c r="I53" i="2"/>
  <c r="C3" i="11"/>
  <c r="D3" i="11"/>
  <c r="E3" i="11"/>
  <c r="F3" i="11"/>
  <c r="G3" i="11"/>
  <c r="C5" i="11"/>
  <c r="D5" i="11"/>
  <c r="E5" i="11"/>
  <c r="F5" i="11"/>
  <c r="G5" i="11"/>
  <c r="C7" i="11"/>
  <c r="F15" i="11"/>
  <c r="F16" i="11"/>
  <c r="F18" i="11"/>
  <c r="F19" i="11"/>
  <c r="F20" i="11"/>
  <c r="F22" i="11"/>
  <c r="F23" i="11"/>
  <c r="F25" i="11"/>
  <c r="F28" i="11"/>
  <c r="F29" i="11"/>
  <c r="F31" i="11"/>
  <c r="D5" i="9"/>
  <c r="E5" i="9"/>
  <c r="F5" i="9"/>
  <c r="G5" i="9"/>
  <c r="H5" i="9"/>
  <c r="D6" i="9"/>
  <c r="E6" i="9"/>
  <c r="F6" i="9"/>
  <c r="G6" i="9"/>
  <c r="H6" i="9"/>
  <c r="D8" i="9"/>
  <c r="E8" i="9"/>
  <c r="F8" i="9"/>
  <c r="G8" i="9"/>
  <c r="H8" i="9"/>
  <c r="D9" i="9"/>
  <c r="E9" i="9"/>
  <c r="F9" i="9"/>
  <c r="G9" i="9"/>
  <c r="H9" i="9"/>
  <c r="D12" i="9"/>
  <c r="E12" i="9"/>
  <c r="F12" i="9"/>
  <c r="G12" i="9"/>
  <c r="H12" i="9"/>
  <c r="D14" i="9"/>
  <c r="E14" i="9"/>
  <c r="F14" i="9"/>
  <c r="G14" i="9"/>
  <c r="H14" i="9"/>
  <c r="D18" i="9"/>
  <c r="E18" i="9"/>
  <c r="F18" i="9"/>
  <c r="G18" i="9"/>
  <c r="H18" i="9"/>
  <c r="D19" i="9"/>
  <c r="E19" i="9"/>
  <c r="F19" i="9"/>
  <c r="G19" i="9"/>
  <c r="H19" i="9"/>
  <c r="D21" i="9"/>
  <c r="E21" i="9"/>
  <c r="F21" i="9"/>
  <c r="G21" i="9"/>
  <c r="H21" i="9"/>
  <c r="D24" i="9"/>
  <c r="E24" i="9"/>
  <c r="F24" i="9"/>
  <c r="G24" i="9"/>
  <c r="H24" i="9"/>
  <c r="D26" i="9"/>
  <c r="E26" i="9"/>
  <c r="F26" i="9"/>
  <c r="G26" i="9"/>
  <c r="H26" i="9"/>
  <c r="D30" i="9"/>
  <c r="E30" i="9"/>
  <c r="F30" i="9"/>
  <c r="G30" i="9"/>
  <c r="H30" i="9"/>
  <c r="D32" i="9"/>
  <c r="E32" i="9"/>
  <c r="F32" i="9"/>
  <c r="G32" i="9"/>
  <c r="H32" i="9"/>
  <c r="D33" i="9"/>
  <c r="E33" i="9"/>
  <c r="F33" i="9"/>
  <c r="G33" i="9"/>
  <c r="H33" i="9"/>
  <c r="D36" i="9"/>
  <c r="E36" i="9"/>
  <c r="F36" i="9"/>
  <c r="G36" i="9"/>
  <c r="H36" i="9"/>
  <c r="D37" i="9"/>
  <c r="E37" i="9"/>
  <c r="F37" i="9"/>
  <c r="G37" i="9"/>
  <c r="H37" i="9"/>
  <c r="D41" i="9"/>
  <c r="E41" i="9"/>
  <c r="F41" i="9"/>
  <c r="G41" i="9"/>
  <c r="H41" i="9"/>
  <c r="D42" i="9"/>
  <c r="E42" i="9"/>
  <c r="F42" i="9"/>
  <c r="G42" i="9"/>
  <c r="H42" i="9"/>
  <c r="D53" i="9"/>
  <c r="E53" i="9"/>
  <c r="F53" i="9"/>
  <c r="G53" i="9"/>
  <c r="H53" i="9"/>
  <c r="D55" i="9"/>
  <c r="E55" i="9"/>
  <c r="F55" i="9"/>
  <c r="G55" i="9"/>
  <c r="H55" i="9"/>
  <c r="D64" i="9"/>
  <c r="E64" i="9"/>
  <c r="F64" i="9"/>
  <c r="G64" i="9"/>
  <c r="H64" i="9"/>
  <c r="E82" i="9"/>
  <c r="F82" i="9"/>
  <c r="G82" i="9"/>
  <c r="H82" i="9"/>
  <c r="E84" i="9"/>
  <c r="F84" i="9"/>
  <c r="G84" i="9"/>
  <c r="H84" i="9"/>
  <c r="D85" i="9"/>
  <c r="E85" i="9"/>
  <c r="F85" i="9"/>
  <c r="G85" i="9"/>
  <c r="H85" i="9"/>
  <c r="D87" i="9"/>
  <c r="E87" i="9"/>
  <c r="F87" i="9"/>
  <c r="G87" i="9"/>
  <c r="H87" i="9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AD3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AD4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K6" i="13"/>
  <c r="L6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V9" i="13"/>
  <c r="W9" i="13"/>
  <c r="X9" i="13"/>
  <c r="Y9" i="13"/>
  <c r="Z9" i="13"/>
  <c r="AA9" i="13"/>
  <c r="AB9" i="13"/>
  <c r="AC9" i="13"/>
  <c r="AD9" i="13"/>
  <c r="I10" i="13"/>
  <c r="J10" i="13"/>
  <c r="K10" i="13"/>
  <c r="L10" i="13"/>
  <c r="M10" i="13"/>
  <c r="N10" i="13"/>
  <c r="O10" i="13"/>
  <c r="P10" i="13"/>
  <c r="Q10" i="13"/>
  <c r="R10" i="13"/>
  <c r="S10" i="13"/>
  <c r="T10" i="13"/>
  <c r="U10" i="13"/>
  <c r="V10" i="13"/>
  <c r="W10" i="13"/>
  <c r="X10" i="13"/>
  <c r="Y10" i="13"/>
  <c r="Z10" i="13"/>
  <c r="AA10" i="13"/>
  <c r="AB10" i="13"/>
  <c r="AC10" i="13"/>
  <c r="AD10" i="13"/>
  <c r="I11" i="13"/>
  <c r="J11" i="13"/>
  <c r="K11" i="13"/>
  <c r="L11" i="13"/>
  <c r="M11" i="13"/>
  <c r="N11" i="13"/>
  <c r="O11" i="13"/>
  <c r="P11" i="13"/>
  <c r="Q11" i="13"/>
  <c r="R11" i="13"/>
  <c r="S11" i="13"/>
  <c r="T11" i="13"/>
  <c r="U11" i="13"/>
  <c r="V11" i="13"/>
  <c r="W11" i="13"/>
  <c r="X11" i="13"/>
  <c r="Y11" i="13"/>
  <c r="Z11" i="13"/>
  <c r="AA11" i="13"/>
  <c r="AB11" i="13"/>
  <c r="AC11" i="13"/>
  <c r="AD11" i="13"/>
  <c r="K12" i="13"/>
  <c r="L12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Z15" i="13"/>
  <c r="AA15" i="13"/>
  <c r="AB15" i="13"/>
  <c r="AC15" i="13"/>
  <c r="AD15" i="13"/>
  <c r="M16" i="13"/>
  <c r="N16" i="13"/>
  <c r="O16" i="13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Z19" i="13"/>
  <c r="AA19" i="13"/>
  <c r="AB19" i="13"/>
  <c r="AC19" i="13"/>
  <c r="AD19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Z20" i="13"/>
  <c r="AA20" i="13"/>
  <c r="AB20" i="13"/>
  <c r="AC20" i="13"/>
  <c r="AD20" i="13"/>
  <c r="I21" i="13"/>
  <c r="J21" i="13"/>
  <c r="K21" i="13"/>
  <c r="L21" i="13"/>
  <c r="M21" i="13"/>
  <c r="N21" i="13"/>
  <c r="O21" i="13"/>
  <c r="P21" i="13"/>
  <c r="Q21" i="13"/>
  <c r="R21" i="13"/>
  <c r="S21" i="13"/>
  <c r="T21" i="13"/>
  <c r="U21" i="13"/>
  <c r="V21" i="13"/>
  <c r="W21" i="13"/>
  <c r="X21" i="13"/>
  <c r="Y21" i="13"/>
  <c r="Z21" i="13"/>
  <c r="AA21" i="13"/>
  <c r="AB21" i="13"/>
  <c r="AC21" i="13"/>
  <c r="AD21" i="13"/>
  <c r="K22" i="13"/>
  <c r="L22" i="13"/>
  <c r="I25" i="13"/>
  <c r="J25" i="13"/>
  <c r="K25" i="13"/>
  <c r="L25" i="13"/>
  <c r="M25" i="13"/>
  <c r="N25" i="13"/>
  <c r="O25" i="13"/>
  <c r="P25" i="13"/>
  <c r="Q25" i="13"/>
  <c r="R25" i="13"/>
  <c r="S25" i="13"/>
  <c r="T25" i="13"/>
  <c r="U25" i="13"/>
  <c r="V25" i="13"/>
  <c r="W25" i="13"/>
  <c r="X25" i="13"/>
  <c r="Y25" i="13"/>
  <c r="Z25" i="13"/>
  <c r="AA25" i="13"/>
  <c r="AB25" i="13"/>
  <c r="AC25" i="13"/>
  <c r="AD25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K28" i="13"/>
  <c r="L28" i="13"/>
  <c r="M31" i="13"/>
  <c r="N31" i="13"/>
  <c r="O31" i="13"/>
  <c r="P31" i="13"/>
  <c r="Q31" i="13"/>
  <c r="R31" i="13"/>
  <c r="S31" i="13"/>
  <c r="T31" i="13"/>
  <c r="U31" i="13"/>
  <c r="V31" i="13"/>
  <c r="W31" i="13"/>
  <c r="X31" i="13"/>
  <c r="Y31" i="13"/>
  <c r="Z31" i="13"/>
  <c r="AA31" i="13"/>
  <c r="AB31" i="13"/>
  <c r="AC31" i="13"/>
  <c r="AD31" i="13"/>
  <c r="M32" i="13"/>
  <c r="N32" i="13"/>
  <c r="O32" i="13"/>
  <c r="P32" i="13"/>
  <c r="Q32" i="13"/>
  <c r="R32" i="13"/>
  <c r="S32" i="13"/>
  <c r="T32" i="13"/>
  <c r="U32" i="13"/>
  <c r="V32" i="13"/>
  <c r="W32" i="13"/>
  <c r="X32" i="13"/>
  <c r="Y32" i="13"/>
  <c r="Z32" i="13"/>
  <c r="AA32" i="13"/>
  <c r="AB32" i="13"/>
  <c r="AC32" i="13"/>
  <c r="AD32" i="13"/>
  <c r="I34" i="13"/>
  <c r="J34" i="13"/>
  <c r="K34" i="13"/>
  <c r="L34" i="13"/>
  <c r="M34" i="13"/>
  <c r="N34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I35" i="13"/>
  <c r="J35" i="13"/>
  <c r="K35" i="13"/>
  <c r="L35" i="13"/>
  <c r="M35" i="13"/>
  <c r="N35" i="13"/>
  <c r="O35" i="13"/>
  <c r="P35" i="13"/>
  <c r="Q35" i="13"/>
  <c r="R35" i="13"/>
  <c r="S35" i="13"/>
  <c r="T35" i="13"/>
  <c r="U35" i="13"/>
  <c r="V35" i="13"/>
  <c r="W35" i="13"/>
  <c r="X35" i="13"/>
  <c r="Y35" i="13"/>
  <c r="Z35" i="13"/>
  <c r="AA35" i="13"/>
  <c r="AB35" i="13"/>
  <c r="AC35" i="13"/>
  <c r="AD35" i="13"/>
  <c r="I36" i="13"/>
  <c r="J36" i="13"/>
  <c r="K36" i="13"/>
  <c r="L36" i="13"/>
  <c r="M36" i="13"/>
  <c r="N36" i="13"/>
  <c r="O36" i="13"/>
  <c r="P36" i="13"/>
  <c r="Q36" i="13"/>
  <c r="R36" i="13"/>
  <c r="S36" i="13"/>
  <c r="T36" i="13"/>
  <c r="U36" i="13"/>
  <c r="V36" i="13"/>
  <c r="W36" i="13"/>
  <c r="X36" i="13"/>
  <c r="Y36" i="13"/>
  <c r="Z36" i="13"/>
  <c r="AA36" i="13"/>
  <c r="AB36" i="13"/>
  <c r="AC36" i="13"/>
  <c r="AD36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V40" i="13"/>
  <c r="W40" i="13"/>
  <c r="X40" i="13"/>
  <c r="Y40" i="13"/>
  <c r="Z40" i="13"/>
  <c r="AA40" i="13"/>
  <c r="AB40" i="13"/>
  <c r="AC40" i="13"/>
  <c r="AD40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I42" i="13"/>
  <c r="J42" i="13"/>
  <c r="K42" i="13"/>
  <c r="L42" i="13"/>
  <c r="M42" i="13"/>
  <c r="N42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M47" i="13"/>
  <c r="N47" i="13"/>
  <c r="O47" i="13"/>
  <c r="P47" i="13"/>
  <c r="Q47" i="13"/>
  <c r="R47" i="13"/>
  <c r="S47" i="13"/>
  <c r="T47" i="13"/>
  <c r="U47" i="13"/>
  <c r="V47" i="13"/>
  <c r="W47" i="13"/>
  <c r="X47" i="13"/>
  <c r="Y47" i="13"/>
  <c r="Z47" i="13"/>
  <c r="AA47" i="13"/>
  <c r="AB47" i="13"/>
  <c r="AC47" i="13"/>
  <c r="AD47" i="13"/>
  <c r="M50" i="13"/>
  <c r="N50" i="13"/>
  <c r="O50" i="13"/>
  <c r="P50" i="13"/>
  <c r="Q50" i="13"/>
  <c r="R50" i="13"/>
  <c r="S50" i="13"/>
  <c r="T50" i="13"/>
  <c r="U50" i="13"/>
  <c r="V50" i="13"/>
  <c r="W50" i="13"/>
  <c r="X50" i="13"/>
  <c r="Y50" i="13"/>
  <c r="Z50" i="13"/>
  <c r="AA50" i="13"/>
  <c r="AB50" i="13"/>
  <c r="AC50" i="13"/>
  <c r="AD50" i="13"/>
  <c r="M51" i="13"/>
  <c r="N51" i="13"/>
  <c r="O51" i="13"/>
  <c r="P51" i="13"/>
  <c r="Q51" i="13"/>
  <c r="R51" i="13"/>
  <c r="S51" i="13"/>
  <c r="T51" i="13"/>
  <c r="U51" i="13"/>
  <c r="V51" i="13"/>
  <c r="W51" i="13"/>
  <c r="X51" i="13"/>
  <c r="Y51" i="13"/>
  <c r="Z51" i="13"/>
  <c r="AA51" i="13"/>
  <c r="AB51" i="13"/>
  <c r="AC51" i="13"/>
  <c r="AD51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V53" i="13"/>
  <c r="W53" i="13"/>
  <c r="X53" i="13"/>
  <c r="Y53" i="13"/>
  <c r="Z53" i="13"/>
  <c r="AA53" i="13"/>
  <c r="AB53" i="13"/>
  <c r="AC53" i="13"/>
  <c r="AD53" i="13"/>
  <c r="K54" i="13"/>
  <c r="L54" i="13"/>
  <c r="M54" i="13"/>
  <c r="N54" i="13"/>
  <c r="O54" i="13"/>
  <c r="P54" i="13"/>
  <c r="Q54" i="13"/>
  <c r="R54" i="13"/>
  <c r="S54" i="13"/>
  <c r="T54" i="13"/>
  <c r="U54" i="13"/>
  <c r="V54" i="13"/>
  <c r="W54" i="13"/>
  <c r="X54" i="13"/>
  <c r="Y54" i="13"/>
  <c r="Z54" i="13"/>
  <c r="AA54" i="13"/>
  <c r="AB54" i="13"/>
  <c r="AC54" i="13"/>
  <c r="AD54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V55" i="13"/>
  <c r="W55" i="13"/>
  <c r="X55" i="13"/>
  <c r="Y55" i="13"/>
  <c r="Z55" i="13"/>
  <c r="AA55" i="13"/>
  <c r="AB55" i="13"/>
  <c r="AC55" i="13"/>
  <c r="AD55" i="13"/>
  <c r="I57" i="13"/>
  <c r="J57" i="13"/>
  <c r="K57" i="13"/>
  <c r="L57" i="13"/>
  <c r="M57" i="13"/>
  <c r="N57" i="13"/>
  <c r="O57" i="13"/>
  <c r="P57" i="13"/>
  <c r="Q57" i="13"/>
  <c r="R57" i="13"/>
  <c r="S57" i="13"/>
  <c r="T57" i="13"/>
  <c r="U57" i="13"/>
  <c r="V57" i="13"/>
  <c r="W57" i="13"/>
  <c r="X57" i="13"/>
  <c r="Y57" i="13"/>
  <c r="Z57" i="13"/>
  <c r="AA57" i="13"/>
  <c r="AB57" i="13"/>
  <c r="AC57" i="13"/>
  <c r="AD57" i="13"/>
  <c r="K58" i="13"/>
  <c r="L58" i="13"/>
  <c r="M58" i="13"/>
  <c r="N58" i="13"/>
  <c r="O58" i="13"/>
  <c r="P58" i="13"/>
  <c r="Q58" i="13"/>
  <c r="R58" i="13"/>
  <c r="S58" i="13"/>
  <c r="T58" i="13"/>
  <c r="U58" i="13"/>
  <c r="V58" i="13"/>
  <c r="W58" i="13"/>
  <c r="X58" i="13"/>
  <c r="Y58" i="13"/>
  <c r="Z58" i="13"/>
  <c r="AA58" i="13"/>
  <c r="AB58" i="13"/>
  <c r="AC58" i="13"/>
  <c r="AD58" i="13"/>
  <c r="I59" i="13"/>
  <c r="J59" i="13"/>
  <c r="K59" i="13"/>
  <c r="L59" i="13"/>
  <c r="M59" i="13"/>
  <c r="N59" i="13"/>
  <c r="O59" i="13"/>
  <c r="P59" i="13"/>
  <c r="Q59" i="13"/>
  <c r="R59" i="13"/>
  <c r="S59" i="13"/>
  <c r="T59" i="13"/>
  <c r="U59" i="13"/>
  <c r="V59" i="13"/>
  <c r="W59" i="13"/>
  <c r="X59" i="13"/>
  <c r="Y59" i="13"/>
  <c r="Z59" i="13"/>
  <c r="AA59" i="13"/>
  <c r="AB59" i="13"/>
  <c r="AC59" i="13"/>
  <c r="AD59" i="1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K6" i="3"/>
  <c r="L6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K12" i="3"/>
  <c r="L12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K22" i="3"/>
  <c r="L22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K28" i="3"/>
  <c r="L28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E4" i="12"/>
  <c r="F4" i="12"/>
  <c r="G4" i="12"/>
  <c r="H4" i="12"/>
  <c r="I4" i="12"/>
  <c r="E6" i="12"/>
  <c r="F6" i="12"/>
  <c r="G6" i="12"/>
  <c r="H6" i="12"/>
  <c r="I6" i="12"/>
  <c r="F8" i="12"/>
  <c r="G8" i="12"/>
  <c r="H8" i="12"/>
  <c r="I8" i="12"/>
  <c r="F10" i="12"/>
  <c r="G10" i="12"/>
  <c r="H10" i="12"/>
  <c r="I10" i="12"/>
  <c r="E12" i="12"/>
  <c r="F12" i="12"/>
  <c r="G12" i="12"/>
  <c r="H12" i="12"/>
  <c r="I12" i="12"/>
  <c r="E14" i="12"/>
  <c r="F14" i="12"/>
  <c r="G14" i="12"/>
  <c r="H14" i="12"/>
  <c r="I14" i="12"/>
  <c r="E16" i="12"/>
  <c r="F16" i="12"/>
  <c r="G16" i="12"/>
  <c r="H16" i="12"/>
  <c r="I16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5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</futureMetadata>
  <cellMetadata count="1">
    <bk>
      <rc t="1" v="0"/>
    </bk>
  </cellMetadata>
  <valueMetadata count="75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</valueMetadata>
</metadata>
</file>

<file path=xl/sharedStrings.xml><?xml version="1.0" encoding="utf-8"?>
<sst xmlns="http://schemas.openxmlformats.org/spreadsheetml/2006/main" count="566" uniqueCount="370">
  <si>
    <t>Income Statement</t>
  </si>
  <si>
    <t>Q3 2024</t>
  </si>
  <si>
    <t>Q4 2024</t>
  </si>
  <si>
    <t xml:space="preserve">Q1 2025 </t>
  </si>
  <si>
    <t>Q2 2025</t>
  </si>
  <si>
    <t>Q3 2025</t>
  </si>
  <si>
    <t>Q4 2025</t>
  </si>
  <si>
    <t>Q1 2026</t>
  </si>
  <si>
    <t>Q2 2026</t>
  </si>
  <si>
    <t>Q3 2026</t>
  </si>
  <si>
    <t>Q4 2026</t>
  </si>
  <si>
    <t>Q1 2027</t>
  </si>
  <si>
    <t>Q2 2027</t>
  </si>
  <si>
    <t>Q3 2027</t>
  </si>
  <si>
    <t>Q4 2027</t>
  </si>
  <si>
    <t>Q1 2028</t>
  </si>
  <si>
    <t>Q2 2028</t>
  </si>
  <si>
    <t>Q3 2028</t>
  </si>
  <si>
    <t>Q4 2028</t>
  </si>
  <si>
    <t xml:space="preserve"> </t>
  </si>
  <si>
    <t>Revenue</t>
  </si>
  <si>
    <t>-</t>
  </si>
  <si>
    <t>Cost Of Goods Sold</t>
  </si>
  <si>
    <t xml:space="preserve">  Gross Profit</t>
  </si>
  <si>
    <t>Gross Margin</t>
  </si>
  <si>
    <t xml:space="preserve">  Operating Income</t>
  </si>
  <si>
    <t>Interest Expense</t>
  </si>
  <si>
    <t xml:space="preserve">  EBT Excl. Unusual Items</t>
  </si>
  <si>
    <t>Income Tax Expense</t>
  </si>
  <si>
    <t xml:space="preserve">  Earnings from Cont. Ops.</t>
  </si>
  <si>
    <t>Tax %</t>
  </si>
  <si>
    <t xml:space="preserve">  Net Income</t>
  </si>
  <si>
    <t>Cash Flow Statement</t>
  </si>
  <si>
    <t>Net Income</t>
  </si>
  <si>
    <t>Depreciation &amp; Amort., Total</t>
  </si>
  <si>
    <t>Capital Expenditure</t>
  </si>
  <si>
    <t>D&amp;A % of Capex</t>
  </si>
  <si>
    <t>Change in NWC</t>
  </si>
  <si>
    <t>Change in NWC as % of Rev</t>
  </si>
  <si>
    <t>UFCF</t>
  </si>
  <si>
    <t>NOPAT</t>
  </si>
  <si>
    <t>Market Cap</t>
  </si>
  <si>
    <t xml:space="preserve">BIRK
</t>
  </si>
  <si>
    <t xml:space="preserve">Balance Sheet as of:
</t>
  </si>
  <si>
    <t>ASSETS</t>
  </si>
  <si>
    <t xml:space="preserve">  Total Cash &amp; ST Investments</t>
  </si>
  <si>
    <t>Accounts Receivable</t>
  </si>
  <si>
    <t>Other Receivables</t>
  </si>
  <si>
    <t xml:space="preserve">  Total Receivables</t>
  </si>
  <si>
    <t>Inventory</t>
  </si>
  <si>
    <t>Prepaid Exp.</t>
  </si>
  <si>
    <t>Other Current Assets</t>
  </si>
  <si>
    <t xml:space="preserve">  Total Current Assets</t>
  </si>
  <si>
    <t>NWC</t>
  </si>
  <si>
    <t xml:space="preserve">  Net Property, Plant &amp; Equipment</t>
  </si>
  <si>
    <t>Goodwill</t>
  </si>
  <si>
    <t>Other Intangibles</t>
  </si>
  <si>
    <t>Deferred Tax Assets, LT</t>
  </si>
  <si>
    <t>Other Long-Term Assets</t>
  </si>
  <si>
    <t>Total Assets</t>
  </si>
  <si>
    <t>LIABILITIES</t>
  </si>
  <si>
    <t>Accounts Payable</t>
  </si>
  <si>
    <t>Accrued Exp.</t>
  </si>
  <si>
    <t>Curr. Port. of LT Debt</t>
  </si>
  <si>
    <t>Curr. Port. of Leases</t>
  </si>
  <si>
    <t>Curr. Income Taxes Payable</t>
  </si>
  <si>
    <t>Unearned Revenue, Current</t>
  </si>
  <si>
    <t>Other Current Liabilities</t>
  </si>
  <si>
    <t xml:space="preserve">  Total Current Liabilities</t>
  </si>
  <si>
    <t>Long-Term Debt</t>
  </si>
  <si>
    <t>Long-Term Leases</t>
  </si>
  <si>
    <t>Unearned Revenue, Non-Current</t>
  </si>
  <si>
    <t>Pension &amp; Other Post-Retire. Benefits</t>
  </si>
  <si>
    <t>Def. Tax Liability, Non-Curr.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</si>
  <si>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</si>
  <si>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</si>
  <si>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</si>
  <si>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</si>
  <si>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</si>
  <si>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</si>
  <si>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Comprehensive Inc. and Other</t>
  </si>
  <si>
    <t xml:space="preserve">  Total Common Equity</t>
  </si>
  <si>
    <t>Total Equity</t>
  </si>
  <si>
    <t>Total Liabilities And Equity</t>
  </si>
  <si>
    <t>America B2B</t>
  </si>
  <si>
    <t>America DTC</t>
  </si>
  <si>
    <t>Europe B2B</t>
  </si>
  <si>
    <t>Europe DTC</t>
  </si>
  <si>
    <t>APMA B2B</t>
  </si>
  <si>
    <t>APMA DTC</t>
  </si>
  <si>
    <t>B2B % of Total America Revenue</t>
  </si>
  <si>
    <t>DTC % of Total America Revenue</t>
  </si>
  <si>
    <t>America YoY Growth</t>
  </si>
  <si>
    <t>B2B % of Total Europe Revenue</t>
  </si>
  <si>
    <t>DTC % of Total Europe Revenue</t>
  </si>
  <si>
    <t>B2B % of Total APMA Revenue</t>
  </si>
  <si>
    <t>DTC % of Total APMA Revenue</t>
  </si>
  <si>
    <t>Europe YoY Growth</t>
  </si>
  <si>
    <t>APMA YoY Growth</t>
  </si>
  <si>
    <t>Total Revenue</t>
  </si>
  <si>
    <t>America Total Revenue</t>
  </si>
  <si>
    <t>Europe Total Revenue</t>
  </si>
  <si>
    <t>APMA Total Revenue</t>
  </si>
  <si>
    <t>Net Debt</t>
  </si>
  <si>
    <t>Total DTC</t>
  </si>
  <si>
    <t>Total B2B</t>
  </si>
  <si>
    <t>Median</t>
  </si>
  <si>
    <t>Operating Exp., Total</t>
  </si>
  <si>
    <t>Capex % of Revenue</t>
  </si>
  <si>
    <t>America B2B Volume</t>
  </si>
  <si>
    <t>America B2B ASP</t>
  </si>
  <si>
    <t>America DTC Volume</t>
  </si>
  <si>
    <t>America DTC ASP</t>
  </si>
  <si>
    <t>Discount Period</t>
  </si>
  <si>
    <t>NPV of UFCF</t>
  </si>
  <si>
    <t>WACC</t>
  </si>
  <si>
    <t>Terminal Value</t>
  </si>
  <si>
    <t>Perpetuity</t>
  </si>
  <si>
    <t>NPV of Terminal Value</t>
  </si>
  <si>
    <t>Implied EV</t>
  </si>
  <si>
    <t>Current EV</t>
  </si>
  <si>
    <t>Current Equity value</t>
  </si>
  <si>
    <t>Implied Equity value</t>
  </si>
  <si>
    <t>Implied Share Price</t>
  </si>
  <si>
    <t>Implied Upside</t>
  </si>
  <si>
    <t>Company Name</t>
  </si>
  <si>
    <t>NIKE, Inc. (NYSE:NKE)</t>
  </si>
  <si>
    <t>Wolverine World Wide, Inc. (NYSE:WWW)</t>
  </si>
  <si>
    <t>Deckers Outdoor Corporation (NYSE:DECK)</t>
  </si>
  <si>
    <t>Steven Madden, Ltd. (NasdaqGS:SHOO)</t>
  </si>
  <si>
    <t>Lululemon Athletica Inc. (NasdaqGS:LULU)</t>
  </si>
  <si>
    <t>Capri Holdings Limited (NYSE:CPRI)</t>
  </si>
  <si>
    <t>Revolve Group, Inc. (NYSE:RVLV)</t>
  </si>
  <si>
    <t>On Holding AG (NYSE:ONON)</t>
  </si>
  <si>
    <t>Under Armour, Inc. (NYSE:UAA)</t>
  </si>
  <si>
    <t>Crocs, Inc. (NasdaqGS:CROX)</t>
  </si>
  <si>
    <t>PUMA SE (XTRA:PUM)</t>
  </si>
  <si>
    <t>Birkenstock Holding plc (NYSE:BIRK)</t>
  </si>
  <si>
    <t>Market Capitalization Latest</t>
  </si>
  <si>
    <t>TEV/Total Revenues LTM - Latest</t>
  </si>
  <si>
    <t>TEV/EBITDA LTM - Latest</t>
  </si>
  <si>
    <t xml:space="preserve">LTM Gross Margin % </t>
  </si>
  <si>
    <t xml:space="preserve">LTM EBITDA Margin % </t>
  </si>
  <si>
    <t xml:space="preserve">LTM Total Revenues, 1 Yr Growth % </t>
  </si>
  <si>
    <t xml:space="preserve">LTM EBITDA, 1 Yr Growth % </t>
  </si>
  <si>
    <t>Stdev</t>
  </si>
  <si>
    <t>WACC calculation</t>
  </si>
  <si>
    <t>RFR</t>
  </si>
  <si>
    <t>Tax Rate</t>
  </si>
  <si>
    <t>Cost of Debt</t>
  </si>
  <si>
    <t>Beta</t>
  </si>
  <si>
    <t>Market Risk Premium</t>
  </si>
  <si>
    <t>Cost of Equity</t>
  </si>
  <si>
    <t>% Debt</t>
  </si>
  <si>
    <t>Europe B2B volume</t>
  </si>
  <si>
    <t>Europe B2B ASP</t>
  </si>
  <si>
    <t>Europe DTC volume</t>
  </si>
  <si>
    <t>Europe DTC ASP</t>
  </si>
  <si>
    <t>APMA B2B volume</t>
  </si>
  <si>
    <t>APMA B2B ASP</t>
  </si>
  <si>
    <t>APMA DTC volume</t>
  </si>
  <si>
    <t>APMA DTC ASP</t>
  </si>
  <si>
    <t>FY 2027</t>
  </si>
  <si>
    <t>FY 2028</t>
  </si>
  <si>
    <t>FY 2026</t>
  </si>
  <si>
    <t>FY 2025</t>
  </si>
  <si>
    <t>FY 2024</t>
  </si>
  <si>
    <t>DTC % of Total Revenue</t>
  </si>
  <si>
    <t>B2B YoY Growth</t>
  </si>
  <si>
    <t>DTC YoY Growth</t>
  </si>
  <si>
    <t>B2B % of Total Revenue</t>
  </si>
  <si>
    <t>DTC Vol YoY Growth</t>
  </si>
  <si>
    <t>B2B Vol YoY Growth</t>
  </si>
  <si>
    <t>General &amp; Admin</t>
  </si>
  <si>
    <t>Selling and Distribution</t>
  </si>
  <si>
    <t>Foreign Exchange Gain (Loss)</t>
  </si>
  <si>
    <t>Divisional Sales and EBIT Summary</t>
  </si>
  <si>
    <t>Eur mn, September Year End</t>
  </si>
  <si>
    <t>FY18</t>
  </si>
  <si>
    <t>FY19</t>
  </si>
  <si>
    <t>1Q20</t>
  </si>
  <si>
    <t>2Q20</t>
  </si>
  <si>
    <t>1H20</t>
  </si>
  <si>
    <t>3Q20</t>
  </si>
  <si>
    <t>4Q20</t>
  </si>
  <si>
    <t>2H20</t>
  </si>
  <si>
    <t>FY20</t>
  </si>
  <si>
    <t>1Q21</t>
  </si>
  <si>
    <t>2Q21</t>
  </si>
  <si>
    <t>1H21</t>
  </si>
  <si>
    <t>3Q21</t>
  </si>
  <si>
    <t>4Q21</t>
  </si>
  <si>
    <t>2H21</t>
  </si>
  <si>
    <t>FY21</t>
  </si>
  <si>
    <t>FY22</t>
  </si>
  <si>
    <t>1Q23</t>
  </si>
  <si>
    <t>2Q23</t>
  </si>
  <si>
    <t>1H23</t>
  </si>
  <si>
    <t>3Q23</t>
  </si>
  <si>
    <t>4Q23</t>
  </si>
  <si>
    <t>2H23</t>
  </si>
  <si>
    <t>FY23</t>
  </si>
  <si>
    <t>1Q24</t>
  </si>
  <si>
    <t>2Q24</t>
  </si>
  <si>
    <t>1H24E</t>
  </si>
  <si>
    <t>3Q24E</t>
  </si>
  <si>
    <t>4Q24E</t>
  </si>
  <si>
    <t>2H24E</t>
  </si>
  <si>
    <t>FY24E</t>
  </si>
  <si>
    <t>FY25E</t>
  </si>
  <si>
    <t>FY26E</t>
  </si>
  <si>
    <t>FY27E</t>
  </si>
  <si>
    <t>FY28E</t>
  </si>
  <si>
    <t>FX Assumptions</t>
  </si>
  <si>
    <t>dec</t>
  </si>
  <si>
    <t>mar</t>
  </si>
  <si>
    <t>june</t>
  </si>
  <si>
    <t>sept</t>
  </si>
  <si>
    <t>USD / Eur</t>
  </si>
  <si>
    <t>HKD / Eur</t>
  </si>
  <si>
    <t>CNY / Eur</t>
  </si>
  <si>
    <t>Yen / Eur</t>
  </si>
  <si>
    <t>RBL / Eur</t>
  </si>
  <si>
    <t>GBP/ Eur</t>
  </si>
  <si>
    <t>AED / Eur</t>
  </si>
  <si>
    <t>CHF / Eur</t>
  </si>
  <si>
    <t>DKK / Eur</t>
  </si>
  <si>
    <t>BRR / Eur</t>
  </si>
  <si>
    <t>INR / Eur</t>
  </si>
  <si>
    <t>AUD / Eur</t>
  </si>
  <si>
    <t>THB / Eur</t>
  </si>
  <si>
    <t>KRW / Eur</t>
  </si>
  <si>
    <t>CAD/Eur</t>
  </si>
  <si>
    <t>S&amp;M&amp;D % of Revenue</t>
  </si>
  <si>
    <t>G&amp;A % of Revenue</t>
  </si>
  <si>
    <t>Depreciation and Amortization</t>
  </si>
  <si>
    <t>EBITDA</t>
  </si>
  <si>
    <t>% Equity</t>
  </si>
  <si>
    <t>BIRK current (10/27) share price</t>
  </si>
  <si>
    <t>BIRK shares outstanding</t>
  </si>
  <si>
    <t>BB grade bond YTM</t>
  </si>
  <si>
    <t>Sum of NPV's</t>
  </si>
  <si>
    <t>Terminal Growth</t>
  </si>
  <si>
    <t>Consensus</t>
  </si>
  <si>
    <t>Variance</t>
  </si>
  <si>
    <t>Implied</t>
  </si>
  <si>
    <t>EBITDA Margin</t>
  </si>
  <si>
    <t>Toggle</t>
  </si>
  <si>
    <t>Revenue Growth YoY</t>
  </si>
  <si>
    <t>Consensus from Visible Alpha</t>
  </si>
  <si>
    <t>Margin Variance due to DTC having higher margins</t>
  </si>
  <si>
    <t>5 Year Beta</t>
  </si>
  <si>
    <t>2 Year Beta</t>
  </si>
  <si>
    <t xml:space="preserve">LTM EBITDA / Interest Exp. </t>
  </si>
  <si>
    <t>NM</t>
  </si>
  <si>
    <t>PreQ</t>
  </si>
  <si>
    <t>Surprise</t>
  </si>
  <si>
    <t>Constant currency impact - Total(%)</t>
  </si>
  <si>
    <t>Total revenue - B2B - Americas</t>
  </si>
  <si>
    <t>Total revenue - DTC - Americas</t>
  </si>
  <si>
    <t>Total revenue - Americas</t>
  </si>
  <si>
    <t>Total revenue - B2B - Europe</t>
  </si>
  <si>
    <t>Total revenue - DTC - Europe</t>
  </si>
  <si>
    <t>Total revenue - Europe</t>
  </si>
  <si>
    <t>Total revenue - B2B - APMA</t>
  </si>
  <si>
    <t>Total revenue - DTC - APMA</t>
  </si>
  <si>
    <t>Total revenue - APMA</t>
  </si>
  <si>
    <t>Total revenue</t>
  </si>
  <si>
    <t>Net income/(loss)</t>
  </si>
  <si>
    <t>Net income/(loss) - Operating</t>
  </si>
  <si>
    <t>VA Actuals</t>
  </si>
  <si>
    <t>Source: Visible Alpha</t>
  </si>
  <si>
    <t>3Q FY-2024, Aug 29th</t>
  </si>
  <si>
    <t>FY 28</t>
  </si>
  <si>
    <t>FY 24</t>
  </si>
  <si>
    <t>American DTC</t>
  </si>
  <si>
    <t>Pre-Earnings UBS ER - Buy</t>
  </si>
  <si>
    <t>Pre-Earnings Goldman ER - Hold</t>
  </si>
  <si>
    <t>Post-Earnings BNP ER - Neutral</t>
  </si>
  <si>
    <t>Analyst Earnings Reaction</t>
  </si>
  <si>
    <t>Source: Equity Research Reports from Goldman Sachs, BNP, and UBS</t>
  </si>
  <si>
    <t>BIRK</t>
  </si>
  <si>
    <t>VOO</t>
  </si>
  <si>
    <t>Date</t>
  </si>
  <si>
    <t>Geography</t>
  </si>
  <si>
    <t>America</t>
  </si>
  <si>
    <t>APAC</t>
  </si>
  <si>
    <t>Europe</t>
  </si>
  <si>
    <t>Gender</t>
  </si>
  <si>
    <t>Male</t>
  </si>
  <si>
    <t>Female</t>
  </si>
  <si>
    <t>Age</t>
  </si>
  <si>
    <t>Gen X</t>
  </si>
  <si>
    <t>Milennials</t>
  </si>
  <si>
    <t>Baby Boomers</t>
  </si>
  <si>
    <t>Gen Z</t>
  </si>
  <si>
    <t>Income</t>
  </si>
  <si>
    <t>50-100k</t>
  </si>
  <si>
    <t>100-200k</t>
  </si>
  <si>
    <t>&lt;50k</t>
  </si>
  <si>
    <t>200-300k</t>
  </si>
  <si>
    <t>300k+</t>
  </si>
  <si>
    <t>Currency: EUR</t>
  </si>
  <si>
    <t>Q4 2021</t>
  </si>
  <si>
    <t>Q4 2022</t>
  </si>
  <si>
    <t>Q4 2023</t>
  </si>
  <si>
    <t>Q1 2022</t>
  </si>
  <si>
    <t>Q2 2022</t>
  </si>
  <si>
    <t>Q3 2022</t>
  </si>
  <si>
    <t>Q1 2023</t>
  </si>
  <si>
    <t>Q2 2023</t>
  </si>
  <si>
    <t>Q3 2023</t>
  </si>
  <si>
    <t>Q1 2024</t>
  </si>
  <si>
    <t>Q2 2024</t>
  </si>
  <si>
    <t xml:space="preserve">Birkenstock Revenue Build
</t>
  </si>
  <si>
    <t>Variance Analysis</t>
  </si>
  <si>
    <t>Year</t>
  </si>
  <si>
    <t xml:space="preserve">Exit TEV/EBITDA: </t>
  </si>
  <si>
    <t>Multiple</t>
  </si>
  <si>
    <t>Avg NPV of Terminal Value</t>
  </si>
  <si>
    <t>YoY Growth %</t>
  </si>
  <si>
    <t>(in $EUR millions )</t>
  </si>
  <si>
    <t>Margin Variance</t>
  </si>
  <si>
    <t>BIRK Stdev</t>
  </si>
  <si>
    <t>Change in Forecasts from Earnings</t>
  </si>
  <si>
    <t>VOO (Rebased)</t>
  </si>
  <si>
    <t>Source: Factset</t>
  </si>
  <si>
    <t>Revenue Variance due to expansion from B2B to DTC customers &amp; higher ASP</t>
  </si>
  <si>
    <t>Source: Company Reports</t>
  </si>
  <si>
    <t>Bear Case: -1, Base Case: 0, Bull Case: 1</t>
  </si>
  <si>
    <t>Source: Capital IQ</t>
  </si>
  <si>
    <t>Other Amortization</t>
  </si>
  <si>
    <t>(Gain) Loss From Sale Of Assets</t>
  </si>
  <si>
    <t>Provision &amp; Write-off of Bad debts</t>
  </si>
  <si>
    <t>Other Operating Activities</t>
  </si>
  <si>
    <t>Change in Acc. Receivable</t>
  </si>
  <si>
    <t>Change In Inventories</t>
  </si>
  <si>
    <t>Change in Acc. Payable</t>
  </si>
  <si>
    <t>Change in Unearned Rev.</t>
  </si>
  <si>
    <t>Change in Other Net Operating Assets</t>
  </si>
  <si>
    <t>Cash from Operating Activites</t>
  </si>
  <si>
    <t>Sale of Property, Plant, and Equipment</t>
  </si>
  <si>
    <t>Cash Acquisitions</t>
  </si>
  <si>
    <t>Divestitures</t>
  </si>
  <si>
    <t>Sale (Purchase) of Intangible assets</t>
  </si>
  <si>
    <t>Invest. in Marketable &amp; Equity Securt.</t>
  </si>
  <si>
    <t>Net (Inc.) Dec. in Loans Originated/Sold</t>
  </si>
  <si>
    <t>Other Investing Activities</t>
  </si>
  <si>
    <t xml:space="preserve">  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</si>
  <si>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</si>
  <si>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</si>
  <si>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</si>
  <si>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</si>
  <si>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</si>
  <si>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</si>
  <si>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</si>
  <si>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Total Dividends Paid</t>
  </si>
  <si>
    <t>Special Dividend Paid</t>
  </si>
  <si>
    <t>Other Financing Activities</t>
  </si>
  <si>
    <t xml:space="preserve">  Cash from Financing</t>
  </si>
  <si>
    <t>Foreign Exchange Rate Adj.</t>
  </si>
  <si>
    <t xml:space="preserve">  Net Change in Cash</t>
  </si>
  <si>
    <t>EUR</t>
  </si>
  <si>
    <t>Rev</t>
  </si>
  <si>
    <t>Growth</t>
  </si>
  <si>
    <t>Select Case</t>
  </si>
  <si>
    <t>Best</t>
  </si>
  <si>
    <t>base</t>
  </si>
  <si>
    <t>worst</t>
  </si>
  <si>
    <t>% 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</si>
</sst>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_)\ ;_(* 0_)"/>
    <numFmt numFmtId="165" formatCode="0.0%"/>
    <numFmt numFmtId="166" formatCode="0.0"/>
    <numFmt numFmtId="167" formatCode="_(\ #,##0.0_);_(\ \(#,##0.0\)_);_(\ &quot; - &quot;_)"/>
    <numFmt numFmtId="168" formatCode="#,##0.0\x"/>
    <numFmt numFmtId="169" formatCode="_(#,##0.0%_);_(\(#,##0.0%\)_);_(#,##0.0%_)"/>
    <numFmt numFmtId="170" formatCode="_(#,##0.00%_);_(\(#,##0.00%\)_);_(#,##0.00%_)"/>
    <numFmt numFmtId="171" formatCode="0&quot;E&quot;"/>
    <numFmt numFmtId="172" formatCode="#,##0;\(#,##0\);\-"/>
    <numFmt numFmtId="173" formatCode="#,##0.00;[Red]\(#,##0.00\)"/>
    <numFmt numFmtId="174" formatCode="_(* #,##0.0_);_(* \(#,##0.0\);_(* &quot;-&quot;??_);_(@_)"/>
    <numFmt numFmtId="175" formatCode="0.000%"/>
    <numFmt numFmtId="176" formatCode="_(\ #,##0.0#_);_(\(\ #,##0.0#\)_);_(\ &quot; - &quot;_)"/>
  </numFmts>
  <fonts count="3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indexed="8"/>
      <name val="Aptos Narrow"/>
      <family val="2"/>
      <scheme val="minor"/>
    </font>
    <font>
      <b/>
      <i/>
      <sz val="12"/>
      <color indexed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8"/>
      <name val="Aptos Narrow"/>
      <family val="2"/>
      <scheme val="minor"/>
    </font>
    <font>
      <sz val="10"/>
      <name val="Roboto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70C0"/>
      <name val="Aptos Narrow"/>
      <scheme val="minor"/>
    </font>
    <font>
      <b/>
      <sz val="12"/>
      <color rgb="FF000000"/>
      <name val="Aptos Narrow"/>
      <scheme val="minor"/>
    </font>
    <font>
      <b/>
      <i/>
      <sz val="12"/>
      <color rgb="FFFF0000"/>
      <name val="Aptos Narrow"/>
      <scheme val="minor"/>
    </font>
    <font>
      <i/>
      <sz val="10"/>
      <color theme="1"/>
      <name val="Aptos Narrow"/>
      <scheme val="minor"/>
    </font>
    <font>
      <i/>
      <sz val="8"/>
      <color theme="1"/>
      <name val="Aptos Narrow (Body)"/>
    </font>
    <font>
      <b/>
      <sz val="12"/>
      <color indexed="8"/>
      <name val="Aptos Narrow"/>
      <scheme val="minor"/>
    </font>
    <font>
      <sz val="12"/>
      <color indexed="8"/>
      <name val="Aptos Narrow"/>
      <scheme val="minor"/>
    </font>
    <font>
      <b/>
      <i/>
      <sz val="12"/>
      <color indexed="8"/>
      <name val="Aptos Narrow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  <font>
      <sz val="11"/>
      <color rgb="FF0000FF"/>
      <name val="Aptos Narrow"/>
      <scheme val="minor"/>
    </font>
    <font>
      <b/>
      <sz val="11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2"/>
      <color theme="9"/>
      <name val="Aptos Narrow"/>
      <scheme val="minor"/>
    </font>
    <font>
      <u/>
      <sz val="12"/>
      <color theme="1"/>
      <name val="Aptos Narrow"/>
      <family val="2"/>
      <scheme val="minor"/>
    </font>
    <font>
      <i/>
      <u/>
      <sz val="12"/>
      <color theme="1"/>
      <name val="Aptos Narrow"/>
      <scheme val="minor"/>
    </font>
    <font>
      <i/>
      <sz val="12"/>
      <color rgb="FF000000"/>
      <name val="Aptos Narrow"/>
      <scheme val="minor"/>
    </font>
    <font>
      <sz val="8"/>
      <name val="Arial"/>
      <family val="2"/>
    </font>
    <font>
      <sz val="12"/>
      <color indexed="8"/>
      <name val="Aptos Narrow"/>
      <family val="2"/>
      <scheme val="minor"/>
    </font>
    <font>
      <sz val="12"/>
      <name val="Aptos Narrow"/>
      <family val="2"/>
      <scheme val="minor"/>
    </font>
    <font>
      <sz val="8"/>
      <name val="Arial"/>
      <family val="2"/>
    </font>
    <font>
      <b/>
      <u val="double"/>
      <sz val="12"/>
      <color indexed="8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b/>
      <u/>
      <sz val="12"/>
      <color indexed="8"/>
      <name val="Aptos Narrow"/>
      <family val="2"/>
      <scheme val="minor"/>
    </font>
    <font>
      <b/>
      <sz val="1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1A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357">
    <xf numFmtId="0" fontId="0" fillId="0" borderId="0" xfId="0"/>
    <xf numFmtId="0" fontId="0" fillId="0" borderId="3" xfId="0" applyBorder="1"/>
    <xf numFmtId="10" fontId="0" fillId="0" borderId="0" xfId="1" applyNumberFormat="1" applyFont="1"/>
    <xf numFmtId="9" fontId="0" fillId="0" borderId="0" xfId="1" applyFont="1"/>
    <xf numFmtId="9" fontId="0" fillId="0" borderId="3" xfId="1" applyFont="1" applyBorder="1"/>
    <xf numFmtId="0" fontId="4" fillId="0" borderId="0" xfId="0" applyFont="1"/>
    <xf numFmtId="10" fontId="0" fillId="0" borderId="3" xfId="1" applyNumberFormat="1" applyFont="1" applyBorder="1"/>
    <xf numFmtId="2" fontId="0" fillId="0" borderId="0" xfId="0" applyNumberFormat="1"/>
    <xf numFmtId="2" fontId="0" fillId="0" borderId="3" xfId="0" applyNumberFormat="1" applyBorder="1"/>
    <xf numFmtId="2" fontId="4" fillId="0" borderId="3" xfId="0" applyNumberFormat="1" applyFont="1" applyBorder="1"/>
    <xf numFmtId="3" fontId="0" fillId="0" borderId="0" xfId="0" applyNumberFormat="1"/>
    <xf numFmtId="9" fontId="0" fillId="0" borderId="0" xfId="1" applyFont="1" applyBorder="1"/>
    <xf numFmtId="0" fontId="0" fillId="0" borderId="1" xfId="0" applyBorder="1"/>
    <xf numFmtId="2" fontId="0" fillId="0" borderId="1" xfId="0" applyNumberFormat="1" applyBorder="1"/>
    <xf numFmtId="9" fontId="0" fillId="0" borderId="1" xfId="1" applyFont="1" applyBorder="1"/>
    <xf numFmtId="9" fontId="0" fillId="0" borderId="5" xfId="1" applyFont="1" applyBorder="1"/>
    <xf numFmtId="0" fontId="0" fillId="0" borderId="6" xfId="0" applyBorder="1"/>
    <xf numFmtId="2" fontId="0" fillId="0" borderId="6" xfId="0" applyNumberFormat="1" applyBorder="1"/>
    <xf numFmtId="2" fontId="0" fillId="0" borderId="7" xfId="0" applyNumberFormat="1" applyBorder="1"/>
    <xf numFmtId="10" fontId="0" fillId="0" borderId="0" xfId="1" applyNumberFormat="1" applyFont="1" applyBorder="1"/>
    <xf numFmtId="0" fontId="0" fillId="0" borderId="5" xfId="0" applyBorder="1"/>
    <xf numFmtId="0" fontId="0" fillId="0" borderId="0" xfId="1" applyNumberFormat="1" applyFont="1" applyBorder="1"/>
    <xf numFmtId="2" fontId="0" fillId="0" borderId="0" xfId="1" applyNumberFormat="1" applyFont="1" applyBorder="1"/>
    <xf numFmtId="43" fontId="0" fillId="0" borderId="0" xfId="0" applyNumberFormat="1"/>
    <xf numFmtId="0" fontId="6" fillId="0" borderId="0" xfId="0" applyFont="1"/>
    <xf numFmtId="10" fontId="6" fillId="0" borderId="0" xfId="0" applyNumberFormat="1" applyFont="1"/>
    <xf numFmtId="9" fontId="0" fillId="0" borderId="0" xfId="0" applyNumberFormat="1"/>
    <xf numFmtId="9" fontId="5" fillId="0" borderId="0" xfId="1" applyFont="1" applyBorder="1"/>
    <xf numFmtId="165" fontId="0" fillId="0" borderId="3" xfId="1" applyNumberFormat="1" applyFont="1" applyBorder="1"/>
    <xf numFmtId="9" fontId="9" fillId="0" borderId="0" xfId="1" applyFont="1" applyBorder="1"/>
    <xf numFmtId="0" fontId="0" fillId="5" borderId="0" xfId="0" applyFill="1"/>
    <xf numFmtId="0" fontId="8" fillId="0" borderId="0" xfId="0" applyFont="1"/>
    <xf numFmtId="10" fontId="8" fillId="0" borderId="3" xfId="1" applyNumberFormat="1" applyFont="1" applyBorder="1"/>
    <xf numFmtId="165" fontId="9" fillId="0" borderId="0" xfId="1" applyNumberFormat="1" applyFont="1" applyBorder="1"/>
    <xf numFmtId="0" fontId="13" fillId="0" borderId="0" xfId="0" applyFont="1"/>
    <xf numFmtId="2" fontId="13" fillId="0" borderId="0" xfId="0" applyNumberFormat="1" applyFont="1"/>
    <xf numFmtId="0" fontId="13" fillId="0" borderId="0" xfId="0" quotePrefix="1" applyFont="1"/>
    <xf numFmtId="0" fontId="0" fillId="0" borderId="0" xfId="2" applyNumberFormat="1" applyFont="1" applyBorder="1"/>
    <xf numFmtId="175" fontId="0" fillId="0" borderId="0" xfId="0" applyNumberFormat="1"/>
    <xf numFmtId="2" fontId="4" fillId="0" borderId="0" xfId="0" applyNumberFormat="1" applyFont="1"/>
    <xf numFmtId="10" fontId="8" fillId="0" borderId="0" xfId="1" applyNumberFormat="1" applyFont="1" applyBorder="1"/>
    <xf numFmtId="165" fontId="0" fillId="0" borderId="0" xfId="1" applyNumberFormat="1" applyFont="1" applyBorder="1"/>
    <xf numFmtId="0" fontId="2" fillId="2" borderId="9" xfId="0" applyFont="1" applyFill="1" applyBorder="1" applyAlignment="1">
      <alignment wrapText="1"/>
    </xf>
    <xf numFmtId="0" fontId="0" fillId="0" borderId="10" xfId="0" applyBorder="1"/>
    <xf numFmtId="0" fontId="4" fillId="0" borderId="10" xfId="0" applyFont="1" applyBorder="1"/>
    <xf numFmtId="0" fontId="2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0" fillId="0" borderId="13" xfId="0" applyBorder="1"/>
    <xf numFmtId="0" fontId="0" fillId="0" borderId="3" xfId="1" applyNumberFormat="1" applyFont="1" applyBorder="1"/>
    <xf numFmtId="165" fontId="9" fillId="0" borderId="3" xfId="1" applyNumberFormat="1" applyFont="1" applyBorder="1"/>
    <xf numFmtId="0" fontId="4" fillId="0" borderId="13" xfId="0" applyFont="1" applyBorder="1"/>
    <xf numFmtId="9" fontId="5" fillId="0" borderId="3" xfId="1" applyFont="1" applyBorder="1"/>
    <xf numFmtId="0" fontId="8" fillId="0" borderId="13" xfId="0" applyFont="1" applyBorder="1"/>
    <xf numFmtId="0" fontId="0" fillId="0" borderId="12" xfId="0" applyBorder="1"/>
    <xf numFmtId="165" fontId="0" fillId="0" borderId="1" xfId="1" applyNumberFormat="1" applyFont="1" applyBorder="1"/>
    <xf numFmtId="165" fontId="0" fillId="0" borderId="5" xfId="1" applyNumberFormat="1" applyFont="1" applyBorder="1"/>
    <xf numFmtId="0" fontId="0" fillId="3" borderId="14" xfId="0" applyFill="1" applyBorder="1"/>
    <xf numFmtId="0" fontId="0" fillId="3" borderId="2" xfId="0" applyFill="1" applyBorder="1"/>
    <xf numFmtId="2" fontId="0" fillId="3" borderId="2" xfId="0" applyNumberFormat="1" applyFill="1" applyBorder="1"/>
    <xf numFmtId="2" fontId="0" fillId="3" borderId="4" xfId="0" applyNumberFormat="1" applyFill="1" applyBorder="1"/>
    <xf numFmtId="0" fontId="0" fillId="0" borderId="11" xfId="0" applyBorder="1"/>
    <xf numFmtId="10" fontId="0" fillId="0" borderId="1" xfId="1" applyNumberFormat="1" applyFont="1" applyBorder="1"/>
    <xf numFmtId="10" fontId="0" fillId="0" borderId="5" xfId="1" applyNumberFormat="1" applyFont="1" applyBorder="1"/>
    <xf numFmtId="0" fontId="0" fillId="3" borderId="8" xfId="0" applyFill="1" applyBorder="1"/>
    <xf numFmtId="9" fontId="9" fillId="0" borderId="3" xfId="1" applyFont="1" applyBorder="1"/>
    <xf numFmtId="0" fontId="0" fillId="0" borderId="15" xfId="0" applyBorder="1"/>
    <xf numFmtId="0" fontId="0" fillId="0" borderId="9" xfId="0" applyBorder="1"/>
    <xf numFmtId="0" fontId="0" fillId="5" borderId="6" xfId="0" applyFill="1" applyBorder="1"/>
    <xf numFmtId="2" fontId="0" fillId="5" borderId="6" xfId="0" applyNumberFormat="1" applyFill="1" applyBorder="1"/>
    <xf numFmtId="2" fontId="0" fillId="5" borderId="7" xfId="0" applyNumberFormat="1" applyFill="1" applyBorder="1"/>
    <xf numFmtId="0" fontId="0" fillId="5" borderId="13" xfId="0" applyFill="1" applyBorder="1"/>
    <xf numFmtId="173" fontId="0" fillId="5" borderId="3" xfId="0" applyNumberFormat="1" applyFill="1" applyBorder="1" applyAlignment="1">
      <alignment horizontal="right"/>
    </xf>
    <xf numFmtId="0" fontId="0" fillId="5" borderId="12" xfId="0" applyFill="1" applyBorder="1"/>
    <xf numFmtId="0" fontId="4" fillId="5" borderId="1" xfId="0" applyFont="1" applyFill="1" applyBorder="1"/>
    <xf numFmtId="10" fontId="4" fillId="5" borderId="1" xfId="1" applyNumberFormat="1" applyFont="1" applyFill="1" applyBorder="1"/>
    <xf numFmtId="10" fontId="4" fillId="5" borderId="5" xfId="1" applyNumberFormat="1" applyFont="1" applyFill="1" applyBorder="1"/>
    <xf numFmtId="0" fontId="13" fillId="5" borderId="6" xfId="0" applyFont="1" applyFill="1" applyBorder="1"/>
    <xf numFmtId="10" fontId="13" fillId="5" borderId="6" xfId="1" applyNumberFormat="1" applyFont="1" applyFill="1" applyBorder="1"/>
    <xf numFmtId="10" fontId="13" fillId="5" borderId="7" xfId="1" applyNumberFormat="1" applyFont="1" applyFill="1" applyBorder="1"/>
    <xf numFmtId="10" fontId="13" fillId="5" borderId="0" xfId="1" applyNumberFormat="1" applyFont="1" applyFill="1" applyBorder="1"/>
    <xf numFmtId="10" fontId="13" fillId="5" borderId="3" xfId="1" applyNumberFormat="1" applyFont="1" applyFill="1" applyBorder="1"/>
    <xf numFmtId="4" fontId="12" fillId="5" borderId="3" xfId="0" applyNumberFormat="1" applyFont="1" applyFill="1" applyBorder="1" applyAlignment="1">
      <alignment horizontal="right" vertical="center"/>
    </xf>
    <xf numFmtId="0" fontId="0" fillId="2" borderId="3" xfId="0" applyFill="1" applyBorder="1"/>
    <xf numFmtId="165" fontId="0" fillId="0" borderId="3" xfId="0" applyNumberFormat="1" applyBorder="1"/>
    <xf numFmtId="0" fontId="0" fillId="0" borderId="7" xfId="0" applyBorder="1"/>
    <xf numFmtId="43" fontId="0" fillId="0" borderId="3" xfId="0" applyNumberFormat="1" applyBorder="1"/>
    <xf numFmtId="0" fontId="11" fillId="0" borderId="3" xfId="0" applyFont="1" applyBorder="1"/>
    <xf numFmtId="43" fontId="13" fillId="0" borderId="6" xfId="0" applyNumberFormat="1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13" xfId="0" applyFont="1" applyBorder="1"/>
    <xf numFmtId="174" fontId="13" fillId="0" borderId="0" xfId="0" applyNumberFormat="1" applyFont="1"/>
    <xf numFmtId="0" fontId="13" fillId="0" borderId="3" xfId="0" applyFont="1" applyBorder="1"/>
    <xf numFmtId="43" fontId="13" fillId="0" borderId="0" xfId="0" applyNumberFormat="1" applyFont="1"/>
    <xf numFmtId="43" fontId="13" fillId="0" borderId="1" xfId="0" applyNumberFormat="1" applyFont="1" applyBorder="1"/>
    <xf numFmtId="0" fontId="13" fillId="0" borderId="1" xfId="0" applyFont="1" applyBorder="1"/>
    <xf numFmtId="0" fontId="13" fillId="0" borderId="5" xfId="0" applyFont="1" applyBorder="1"/>
    <xf numFmtId="10" fontId="0" fillId="0" borderId="3" xfId="0" applyNumberFormat="1" applyBorder="1"/>
    <xf numFmtId="10" fontId="0" fillId="0" borderId="5" xfId="0" applyNumberFormat="1" applyBorder="1"/>
    <xf numFmtId="0" fontId="0" fillId="2" borderId="6" xfId="0" applyFill="1" applyBorder="1"/>
    <xf numFmtId="0" fontId="0" fillId="2" borderId="7" xfId="0" applyFill="1" applyBorder="1"/>
    <xf numFmtId="0" fontId="8" fillId="0" borderId="12" xfId="0" applyFont="1" applyBorder="1"/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165" fontId="8" fillId="0" borderId="0" xfId="1" applyNumberFormat="1" applyFont="1" applyBorder="1"/>
    <xf numFmtId="165" fontId="8" fillId="0" borderId="3" xfId="1" applyNumberFormat="1" applyFont="1" applyBorder="1"/>
    <xf numFmtId="0" fontId="13" fillId="0" borderId="2" xfId="0" applyFont="1" applyBorder="1"/>
    <xf numFmtId="0" fontId="13" fillId="0" borderId="4" xfId="0" applyFont="1" applyBorder="1"/>
    <xf numFmtId="0" fontId="19" fillId="0" borderId="13" xfId="0" applyFont="1" applyBorder="1" applyAlignment="1">
      <alignment horizontal="left" vertical="top"/>
    </xf>
    <xf numFmtId="0" fontId="20" fillId="0" borderId="13" xfId="0" applyFont="1" applyBorder="1" applyAlignment="1">
      <alignment horizontal="left" vertical="top"/>
    </xf>
    <xf numFmtId="0" fontId="19" fillId="0" borderId="14" xfId="0" applyFont="1" applyBorder="1" applyAlignment="1">
      <alignment horizontal="left" vertical="top"/>
    </xf>
    <xf numFmtId="0" fontId="20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2" borderId="11" xfId="0" applyFont="1" applyFill="1" applyBorder="1" applyAlignment="1">
      <alignment horizontal="left" wrapText="1"/>
    </xf>
    <xf numFmtId="0" fontId="21" fillId="2" borderId="13" xfId="0" applyFont="1" applyFill="1" applyBorder="1" applyAlignment="1">
      <alignment horizontal="left" wrapText="1"/>
    </xf>
    <xf numFmtId="0" fontId="13" fillId="2" borderId="0" xfId="0" applyFont="1" applyFill="1" applyAlignment="1">
      <alignment horizontal="left"/>
    </xf>
    <xf numFmtId="0" fontId="13" fillId="2" borderId="3" xfId="0" applyFont="1" applyFill="1" applyBorder="1" applyAlignment="1">
      <alignment horizontal="left"/>
    </xf>
    <xf numFmtId="0" fontId="19" fillId="0" borderId="12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3" fillId="0" borderId="3" xfId="0" applyFont="1" applyBorder="1" applyAlignment="1">
      <alignment horizontal="left"/>
    </xf>
    <xf numFmtId="2" fontId="8" fillId="0" borderId="0" xfId="0" applyNumberFormat="1" applyFont="1" applyAlignment="1">
      <alignment horizontal="left"/>
    </xf>
    <xf numFmtId="2" fontId="8" fillId="0" borderId="3" xfId="0" applyNumberFormat="1" applyFont="1" applyBorder="1" applyAlignment="1">
      <alignment horizontal="left"/>
    </xf>
    <xf numFmtId="10" fontId="13" fillId="0" borderId="0" xfId="1" applyNumberFormat="1" applyFont="1" applyBorder="1" applyAlignment="1">
      <alignment horizontal="left"/>
    </xf>
    <xf numFmtId="10" fontId="13" fillId="0" borderId="3" xfId="1" applyNumberFormat="1" applyFont="1" applyBorder="1" applyAlignment="1">
      <alignment horizontal="left"/>
    </xf>
    <xf numFmtId="2" fontId="13" fillId="0" borderId="0" xfId="0" applyNumberFormat="1" applyFont="1" applyAlignment="1">
      <alignment horizontal="left"/>
    </xf>
    <xf numFmtId="2" fontId="13" fillId="0" borderId="3" xfId="0" applyNumberFormat="1" applyFont="1" applyBorder="1" applyAlignment="1">
      <alignment horizontal="left"/>
    </xf>
    <xf numFmtId="165" fontId="13" fillId="0" borderId="0" xfId="1" applyNumberFormat="1" applyFont="1" applyBorder="1" applyAlignment="1">
      <alignment horizontal="left"/>
    </xf>
    <xf numFmtId="165" fontId="8" fillId="0" borderId="0" xfId="1" applyNumberFormat="1" applyFont="1" applyBorder="1" applyAlignment="1">
      <alignment horizontal="left"/>
    </xf>
    <xf numFmtId="165" fontId="8" fillId="0" borderId="3" xfId="1" applyNumberFormat="1" applyFont="1" applyBorder="1" applyAlignment="1">
      <alignment horizontal="left"/>
    </xf>
    <xf numFmtId="2" fontId="13" fillId="0" borderId="0" xfId="4" applyNumberFormat="1" applyFont="1" applyFill="1" applyBorder="1" applyAlignment="1">
      <alignment horizontal="left"/>
    </xf>
    <xf numFmtId="165" fontId="13" fillId="0" borderId="0" xfId="1" applyNumberFormat="1" applyFont="1" applyFill="1" applyBorder="1" applyAlignment="1">
      <alignment horizontal="left"/>
    </xf>
    <xf numFmtId="165" fontId="14" fillId="0" borderId="0" xfId="0" applyNumberFormat="1" applyFont="1" applyAlignment="1">
      <alignment horizontal="left"/>
    </xf>
    <xf numFmtId="165" fontId="14" fillId="0" borderId="3" xfId="0" applyNumberFormat="1" applyFont="1" applyBorder="1" applyAlignment="1">
      <alignment horizontal="left"/>
    </xf>
    <xf numFmtId="9" fontId="13" fillId="0" borderId="0" xfId="1" applyFont="1" applyBorder="1" applyAlignment="1">
      <alignment horizontal="left"/>
    </xf>
    <xf numFmtId="0" fontId="13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172" fontId="8" fillId="0" borderId="13" xfId="4" applyNumberFormat="1" applyFont="1" applyFill="1" applyBorder="1" applyAlignment="1">
      <alignment horizontal="left"/>
    </xf>
    <xf numFmtId="172" fontId="8" fillId="0" borderId="0" xfId="4" applyNumberFormat="1" applyFont="1" applyFill="1" applyBorder="1" applyAlignment="1">
      <alignment horizontal="left"/>
    </xf>
    <xf numFmtId="165" fontId="14" fillId="0" borderId="0" xfId="1" applyNumberFormat="1" applyFont="1" applyBorder="1" applyAlignment="1">
      <alignment horizontal="left"/>
    </xf>
    <xf numFmtId="165" fontId="14" fillId="0" borderId="3" xfId="1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2" fontId="8" fillId="0" borderId="2" xfId="0" applyNumberFormat="1" applyFont="1" applyBorder="1" applyAlignment="1">
      <alignment horizontal="left"/>
    </xf>
    <xf numFmtId="2" fontId="8" fillId="0" borderId="4" xfId="0" applyNumberFormat="1" applyFont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22" fillId="0" borderId="0" xfId="0" applyFont="1"/>
    <xf numFmtId="39" fontId="24" fillId="4" borderId="8" xfId="0" applyNumberFormat="1" applyFont="1" applyFill="1" applyBorder="1"/>
    <xf numFmtId="0" fontId="8" fillId="2" borderId="8" xfId="0" applyFont="1" applyFill="1" applyBorder="1"/>
    <xf numFmtId="0" fontId="0" fillId="0" borderId="8" xfId="0" applyBorder="1"/>
    <xf numFmtId="9" fontId="0" fillId="0" borderId="8" xfId="1" applyFont="1" applyBorder="1"/>
    <xf numFmtId="9" fontId="8" fillId="2" borderId="8" xfId="1" applyFont="1" applyFill="1" applyBorder="1"/>
    <xf numFmtId="0" fontId="8" fillId="0" borderId="11" xfId="0" applyFont="1" applyBorder="1"/>
    <xf numFmtId="0" fontId="8" fillId="2" borderId="11" xfId="0" applyFont="1" applyFill="1" applyBorder="1"/>
    <xf numFmtId="0" fontId="8" fillId="2" borderId="13" xfId="0" applyFont="1" applyFill="1" applyBorder="1"/>
    <xf numFmtId="9" fontId="0" fillId="0" borderId="7" xfId="0" applyNumberFormat="1" applyBorder="1"/>
    <xf numFmtId="0" fontId="8" fillId="0" borderId="6" xfId="0" applyFont="1" applyBorder="1"/>
    <xf numFmtId="2" fontId="0" fillId="0" borderId="0" xfId="0" applyNumberFormat="1" applyAlignment="1">
      <alignment horizontal="left"/>
    </xf>
    <xf numFmtId="2" fontId="0" fillId="0" borderId="3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8" fillId="6" borderId="13" xfId="0" applyFont="1" applyFill="1" applyBorder="1"/>
    <xf numFmtId="0" fontId="8" fillId="6" borderId="0" xfId="0" applyFont="1" applyFill="1"/>
    <xf numFmtId="10" fontId="8" fillId="6" borderId="3" xfId="0" applyNumberFormat="1" applyFont="1" applyFill="1" applyBorder="1"/>
    <xf numFmtId="0" fontId="8" fillId="7" borderId="13" xfId="0" applyFont="1" applyFill="1" applyBorder="1"/>
    <xf numFmtId="0" fontId="8" fillId="7" borderId="0" xfId="0" applyFont="1" applyFill="1"/>
    <xf numFmtId="10" fontId="8" fillId="7" borderId="3" xfId="0" applyNumberFormat="1" applyFont="1" applyFill="1" applyBorder="1"/>
    <xf numFmtId="0" fontId="0" fillId="2" borderId="8" xfId="0" applyFill="1" applyBorder="1"/>
    <xf numFmtId="0" fontId="19" fillId="2" borderId="13" xfId="0" applyFont="1" applyFill="1" applyBorder="1" applyAlignment="1">
      <alignment horizontal="left" vertical="top" wrapText="1"/>
    </xf>
    <xf numFmtId="167" fontId="20" fillId="0" borderId="0" xfId="0" applyNumberFormat="1" applyFont="1" applyAlignment="1">
      <alignment horizontal="right" vertical="top" wrapText="1"/>
    </xf>
    <xf numFmtId="168" fontId="20" fillId="0" borderId="0" xfId="0" applyNumberFormat="1" applyFont="1" applyAlignment="1">
      <alignment horizontal="right" vertical="top" wrapText="1"/>
    </xf>
    <xf numFmtId="169" fontId="20" fillId="0" borderId="0" xfId="0" applyNumberFormat="1" applyFont="1" applyAlignment="1">
      <alignment horizontal="right" vertical="top" wrapText="1"/>
    </xf>
    <xf numFmtId="170" fontId="20" fillId="0" borderId="0" xfId="0" applyNumberFormat="1" applyFont="1" applyAlignment="1">
      <alignment horizontal="right" vertical="top" wrapText="1"/>
    </xf>
    <xf numFmtId="176" fontId="20" fillId="0" borderId="0" xfId="0" applyNumberFormat="1" applyFont="1" applyAlignment="1">
      <alignment horizontal="right" vertical="top" wrapText="1"/>
    </xf>
    <xf numFmtId="168" fontId="20" fillId="0" borderId="3" xfId="0" applyNumberFormat="1" applyFont="1" applyBorder="1" applyAlignment="1">
      <alignment horizontal="right" vertical="top" wrapText="1"/>
    </xf>
    <xf numFmtId="0" fontId="20" fillId="0" borderId="3" xfId="0" applyFont="1" applyBorder="1" applyAlignment="1">
      <alignment horizontal="right" vertical="top" wrapText="1"/>
    </xf>
    <xf numFmtId="0" fontId="19" fillId="3" borderId="14" xfId="0" applyFont="1" applyFill="1" applyBorder="1" applyAlignment="1">
      <alignment horizontal="left" vertical="top" wrapText="1"/>
    </xf>
    <xf numFmtId="2" fontId="13" fillId="3" borderId="2" xfId="0" applyNumberFormat="1" applyFont="1" applyFill="1" applyBorder="1"/>
    <xf numFmtId="2" fontId="8" fillId="3" borderId="2" xfId="0" applyNumberFormat="1" applyFont="1" applyFill="1" applyBorder="1"/>
    <xf numFmtId="2" fontId="13" fillId="3" borderId="2" xfId="1" applyNumberFormat="1" applyFont="1" applyFill="1" applyBorder="1"/>
    <xf numFmtId="2" fontId="8" fillId="3" borderId="2" xfId="1" applyNumberFormat="1" applyFont="1" applyFill="1" applyBorder="1"/>
    <xf numFmtId="167" fontId="20" fillId="3" borderId="2" xfId="0" applyNumberFormat="1" applyFont="1" applyFill="1" applyBorder="1" applyAlignment="1">
      <alignment horizontal="right" vertical="top" wrapText="1"/>
    </xf>
    <xf numFmtId="168" fontId="20" fillId="3" borderId="2" xfId="0" applyNumberFormat="1" applyFont="1" applyFill="1" applyBorder="1" applyAlignment="1">
      <alignment horizontal="right" vertical="top" wrapText="1"/>
    </xf>
    <xf numFmtId="169" fontId="20" fillId="3" borderId="2" xfId="0" applyNumberFormat="1" applyFont="1" applyFill="1" applyBorder="1" applyAlignment="1">
      <alignment horizontal="right" vertical="top" wrapText="1"/>
    </xf>
    <xf numFmtId="170" fontId="20" fillId="3" borderId="2" xfId="0" applyNumberFormat="1" applyFont="1" applyFill="1" applyBorder="1" applyAlignment="1">
      <alignment horizontal="right" vertical="top" wrapText="1"/>
    </xf>
    <xf numFmtId="0" fontId="20" fillId="3" borderId="2" xfId="0" applyFont="1" applyFill="1" applyBorder="1" applyAlignment="1">
      <alignment horizontal="right" vertical="top" wrapText="1"/>
    </xf>
    <xf numFmtId="168" fontId="20" fillId="3" borderId="4" xfId="0" applyNumberFormat="1" applyFont="1" applyFill="1" applyBorder="1" applyAlignment="1">
      <alignment horizontal="right" vertical="top" wrapText="1"/>
    </xf>
    <xf numFmtId="167" fontId="13" fillId="0" borderId="6" xfId="0" applyNumberFormat="1" applyFont="1" applyBorder="1"/>
    <xf numFmtId="10" fontId="13" fillId="0" borderId="6" xfId="1" applyNumberFormat="1" applyFont="1" applyBorder="1"/>
    <xf numFmtId="0" fontId="13" fillId="0" borderId="6" xfId="1" applyNumberFormat="1" applyFont="1" applyBorder="1"/>
    <xf numFmtId="0" fontId="13" fillId="0" borderId="7" xfId="1" applyNumberFormat="1" applyFont="1" applyBorder="1"/>
    <xf numFmtId="166" fontId="13" fillId="0" borderId="1" xfId="0" applyNumberFormat="1" applyFont="1" applyBorder="1"/>
    <xf numFmtId="10" fontId="13" fillId="0" borderId="1" xfId="1" applyNumberFormat="1" applyFont="1" applyBorder="1"/>
    <xf numFmtId="2" fontId="13" fillId="0" borderId="1" xfId="1" applyNumberFormat="1" applyFont="1" applyBorder="1"/>
    <xf numFmtId="2" fontId="13" fillId="0" borderId="5" xfId="1" applyNumberFormat="1" applyFont="1" applyBorder="1"/>
    <xf numFmtId="0" fontId="19" fillId="2" borderId="14" xfId="0" applyFont="1" applyFill="1" applyBorder="1" applyAlignment="1">
      <alignment horizontal="left" vertical="top" wrapText="1"/>
    </xf>
    <xf numFmtId="0" fontId="19" fillId="2" borderId="2" xfId="0" applyFont="1" applyFill="1" applyBorder="1" applyAlignment="1">
      <alignment horizontal="right" vertical="top" wrapText="1"/>
    </xf>
    <xf numFmtId="0" fontId="19" fillId="2" borderId="4" xfId="0" applyFont="1" applyFill="1" applyBorder="1" applyAlignment="1">
      <alignment horizontal="right" vertical="top" wrapText="1"/>
    </xf>
    <xf numFmtId="0" fontId="17" fillId="0" borderId="12" xfId="0" applyFont="1" applyBorder="1"/>
    <xf numFmtId="0" fontId="0" fillId="2" borderId="0" xfId="0" applyFill="1"/>
    <xf numFmtId="9" fontId="0" fillId="0" borderId="3" xfId="0" applyNumberFormat="1" applyBorder="1"/>
    <xf numFmtId="0" fontId="12" fillId="0" borderId="0" xfId="0" applyFont="1"/>
    <xf numFmtId="0" fontId="12" fillId="0" borderId="3" xfId="0" applyFont="1" applyBorder="1"/>
    <xf numFmtId="3" fontId="0" fillId="0" borderId="3" xfId="0" applyNumberFormat="1" applyBorder="1"/>
    <xf numFmtId="0" fontId="12" fillId="0" borderId="13" xfId="0" applyFont="1" applyBorder="1"/>
    <xf numFmtId="10" fontId="8" fillId="7" borderId="3" xfId="1" applyNumberFormat="1" applyFont="1" applyFill="1" applyBorder="1"/>
    <xf numFmtId="10" fontId="8" fillId="7" borderId="1" xfId="1" applyNumberFormat="1" applyFont="1" applyFill="1" applyBorder="1"/>
    <xf numFmtId="0" fontId="8" fillId="0" borderId="5" xfId="0" applyFont="1" applyBorder="1"/>
    <xf numFmtId="0" fontId="15" fillId="2" borderId="14" xfId="0" applyFont="1" applyFill="1" applyBorder="1"/>
    <xf numFmtId="0" fontId="12" fillId="2" borderId="2" xfId="0" applyFont="1" applyFill="1" applyBorder="1"/>
    <xf numFmtId="0" fontId="12" fillId="2" borderId="4" xfId="0" applyFont="1" applyFill="1" applyBorder="1"/>
    <xf numFmtId="10" fontId="8" fillId="7" borderId="0" xfId="1" applyNumberFormat="1" applyFont="1" applyFill="1" applyBorder="1"/>
    <xf numFmtId="0" fontId="18" fillId="0" borderId="12" xfId="0" applyFont="1" applyBorder="1"/>
    <xf numFmtId="2" fontId="0" fillId="0" borderId="5" xfId="0" applyNumberFormat="1" applyBorder="1"/>
    <xf numFmtId="0" fontId="8" fillId="0" borderId="6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10" fontId="14" fillId="0" borderId="0" xfId="1" applyNumberFormat="1" applyFont="1" applyBorder="1" applyAlignment="1">
      <alignment horizontal="left"/>
    </xf>
    <xf numFmtId="10" fontId="14" fillId="0" borderId="3" xfId="1" applyNumberFormat="1" applyFont="1" applyBorder="1" applyAlignment="1">
      <alignment horizontal="left"/>
    </xf>
    <xf numFmtId="2" fontId="27" fillId="0" borderId="0" xfId="0" applyNumberFormat="1" applyFont="1" applyAlignment="1">
      <alignment horizontal="left"/>
    </xf>
    <xf numFmtId="2" fontId="27" fillId="0" borderId="3" xfId="0" applyNumberFormat="1" applyFont="1" applyBorder="1" applyAlignment="1">
      <alignment horizontal="left"/>
    </xf>
    <xf numFmtId="2" fontId="14" fillId="0" borderId="0" xfId="0" applyNumberFormat="1" applyFont="1" applyAlignment="1">
      <alignment horizontal="left"/>
    </xf>
    <xf numFmtId="2" fontId="14" fillId="0" borderId="3" xfId="0" applyNumberFormat="1" applyFont="1" applyBorder="1" applyAlignment="1">
      <alignment horizontal="left"/>
    </xf>
    <xf numFmtId="9" fontId="14" fillId="0" borderId="0" xfId="1" applyFont="1" applyBorder="1" applyAlignment="1">
      <alignment horizontal="left"/>
    </xf>
    <xf numFmtId="9" fontId="14" fillId="0" borderId="3" xfId="1" applyFont="1" applyBorder="1" applyAlignment="1">
      <alignment horizontal="left"/>
    </xf>
    <xf numFmtId="172" fontId="8" fillId="0" borderId="3" xfId="4" applyNumberFormat="1" applyFont="1" applyFill="1" applyBorder="1" applyAlignment="1">
      <alignment horizontal="left"/>
    </xf>
    <xf numFmtId="10" fontId="12" fillId="5" borderId="0" xfId="1" applyNumberFormat="1" applyFont="1" applyFill="1" applyBorder="1" applyAlignment="1">
      <alignment horizontal="right" vertical="center"/>
    </xf>
    <xf numFmtId="10" fontId="12" fillId="5" borderId="3" xfId="1" applyNumberFormat="1" applyFont="1" applyFill="1" applyBorder="1" applyAlignment="1">
      <alignment horizontal="right" vertical="center"/>
    </xf>
    <xf numFmtId="0" fontId="13" fillId="0" borderId="14" xfId="0" applyFont="1" applyBorder="1"/>
    <xf numFmtId="0" fontId="19" fillId="6" borderId="11" xfId="0" applyFont="1" applyFill="1" applyBorder="1" applyAlignment="1">
      <alignment horizontal="left" vertical="top" wrapText="1"/>
    </xf>
    <xf numFmtId="0" fontId="19" fillId="6" borderId="12" xfId="0" applyFont="1" applyFill="1" applyBorder="1" applyAlignment="1">
      <alignment horizontal="left" vertical="top" wrapText="1"/>
    </xf>
    <xf numFmtId="10" fontId="16" fillId="5" borderId="3" xfId="0" applyNumberFormat="1" applyFont="1" applyFill="1" applyBorder="1"/>
    <xf numFmtId="0" fontId="8" fillId="6" borderId="12" xfId="0" applyFont="1" applyFill="1" applyBorder="1"/>
    <xf numFmtId="0" fontId="8" fillId="6" borderId="1" xfId="0" applyFont="1" applyFill="1" applyBorder="1"/>
    <xf numFmtId="0" fontId="8" fillId="6" borderId="11" xfId="0" applyFont="1" applyFill="1" applyBorder="1"/>
    <xf numFmtId="43" fontId="0" fillId="6" borderId="7" xfId="0" applyNumberFormat="1" applyFill="1" applyBorder="1"/>
    <xf numFmtId="165" fontId="0" fillId="6" borderId="5" xfId="1" applyNumberFormat="1" applyFont="1" applyFill="1" applyBorder="1"/>
    <xf numFmtId="0" fontId="25" fillId="2" borderId="11" xfId="0" applyFont="1" applyFill="1" applyBorder="1"/>
    <xf numFmtId="0" fontId="25" fillId="2" borderId="6" xfId="0" applyFont="1" applyFill="1" applyBorder="1"/>
    <xf numFmtId="165" fontId="25" fillId="2" borderId="6" xfId="0" applyNumberFormat="1" applyFont="1" applyFill="1" applyBorder="1"/>
    <xf numFmtId="166" fontId="25" fillId="2" borderId="6" xfId="0" applyNumberFormat="1" applyFont="1" applyFill="1" applyBorder="1"/>
    <xf numFmtId="166" fontId="25" fillId="2" borderId="7" xfId="0" applyNumberFormat="1" applyFont="1" applyFill="1" applyBorder="1"/>
    <xf numFmtId="0" fontId="22" fillId="0" borderId="13" xfId="0" applyFont="1" applyBorder="1"/>
    <xf numFmtId="0" fontId="22" fillId="0" borderId="3" xfId="0" applyFont="1" applyBorder="1"/>
    <xf numFmtId="0" fontId="23" fillId="0" borderId="13" xfId="0" applyFont="1" applyBorder="1"/>
    <xf numFmtId="2" fontId="22" fillId="0" borderId="0" xfId="0" applyNumberFormat="1" applyFont="1"/>
    <xf numFmtId="39" fontId="25" fillId="5" borderId="0" xfId="0" applyNumberFormat="1" applyFont="1" applyFill="1"/>
    <xf numFmtId="39" fontId="25" fillId="5" borderId="3" xfId="0" applyNumberFormat="1" applyFont="1" applyFill="1" applyBorder="1"/>
    <xf numFmtId="0" fontId="22" fillId="0" borderId="12" xfId="0" applyFont="1" applyBorder="1"/>
    <xf numFmtId="0" fontId="22" fillId="0" borderId="1" xfId="0" applyFont="1" applyBorder="1"/>
    <xf numFmtId="2" fontId="22" fillId="0" borderId="1" xfId="0" applyNumberFormat="1" applyFont="1" applyBorder="1"/>
    <xf numFmtId="39" fontId="25" fillId="5" borderId="1" xfId="0" applyNumberFormat="1" applyFont="1" applyFill="1" applyBorder="1"/>
    <xf numFmtId="39" fontId="25" fillId="5" borderId="5" xfId="0" applyNumberFormat="1" applyFont="1" applyFill="1" applyBorder="1"/>
    <xf numFmtId="0" fontId="25" fillId="2" borderId="12" xfId="0" applyFont="1" applyFill="1" applyBorder="1"/>
    <xf numFmtId="0" fontId="25" fillId="2" borderId="1" xfId="0" applyFont="1" applyFill="1" applyBorder="1" applyAlignment="1">
      <alignment horizontal="right"/>
    </xf>
    <xf numFmtId="171" fontId="25" fillId="2" borderId="1" xfId="0" applyNumberFormat="1" applyFont="1" applyFill="1" applyBorder="1" applyAlignment="1">
      <alignment horizontal="right"/>
    </xf>
    <xf numFmtId="171" fontId="25" fillId="2" borderId="5" xfId="0" applyNumberFormat="1" applyFont="1" applyFill="1" applyBorder="1" applyAlignment="1">
      <alignment horizontal="right"/>
    </xf>
    <xf numFmtId="0" fontId="8" fillId="2" borderId="14" xfId="0" applyFont="1" applyFill="1" applyBorder="1"/>
    <xf numFmtId="0" fontId="8" fillId="2" borderId="2" xfId="0" applyFont="1" applyFill="1" applyBorder="1"/>
    <xf numFmtId="0" fontId="8" fillId="2" borderId="4" xfId="0" applyFont="1" applyFill="1" applyBorder="1"/>
    <xf numFmtId="0" fontId="0" fillId="2" borderId="11" xfId="0" applyFill="1" applyBorder="1"/>
    <xf numFmtId="14" fontId="0" fillId="0" borderId="12" xfId="0" applyNumberFormat="1" applyBorder="1"/>
    <xf numFmtId="14" fontId="0" fillId="0" borderId="5" xfId="0" applyNumberFormat="1" applyBorder="1"/>
    <xf numFmtId="0" fontId="26" fillId="2" borderId="14" xfId="0" applyFont="1" applyFill="1" applyBorder="1"/>
    <xf numFmtId="0" fontId="8" fillId="0" borderId="14" xfId="0" applyFont="1" applyBorder="1"/>
    <xf numFmtId="0" fontId="28" fillId="5" borderId="11" xfId="0" applyFont="1" applyFill="1" applyBorder="1"/>
    <xf numFmtId="0" fontId="26" fillId="0" borderId="0" xfId="0" applyFont="1"/>
    <xf numFmtId="0" fontId="29" fillId="2" borderId="0" xfId="0" applyFont="1" applyFill="1"/>
    <xf numFmtId="0" fontId="30" fillId="0" borderId="0" xfId="0" applyFont="1"/>
    <xf numFmtId="0" fontId="0" fillId="5" borderId="3" xfId="0" applyFill="1" applyBorder="1"/>
    <xf numFmtId="173" fontId="0" fillId="5" borderId="0" xfId="0" applyNumberFormat="1" applyFill="1" applyAlignment="1">
      <alignment horizontal="right"/>
    </xf>
    <xf numFmtId="0" fontId="4" fillId="5" borderId="0" xfId="0" applyFont="1" applyFill="1"/>
    <xf numFmtId="10" fontId="4" fillId="5" borderId="0" xfId="1" applyNumberFormat="1" applyFont="1" applyFill="1" applyBorder="1"/>
    <xf numFmtId="10" fontId="4" fillId="5" borderId="3" xfId="1" applyNumberFormat="1" applyFont="1" applyFill="1" applyBorder="1"/>
    <xf numFmtId="0" fontId="13" fillId="5" borderId="0" xfId="0" applyFont="1" applyFill="1"/>
    <xf numFmtId="0" fontId="12" fillId="5" borderId="0" xfId="0" applyFont="1" applyFill="1" applyAlignment="1">
      <alignment horizontal="right" vertical="center"/>
    </xf>
    <xf numFmtId="0" fontId="28" fillId="5" borderId="13" xfId="0" applyFont="1" applyFill="1" applyBorder="1"/>
    <xf numFmtId="2" fontId="25" fillId="0" borderId="0" xfId="0" applyNumberFormat="1" applyFont="1"/>
    <xf numFmtId="2" fontId="25" fillId="0" borderId="1" xfId="0" applyNumberFormat="1" applyFont="1" applyBorder="1"/>
    <xf numFmtId="0" fontId="0" fillId="2" borderId="13" xfId="0" applyFill="1" applyBorder="1"/>
    <xf numFmtId="9" fontId="0" fillId="2" borderId="12" xfId="0" applyNumberFormat="1" applyFill="1" applyBorder="1"/>
    <xf numFmtId="0" fontId="0" fillId="2" borderId="1" xfId="0" applyFill="1" applyBorder="1"/>
    <xf numFmtId="0" fontId="0" fillId="2" borderId="5" xfId="0" applyFill="1" applyBorder="1"/>
    <xf numFmtId="0" fontId="28" fillId="2" borderId="7" xfId="0" applyFont="1" applyFill="1" applyBorder="1"/>
    <xf numFmtId="0" fontId="8" fillId="7" borderId="8" xfId="0" applyFont="1" applyFill="1" applyBorder="1"/>
    <xf numFmtId="0" fontId="8" fillId="7" borderId="8" xfId="0" applyFont="1" applyFill="1" applyBorder="1" applyAlignment="1">
      <alignment horizontal="left"/>
    </xf>
    <xf numFmtId="0" fontId="31" fillId="0" borderId="0" xfId="0" applyFont="1"/>
    <xf numFmtId="0" fontId="2" fillId="0" borderId="13" xfId="0" applyFont="1" applyBorder="1" applyAlignment="1">
      <alignment horizontal="left" vertical="top"/>
    </xf>
    <xf numFmtId="2" fontId="0" fillId="0" borderId="13" xfId="0" applyNumberFormat="1" applyBorder="1" applyAlignment="1">
      <alignment horizontal="left"/>
    </xf>
    <xf numFmtId="0" fontId="32" fillId="0" borderId="13" xfId="0" applyFont="1" applyBorder="1" applyAlignment="1">
      <alignment horizontal="left" vertical="top"/>
    </xf>
    <xf numFmtId="172" fontId="4" fillId="0" borderId="13" xfId="4" applyNumberFormat="1" applyFont="1" applyFill="1" applyBorder="1" applyAlignment="1">
      <alignment horizontal="left"/>
    </xf>
    <xf numFmtId="172" fontId="4" fillId="0" borderId="0" xfId="4" applyNumberFormat="1" applyFont="1" applyFill="1" applyBorder="1" applyAlignment="1">
      <alignment horizontal="left"/>
    </xf>
    <xf numFmtId="10" fontId="0" fillId="0" borderId="0" xfId="1" applyNumberFormat="1" applyFont="1" applyBorder="1" applyAlignment="1">
      <alignment horizontal="left"/>
    </xf>
    <xf numFmtId="10" fontId="9" fillId="0" borderId="0" xfId="1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9" fillId="0" borderId="0" xfId="0" applyNumberFormat="1" applyFont="1" applyAlignment="1">
      <alignment horizontal="left"/>
    </xf>
    <xf numFmtId="0" fontId="32" fillId="0" borderId="0" xfId="0" applyFont="1" applyAlignment="1">
      <alignment horizontal="left" vertical="top"/>
    </xf>
    <xf numFmtId="164" fontId="32" fillId="0" borderId="0" xfId="0" applyNumberFormat="1" applyFont="1" applyAlignment="1">
      <alignment horizontal="right" vertical="top" wrapText="1"/>
    </xf>
    <xf numFmtId="172" fontId="4" fillId="0" borderId="3" xfId="4" applyNumberFormat="1" applyFont="1" applyFill="1" applyBorder="1" applyAlignment="1">
      <alignment horizontal="left"/>
    </xf>
    <xf numFmtId="10" fontId="9" fillId="0" borderId="3" xfId="1" applyNumberFormat="1" applyFont="1" applyBorder="1" applyAlignment="1">
      <alignment horizontal="left"/>
    </xf>
    <xf numFmtId="164" fontId="33" fillId="0" borderId="0" xfId="0" applyNumberFormat="1" applyFont="1"/>
    <xf numFmtId="0" fontId="33" fillId="0" borderId="0" xfId="0" applyFont="1"/>
    <xf numFmtId="43" fontId="33" fillId="0" borderId="0" xfId="0" applyNumberFormat="1" applyFont="1"/>
    <xf numFmtId="164" fontId="2" fillId="0" borderId="16" xfId="0" applyNumberFormat="1" applyFont="1" applyBorder="1" applyAlignment="1">
      <alignment horizontal="right" vertical="top" wrapText="1"/>
    </xf>
    <xf numFmtId="164" fontId="2" fillId="0" borderId="16" xfId="0" applyNumberFormat="1" applyFont="1" applyBorder="1" applyAlignment="1">
      <alignment horizontal="left" vertical="center" wrapText="1"/>
    </xf>
    <xf numFmtId="2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10" fontId="0" fillId="0" borderId="0" xfId="1" applyNumberFormat="1" applyFont="1" applyBorder="1" applyAlignment="1">
      <alignment horizontal="left" vertical="center"/>
    </xf>
    <xf numFmtId="164" fontId="3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 vertical="center"/>
    </xf>
    <xf numFmtId="0" fontId="34" fillId="0" borderId="0" xfId="0" applyFont="1"/>
    <xf numFmtId="0" fontId="2" fillId="0" borderId="0" xfId="0" applyFont="1" applyAlignment="1">
      <alignment horizontal="left" vertical="top"/>
    </xf>
    <xf numFmtId="172" fontId="4" fillId="0" borderId="0" xfId="2" applyNumberFormat="1" applyFont="1" applyBorder="1" applyAlignment="1">
      <alignment horizontal="left"/>
    </xf>
    <xf numFmtId="164" fontId="2" fillId="0" borderId="0" xfId="0" applyNumberFormat="1" applyFont="1" applyAlignment="1">
      <alignment horizontal="right" vertical="top" wrapText="1"/>
    </xf>
    <xf numFmtId="165" fontId="0" fillId="0" borderId="0" xfId="1" applyNumberFormat="1" applyFont="1" applyBorder="1" applyAlignment="1">
      <alignment horizontal="left"/>
    </xf>
    <xf numFmtId="0" fontId="36" fillId="0" borderId="0" xfId="0" applyFont="1"/>
    <xf numFmtId="0" fontId="2" fillId="2" borderId="6" xfId="0" applyFont="1" applyFill="1" applyBorder="1" applyAlignment="1">
      <alignment horizontal="right" wrapText="1"/>
    </xf>
    <xf numFmtId="164" fontId="35" fillId="0" borderId="0" xfId="0" applyNumberFormat="1" applyFont="1" applyAlignment="1">
      <alignment horizontal="right" vertical="top" wrapText="1"/>
    </xf>
    <xf numFmtId="164" fontId="37" fillId="0" borderId="0" xfId="0" applyNumberFormat="1" applyFont="1" applyAlignment="1">
      <alignment horizontal="right" vertical="top" wrapText="1"/>
    </xf>
    <xf numFmtId="0" fontId="2" fillId="0" borderId="12" xfId="0" applyFont="1" applyBorder="1" applyAlignment="1">
      <alignment horizontal="left" vertical="top"/>
    </xf>
    <xf numFmtId="164" fontId="35" fillId="0" borderId="1" xfId="0" applyNumberFormat="1" applyFont="1" applyBorder="1" applyAlignment="1">
      <alignment horizontal="right" vertical="top" wrapText="1"/>
    </xf>
    <xf numFmtId="164" fontId="0" fillId="0" borderId="0" xfId="0" applyNumberFormat="1"/>
    <xf numFmtId="43" fontId="4" fillId="0" borderId="0" xfId="0" applyNumberFormat="1" applyFont="1"/>
    <xf numFmtId="164" fontId="4" fillId="0" borderId="0" xfId="0" applyNumberFormat="1" applyFont="1"/>
    <xf numFmtId="164" fontId="33" fillId="0" borderId="3" xfId="0" applyNumberFormat="1" applyFont="1" applyBorder="1"/>
    <xf numFmtId="0" fontId="33" fillId="0" borderId="3" xfId="0" applyFont="1" applyBorder="1"/>
    <xf numFmtId="43" fontId="33" fillId="0" borderId="3" xfId="0" applyNumberFormat="1" applyFont="1" applyBorder="1"/>
    <xf numFmtId="172" fontId="4" fillId="0" borderId="3" xfId="2" applyNumberFormat="1" applyFont="1" applyBorder="1" applyAlignment="1">
      <alignment horizontal="left"/>
    </xf>
    <xf numFmtId="164" fontId="32" fillId="0" borderId="3" xfId="0" applyNumberFormat="1" applyFont="1" applyBorder="1" applyAlignment="1">
      <alignment horizontal="right" vertical="top" wrapText="1"/>
    </xf>
    <xf numFmtId="164" fontId="2" fillId="0" borderId="17" xfId="0" applyNumberFormat="1" applyFont="1" applyBorder="1" applyAlignment="1">
      <alignment horizontal="right" vertical="top" wrapText="1"/>
    </xf>
    <xf numFmtId="164" fontId="2" fillId="0" borderId="3" xfId="0" applyNumberFormat="1" applyFont="1" applyBorder="1" applyAlignment="1">
      <alignment horizontal="right" vertical="top" wrapText="1"/>
    </xf>
    <xf numFmtId="164" fontId="32" fillId="0" borderId="6" xfId="0" applyNumberFormat="1" applyFont="1" applyBorder="1" applyAlignment="1">
      <alignment horizontal="right" vertical="top" wrapText="1"/>
    </xf>
    <xf numFmtId="164" fontId="32" fillId="0" borderId="7" xfId="0" applyNumberFormat="1" applyFont="1" applyBorder="1" applyAlignment="1">
      <alignment horizontal="right" vertical="top" wrapText="1"/>
    </xf>
    <xf numFmtId="43" fontId="33" fillId="0" borderId="6" xfId="0" applyNumberFormat="1" applyFont="1" applyBorder="1"/>
    <xf numFmtId="43" fontId="33" fillId="0" borderId="7" xfId="0" applyNumberFormat="1" applyFont="1" applyBorder="1"/>
    <xf numFmtId="164" fontId="35" fillId="0" borderId="20" xfId="0" applyNumberFormat="1" applyFont="1" applyBorder="1" applyAlignment="1">
      <alignment horizontal="right" vertical="top" wrapText="1"/>
    </xf>
    <xf numFmtId="43" fontId="38" fillId="0" borderId="19" xfId="0" applyNumberFormat="1" applyFont="1" applyBorder="1"/>
    <xf numFmtId="43" fontId="38" fillId="0" borderId="18" xfId="0" applyNumberFormat="1" applyFont="1" applyBorder="1"/>
    <xf numFmtId="0" fontId="2" fillId="2" borderId="7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right" wrapText="1"/>
    </xf>
    <xf numFmtId="164" fontId="0" fillId="0" borderId="3" xfId="0" applyNumberFormat="1" applyBorder="1"/>
    <xf numFmtId="164" fontId="4" fillId="0" borderId="3" xfId="0" applyNumberFormat="1" applyFont="1" applyBorder="1"/>
    <xf numFmtId="43" fontId="0" fillId="0" borderId="1" xfId="0" applyNumberFormat="1" applyBorder="1"/>
    <xf numFmtId="43" fontId="0" fillId="0" borderId="5" xfId="0" applyNumberFormat="1" applyBorder="1"/>
    <xf numFmtId="0" fontId="2" fillId="0" borderId="14" xfId="0" applyFont="1" applyBorder="1" applyAlignment="1">
      <alignment horizontal="left" vertical="top"/>
    </xf>
    <xf numFmtId="0" fontId="32" fillId="0" borderId="2" xfId="0" applyFont="1" applyBorder="1" applyAlignment="1">
      <alignment horizontal="left" vertical="top"/>
    </xf>
    <xf numFmtId="0" fontId="0" fillId="0" borderId="2" xfId="0" applyBorder="1"/>
    <xf numFmtId="0" fontId="0" fillId="0" borderId="4" xfId="0" applyBorder="1"/>
    <xf numFmtId="165" fontId="0" fillId="0" borderId="3" xfId="1" applyNumberFormat="1" applyFont="1" applyBorder="1" applyAlignment="1">
      <alignment horizontal="left"/>
    </xf>
    <xf numFmtId="0" fontId="28" fillId="0" borderId="0" xfId="0" applyFont="1"/>
    <xf numFmtId="10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5">
    <cellStyle name="Comma" xfId="4" builtinId="3"/>
    <cellStyle name="Currency" xfId="2" builtinId="4"/>
    <cellStyle name="Normal" xfId="0" builtinId="0"/>
    <cellStyle name="Normal 2" xfId="3" xr:uid="{30B68592-D24B-4B2B-AEED-86E524B0A874}"/>
    <cellStyle name="Percent" xfId="1" builtinId="5"/>
  </cellStyles>
  <dxfs count="0"/>
  <tableStyles count="0" defaultTableStyle="TableStyleMedium2" defaultPivotStyle="PivotStyleLight16"/>
  <colors>
    <mruColors>
      <color rgb="FFFFB1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Array" Target="richData/rdarray.xml"/><Relationship Id="rId3" Type="http://schemas.openxmlformats.org/officeDocument/2006/relationships/worksheet" Target="worksheets/sheet3.xml"/><Relationship Id="rId21" Type="http://schemas.microsoft.com/office/2017/06/relationships/rdSupportingPropertyBag" Target="richData/rdsupportingpropertybag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microsoft.com/office/2017/06/relationships/richStyles" Target="richData/rich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'Stock Price History'!$K$7</c:f>
              <c:strCache>
                <c:ptCount val="1"/>
                <c:pt idx="0">
                  <c:v>BIRK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Price History'!$J$8:$J$265</c:f>
              <c:numCache>
                <c:formatCode>m/d/yy</c:formatCode>
                <c:ptCount val="258"/>
                <c:pt idx="0">
                  <c:v>45219</c:v>
                </c:pt>
                <c:pt idx="1">
                  <c:v>45222</c:v>
                </c:pt>
                <c:pt idx="2">
                  <c:v>45223</c:v>
                </c:pt>
                <c:pt idx="3">
                  <c:v>45224</c:v>
                </c:pt>
                <c:pt idx="4">
                  <c:v>45225</c:v>
                </c:pt>
                <c:pt idx="5">
                  <c:v>45226</c:v>
                </c:pt>
                <c:pt idx="6">
                  <c:v>45229</c:v>
                </c:pt>
                <c:pt idx="7">
                  <c:v>45230</c:v>
                </c:pt>
                <c:pt idx="8">
                  <c:v>45231</c:v>
                </c:pt>
                <c:pt idx="9">
                  <c:v>45232</c:v>
                </c:pt>
                <c:pt idx="10">
                  <c:v>45233</c:v>
                </c:pt>
                <c:pt idx="11">
                  <c:v>45236</c:v>
                </c:pt>
                <c:pt idx="12">
                  <c:v>45237</c:v>
                </c:pt>
                <c:pt idx="13">
                  <c:v>45238</c:v>
                </c:pt>
                <c:pt idx="14">
                  <c:v>45239</c:v>
                </c:pt>
                <c:pt idx="15">
                  <c:v>45240</c:v>
                </c:pt>
                <c:pt idx="16">
                  <c:v>45243</c:v>
                </c:pt>
                <c:pt idx="17">
                  <c:v>45244</c:v>
                </c:pt>
                <c:pt idx="18">
                  <c:v>45245</c:v>
                </c:pt>
                <c:pt idx="19">
                  <c:v>45246</c:v>
                </c:pt>
                <c:pt idx="20">
                  <c:v>45247</c:v>
                </c:pt>
                <c:pt idx="21">
                  <c:v>45250</c:v>
                </c:pt>
                <c:pt idx="22">
                  <c:v>45251</c:v>
                </c:pt>
                <c:pt idx="23">
                  <c:v>45252</c:v>
                </c:pt>
                <c:pt idx="24">
                  <c:v>45254</c:v>
                </c:pt>
                <c:pt idx="25">
                  <c:v>45257</c:v>
                </c:pt>
                <c:pt idx="26">
                  <c:v>45258</c:v>
                </c:pt>
                <c:pt idx="27">
                  <c:v>45259</c:v>
                </c:pt>
                <c:pt idx="28">
                  <c:v>45260</c:v>
                </c:pt>
                <c:pt idx="29">
                  <c:v>45261</c:v>
                </c:pt>
                <c:pt idx="30">
                  <c:v>45264</c:v>
                </c:pt>
                <c:pt idx="31">
                  <c:v>45265</c:v>
                </c:pt>
                <c:pt idx="32">
                  <c:v>45266</c:v>
                </c:pt>
                <c:pt idx="33">
                  <c:v>45267</c:v>
                </c:pt>
                <c:pt idx="34">
                  <c:v>45268</c:v>
                </c:pt>
                <c:pt idx="35">
                  <c:v>45271</c:v>
                </c:pt>
                <c:pt idx="36">
                  <c:v>45272</c:v>
                </c:pt>
                <c:pt idx="37">
                  <c:v>45273</c:v>
                </c:pt>
                <c:pt idx="38">
                  <c:v>45274</c:v>
                </c:pt>
                <c:pt idx="39">
                  <c:v>45275</c:v>
                </c:pt>
                <c:pt idx="40">
                  <c:v>45278</c:v>
                </c:pt>
                <c:pt idx="41">
                  <c:v>45279</c:v>
                </c:pt>
                <c:pt idx="42">
                  <c:v>45280</c:v>
                </c:pt>
                <c:pt idx="43">
                  <c:v>45281</c:v>
                </c:pt>
                <c:pt idx="44">
                  <c:v>45282</c:v>
                </c:pt>
                <c:pt idx="45">
                  <c:v>45286</c:v>
                </c:pt>
                <c:pt idx="46">
                  <c:v>45287</c:v>
                </c:pt>
                <c:pt idx="47">
                  <c:v>45288</c:v>
                </c:pt>
                <c:pt idx="48">
                  <c:v>45289</c:v>
                </c:pt>
                <c:pt idx="49">
                  <c:v>45293</c:v>
                </c:pt>
                <c:pt idx="50">
                  <c:v>45294</c:v>
                </c:pt>
                <c:pt idx="51">
                  <c:v>45295</c:v>
                </c:pt>
                <c:pt idx="52">
                  <c:v>45296</c:v>
                </c:pt>
                <c:pt idx="53">
                  <c:v>45299</c:v>
                </c:pt>
                <c:pt idx="54">
                  <c:v>45300</c:v>
                </c:pt>
                <c:pt idx="55">
                  <c:v>45301</c:v>
                </c:pt>
                <c:pt idx="56">
                  <c:v>45302</c:v>
                </c:pt>
                <c:pt idx="57">
                  <c:v>45303</c:v>
                </c:pt>
                <c:pt idx="58">
                  <c:v>45307</c:v>
                </c:pt>
                <c:pt idx="59">
                  <c:v>45308</c:v>
                </c:pt>
                <c:pt idx="60">
                  <c:v>45309</c:v>
                </c:pt>
                <c:pt idx="61">
                  <c:v>45310</c:v>
                </c:pt>
                <c:pt idx="62">
                  <c:v>45313</c:v>
                </c:pt>
                <c:pt idx="63">
                  <c:v>45314</c:v>
                </c:pt>
                <c:pt idx="64">
                  <c:v>45315</c:v>
                </c:pt>
                <c:pt idx="65">
                  <c:v>45316</c:v>
                </c:pt>
                <c:pt idx="66">
                  <c:v>45317</c:v>
                </c:pt>
                <c:pt idx="67">
                  <c:v>45320</c:v>
                </c:pt>
                <c:pt idx="68">
                  <c:v>45321</c:v>
                </c:pt>
                <c:pt idx="69">
                  <c:v>45322</c:v>
                </c:pt>
                <c:pt idx="70">
                  <c:v>45323</c:v>
                </c:pt>
                <c:pt idx="71">
                  <c:v>45324</c:v>
                </c:pt>
                <c:pt idx="72">
                  <c:v>45327</c:v>
                </c:pt>
                <c:pt idx="73">
                  <c:v>45328</c:v>
                </c:pt>
                <c:pt idx="74">
                  <c:v>45329</c:v>
                </c:pt>
                <c:pt idx="75">
                  <c:v>45330</c:v>
                </c:pt>
                <c:pt idx="76">
                  <c:v>45331</c:v>
                </c:pt>
                <c:pt idx="77">
                  <c:v>45334</c:v>
                </c:pt>
                <c:pt idx="78">
                  <c:v>45335</c:v>
                </c:pt>
                <c:pt idx="79">
                  <c:v>45336</c:v>
                </c:pt>
                <c:pt idx="80">
                  <c:v>45337</c:v>
                </c:pt>
                <c:pt idx="81">
                  <c:v>45338</c:v>
                </c:pt>
                <c:pt idx="82">
                  <c:v>45342</c:v>
                </c:pt>
                <c:pt idx="83">
                  <c:v>45343</c:v>
                </c:pt>
                <c:pt idx="84">
                  <c:v>45344</c:v>
                </c:pt>
                <c:pt idx="85">
                  <c:v>45345</c:v>
                </c:pt>
                <c:pt idx="86">
                  <c:v>45348</c:v>
                </c:pt>
                <c:pt idx="87">
                  <c:v>45349</c:v>
                </c:pt>
                <c:pt idx="88">
                  <c:v>45350</c:v>
                </c:pt>
                <c:pt idx="89">
                  <c:v>45351</c:v>
                </c:pt>
                <c:pt idx="90">
                  <c:v>45352</c:v>
                </c:pt>
                <c:pt idx="91">
                  <c:v>45355</c:v>
                </c:pt>
                <c:pt idx="92">
                  <c:v>45356</c:v>
                </c:pt>
                <c:pt idx="93">
                  <c:v>45357</c:v>
                </c:pt>
                <c:pt idx="94">
                  <c:v>45358</c:v>
                </c:pt>
                <c:pt idx="95">
                  <c:v>45359</c:v>
                </c:pt>
                <c:pt idx="96">
                  <c:v>45362</c:v>
                </c:pt>
                <c:pt idx="97">
                  <c:v>45363</c:v>
                </c:pt>
                <c:pt idx="98">
                  <c:v>45364</c:v>
                </c:pt>
                <c:pt idx="99">
                  <c:v>45365</c:v>
                </c:pt>
                <c:pt idx="100">
                  <c:v>45366</c:v>
                </c:pt>
                <c:pt idx="101">
                  <c:v>45369</c:v>
                </c:pt>
                <c:pt idx="102">
                  <c:v>45370</c:v>
                </c:pt>
                <c:pt idx="103">
                  <c:v>45371</c:v>
                </c:pt>
                <c:pt idx="104">
                  <c:v>45372</c:v>
                </c:pt>
                <c:pt idx="105">
                  <c:v>45373</c:v>
                </c:pt>
                <c:pt idx="106">
                  <c:v>45376</c:v>
                </c:pt>
                <c:pt idx="107">
                  <c:v>45377</c:v>
                </c:pt>
                <c:pt idx="108">
                  <c:v>45378</c:v>
                </c:pt>
                <c:pt idx="109">
                  <c:v>45379</c:v>
                </c:pt>
                <c:pt idx="110">
                  <c:v>45383</c:v>
                </c:pt>
                <c:pt idx="111">
                  <c:v>45384</c:v>
                </c:pt>
                <c:pt idx="112">
                  <c:v>45385</c:v>
                </c:pt>
                <c:pt idx="113">
                  <c:v>45386</c:v>
                </c:pt>
                <c:pt idx="114">
                  <c:v>45387</c:v>
                </c:pt>
                <c:pt idx="115">
                  <c:v>45390</c:v>
                </c:pt>
                <c:pt idx="116">
                  <c:v>45391</c:v>
                </c:pt>
                <c:pt idx="117">
                  <c:v>45392</c:v>
                </c:pt>
                <c:pt idx="118">
                  <c:v>45393</c:v>
                </c:pt>
                <c:pt idx="119">
                  <c:v>45394</c:v>
                </c:pt>
                <c:pt idx="120">
                  <c:v>45397</c:v>
                </c:pt>
                <c:pt idx="121">
                  <c:v>45398</c:v>
                </c:pt>
                <c:pt idx="122">
                  <c:v>45399</c:v>
                </c:pt>
                <c:pt idx="123">
                  <c:v>45400</c:v>
                </c:pt>
                <c:pt idx="124">
                  <c:v>45401</c:v>
                </c:pt>
                <c:pt idx="125">
                  <c:v>45404</c:v>
                </c:pt>
                <c:pt idx="126">
                  <c:v>45405</c:v>
                </c:pt>
                <c:pt idx="127">
                  <c:v>45406</c:v>
                </c:pt>
                <c:pt idx="128">
                  <c:v>45407</c:v>
                </c:pt>
                <c:pt idx="129">
                  <c:v>45408</c:v>
                </c:pt>
                <c:pt idx="130">
                  <c:v>45411</c:v>
                </c:pt>
                <c:pt idx="131">
                  <c:v>45412</c:v>
                </c:pt>
                <c:pt idx="132">
                  <c:v>45413</c:v>
                </c:pt>
                <c:pt idx="133">
                  <c:v>45414</c:v>
                </c:pt>
                <c:pt idx="134">
                  <c:v>45415</c:v>
                </c:pt>
                <c:pt idx="135">
                  <c:v>45418</c:v>
                </c:pt>
                <c:pt idx="136">
                  <c:v>45419</c:v>
                </c:pt>
                <c:pt idx="137">
                  <c:v>45420</c:v>
                </c:pt>
                <c:pt idx="138">
                  <c:v>45421</c:v>
                </c:pt>
                <c:pt idx="139">
                  <c:v>45422</c:v>
                </c:pt>
                <c:pt idx="140">
                  <c:v>45425</c:v>
                </c:pt>
                <c:pt idx="141">
                  <c:v>45426</c:v>
                </c:pt>
                <c:pt idx="142">
                  <c:v>45427</c:v>
                </c:pt>
                <c:pt idx="143">
                  <c:v>45428</c:v>
                </c:pt>
                <c:pt idx="144">
                  <c:v>45429</c:v>
                </c:pt>
                <c:pt idx="145">
                  <c:v>45432</c:v>
                </c:pt>
                <c:pt idx="146">
                  <c:v>45433</c:v>
                </c:pt>
                <c:pt idx="147">
                  <c:v>45434</c:v>
                </c:pt>
                <c:pt idx="148">
                  <c:v>45435</c:v>
                </c:pt>
                <c:pt idx="149">
                  <c:v>45436</c:v>
                </c:pt>
                <c:pt idx="150">
                  <c:v>45440</c:v>
                </c:pt>
                <c:pt idx="151">
                  <c:v>45441</c:v>
                </c:pt>
                <c:pt idx="152">
                  <c:v>45442</c:v>
                </c:pt>
                <c:pt idx="153">
                  <c:v>45443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45453</c:v>
                </c:pt>
                <c:pt idx="160">
                  <c:v>45454</c:v>
                </c:pt>
                <c:pt idx="161">
                  <c:v>45455</c:v>
                </c:pt>
                <c:pt idx="162">
                  <c:v>45456</c:v>
                </c:pt>
                <c:pt idx="163">
                  <c:v>45457</c:v>
                </c:pt>
                <c:pt idx="164">
                  <c:v>45460</c:v>
                </c:pt>
                <c:pt idx="165">
                  <c:v>45461</c:v>
                </c:pt>
                <c:pt idx="166">
                  <c:v>45463</c:v>
                </c:pt>
                <c:pt idx="167">
                  <c:v>45464</c:v>
                </c:pt>
                <c:pt idx="168">
                  <c:v>45467</c:v>
                </c:pt>
                <c:pt idx="169">
                  <c:v>45468</c:v>
                </c:pt>
                <c:pt idx="170">
                  <c:v>45469</c:v>
                </c:pt>
                <c:pt idx="171">
                  <c:v>45470</c:v>
                </c:pt>
                <c:pt idx="172">
                  <c:v>45471</c:v>
                </c:pt>
                <c:pt idx="173">
                  <c:v>45474</c:v>
                </c:pt>
                <c:pt idx="174">
                  <c:v>45475</c:v>
                </c:pt>
                <c:pt idx="175">
                  <c:v>45476</c:v>
                </c:pt>
                <c:pt idx="176">
                  <c:v>45478</c:v>
                </c:pt>
                <c:pt idx="177">
                  <c:v>45481</c:v>
                </c:pt>
                <c:pt idx="178">
                  <c:v>45482</c:v>
                </c:pt>
                <c:pt idx="179">
                  <c:v>45483</c:v>
                </c:pt>
                <c:pt idx="180">
                  <c:v>45484</c:v>
                </c:pt>
                <c:pt idx="181">
                  <c:v>45485</c:v>
                </c:pt>
                <c:pt idx="182">
                  <c:v>45488</c:v>
                </c:pt>
                <c:pt idx="183">
                  <c:v>45489</c:v>
                </c:pt>
                <c:pt idx="184">
                  <c:v>45490</c:v>
                </c:pt>
                <c:pt idx="185">
                  <c:v>45491</c:v>
                </c:pt>
                <c:pt idx="186">
                  <c:v>45492</c:v>
                </c:pt>
                <c:pt idx="187">
                  <c:v>45495</c:v>
                </c:pt>
                <c:pt idx="188">
                  <c:v>45496</c:v>
                </c:pt>
                <c:pt idx="189">
                  <c:v>45497</c:v>
                </c:pt>
                <c:pt idx="190">
                  <c:v>45498</c:v>
                </c:pt>
                <c:pt idx="191">
                  <c:v>45499</c:v>
                </c:pt>
                <c:pt idx="192">
                  <c:v>45502</c:v>
                </c:pt>
                <c:pt idx="193">
                  <c:v>45503</c:v>
                </c:pt>
                <c:pt idx="194">
                  <c:v>45504</c:v>
                </c:pt>
                <c:pt idx="195">
                  <c:v>45505</c:v>
                </c:pt>
                <c:pt idx="196">
                  <c:v>45506</c:v>
                </c:pt>
                <c:pt idx="197">
                  <c:v>45509</c:v>
                </c:pt>
                <c:pt idx="198">
                  <c:v>45510</c:v>
                </c:pt>
                <c:pt idx="199">
                  <c:v>45511</c:v>
                </c:pt>
                <c:pt idx="200">
                  <c:v>45512</c:v>
                </c:pt>
                <c:pt idx="201">
                  <c:v>45513</c:v>
                </c:pt>
                <c:pt idx="202">
                  <c:v>45516</c:v>
                </c:pt>
                <c:pt idx="203">
                  <c:v>45517</c:v>
                </c:pt>
                <c:pt idx="204">
                  <c:v>45518</c:v>
                </c:pt>
                <c:pt idx="205">
                  <c:v>45519</c:v>
                </c:pt>
                <c:pt idx="206">
                  <c:v>45520</c:v>
                </c:pt>
                <c:pt idx="207">
                  <c:v>45523</c:v>
                </c:pt>
                <c:pt idx="208">
                  <c:v>45524</c:v>
                </c:pt>
                <c:pt idx="209">
                  <c:v>45525</c:v>
                </c:pt>
                <c:pt idx="210">
                  <c:v>45526</c:v>
                </c:pt>
                <c:pt idx="211">
                  <c:v>45527</c:v>
                </c:pt>
                <c:pt idx="212">
                  <c:v>45530</c:v>
                </c:pt>
                <c:pt idx="213">
                  <c:v>45531</c:v>
                </c:pt>
                <c:pt idx="214">
                  <c:v>45532</c:v>
                </c:pt>
                <c:pt idx="215">
                  <c:v>45533</c:v>
                </c:pt>
                <c:pt idx="216">
                  <c:v>45534</c:v>
                </c:pt>
                <c:pt idx="217">
                  <c:v>45538</c:v>
                </c:pt>
                <c:pt idx="218">
                  <c:v>45539</c:v>
                </c:pt>
                <c:pt idx="219">
                  <c:v>45540</c:v>
                </c:pt>
                <c:pt idx="220">
                  <c:v>45541</c:v>
                </c:pt>
                <c:pt idx="221">
                  <c:v>45544</c:v>
                </c:pt>
                <c:pt idx="222">
                  <c:v>45545</c:v>
                </c:pt>
                <c:pt idx="223">
                  <c:v>45546</c:v>
                </c:pt>
                <c:pt idx="224">
                  <c:v>45547</c:v>
                </c:pt>
                <c:pt idx="225">
                  <c:v>45548</c:v>
                </c:pt>
                <c:pt idx="226">
                  <c:v>45551</c:v>
                </c:pt>
                <c:pt idx="227">
                  <c:v>45552</c:v>
                </c:pt>
                <c:pt idx="228">
                  <c:v>45553</c:v>
                </c:pt>
                <c:pt idx="229">
                  <c:v>45554</c:v>
                </c:pt>
                <c:pt idx="230">
                  <c:v>45555</c:v>
                </c:pt>
                <c:pt idx="231">
                  <c:v>45558</c:v>
                </c:pt>
                <c:pt idx="232">
                  <c:v>45559</c:v>
                </c:pt>
                <c:pt idx="233">
                  <c:v>45560</c:v>
                </c:pt>
                <c:pt idx="234">
                  <c:v>45561</c:v>
                </c:pt>
                <c:pt idx="235">
                  <c:v>45562</c:v>
                </c:pt>
                <c:pt idx="236">
                  <c:v>45565</c:v>
                </c:pt>
                <c:pt idx="237">
                  <c:v>45566</c:v>
                </c:pt>
                <c:pt idx="238">
                  <c:v>45567</c:v>
                </c:pt>
                <c:pt idx="239">
                  <c:v>45568</c:v>
                </c:pt>
                <c:pt idx="240">
                  <c:v>45569</c:v>
                </c:pt>
                <c:pt idx="241">
                  <c:v>45572</c:v>
                </c:pt>
                <c:pt idx="242">
                  <c:v>45573</c:v>
                </c:pt>
                <c:pt idx="243">
                  <c:v>45574</c:v>
                </c:pt>
                <c:pt idx="244">
                  <c:v>45575</c:v>
                </c:pt>
                <c:pt idx="245">
                  <c:v>45576</c:v>
                </c:pt>
                <c:pt idx="246">
                  <c:v>45579</c:v>
                </c:pt>
                <c:pt idx="247">
                  <c:v>45580</c:v>
                </c:pt>
                <c:pt idx="248">
                  <c:v>45581</c:v>
                </c:pt>
                <c:pt idx="249">
                  <c:v>45582</c:v>
                </c:pt>
                <c:pt idx="250">
                  <c:v>45583</c:v>
                </c:pt>
                <c:pt idx="251">
                  <c:v>45586</c:v>
                </c:pt>
                <c:pt idx="252">
                  <c:v>45587</c:v>
                </c:pt>
                <c:pt idx="253">
                  <c:v>45588</c:v>
                </c:pt>
                <c:pt idx="254">
                  <c:v>45589</c:v>
                </c:pt>
                <c:pt idx="255">
                  <c:v>45590</c:v>
                </c:pt>
                <c:pt idx="256">
                  <c:v>45593</c:v>
                </c:pt>
                <c:pt idx="257">
                  <c:v>45594</c:v>
                </c:pt>
              </c:numCache>
            </c:numRef>
          </c:cat>
          <c:val>
            <c:numRef>
              <c:f>'Stock Price History'!$K$8:$K$265</c:f>
              <c:numCache>
                <c:formatCode>_([$$-409]* #,##0.00_);_([$$-409]* \(#,##0.00\);_([$$-409]* "-"??_);_(@_)</c:formatCode>
                <c:ptCount val="258"/>
                <c:pt idx="0">
                  <c:v>38.700000000000003</c:v>
                </c:pt>
                <c:pt idx="1">
                  <c:v>38.82</c:v>
                </c:pt>
                <c:pt idx="2">
                  <c:v>38.82</c:v>
                </c:pt>
                <c:pt idx="3">
                  <c:v>39.200000000000003</c:v>
                </c:pt>
                <c:pt idx="4">
                  <c:v>38.549999999999997</c:v>
                </c:pt>
                <c:pt idx="5">
                  <c:v>38.07</c:v>
                </c:pt>
                <c:pt idx="6">
                  <c:v>38.54</c:v>
                </c:pt>
                <c:pt idx="7">
                  <c:v>39.07</c:v>
                </c:pt>
                <c:pt idx="8">
                  <c:v>38.5</c:v>
                </c:pt>
                <c:pt idx="9">
                  <c:v>40.200000000000003</c:v>
                </c:pt>
                <c:pt idx="10">
                  <c:v>41.16</c:v>
                </c:pt>
                <c:pt idx="11">
                  <c:v>41.43</c:v>
                </c:pt>
                <c:pt idx="12">
                  <c:v>42.22</c:v>
                </c:pt>
                <c:pt idx="13">
                  <c:v>42.21</c:v>
                </c:pt>
                <c:pt idx="14">
                  <c:v>39.9</c:v>
                </c:pt>
                <c:pt idx="15">
                  <c:v>40.65</c:v>
                </c:pt>
                <c:pt idx="16">
                  <c:v>39.840000000000003</c:v>
                </c:pt>
                <c:pt idx="17">
                  <c:v>39.72</c:v>
                </c:pt>
                <c:pt idx="18">
                  <c:v>41.22</c:v>
                </c:pt>
                <c:pt idx="19">
                  <c:v>42.21</c:v>
                </c:pt>
                <c:pt idx="20">
                  <c:v>41.79</c:v>
                </c:pt>
                <c:pt idx="21">
                  <c:v>41.84</c:v>
                </c:pt>
                <c:pt idx="22">
                  <c:v>43.4</c:v>
                </c:pt>
                <c:pt idx="23">
                  <c:v>41.85</c:v>
                </c:pt>
                <c:pt idx="24">
                  <c:v>42.14</c:v>
                </c:pt>
                <c:pt idx="25">
                  <c:v>41.49</c:v>
                </c:pt>
                <c:pt idx="26">
                  <c:v>45.38</c:v>
                </c:pt>
                <c:pt idx="27">
                  <c:v>45.75</c:v>
                </c:pt>
                <c:pt idx="28">
                  <c:v>46.15</c:v>
                </c:pt>
                <c:pt idx="29">
                  <c:v>48.45</c:v>
                </c:pt>
                <c:pt idx="30">
                  <c:v>48.68</c:v>
                </c:pt>
                <c:pt idx="31">
                  <c:v>49.03</c:v>
                </c:pt>
                <c:pt idx="32">
                  <c:v>47.17</c:v>
                </c:pt>
                <c:pt idx="33">
                  <c:v>47.4</c:v>
                </c:pt>
                <c:pt idx="34">
                  <c:v>47.91</c:v>
                </c:pt>
                <c:pt idx="35">
                  <c:v>48.25</c:v>
                </c:pt>
                <c:pt idx="36">
                  <c:v>48.76</c:v>
                </c:pt>
                <c:pt idx="37">
                  <c:v>48.46</c:v>
                </c:pt>
                <c:pt idx="38">
                  <c:v>49.98</c:v>
                </c:pt>
                <c:pt idx="39">
                  <c:v>48.68</c:v>
                </c:pt>
                <c:pt idx="40">
                  <c:v>48.7</c:v>
                </c:pt>
                <c:pt idx="41">
                  <c:v>49.04</c:v>
                </c:pt>
                <c:pt idx="42">
                  <c:v>47.75</c:v>
                </c:pt>
                <c:pt idx="43">
                  <c:v>46.8</c:v>
                </c:pt>
                <c:pt idx="44">
                  <c:v>46.31</c:v>
                </c:pt>
                <c:pt idx="45">
                  <c:v>49.03</c:v>
                </c:pt>
                <c:pt idx="46">
                  <c:v>50.06</c:v>
                </c:pt>
                <c:pt idx="47">
                  <c:v>49.5</c:v>
                </c:pt>
                <c:pt idx="48">
                  <c:v>48.73</c:v>
                </c:pt>
                <c:pt idx="49">
                  <c:v>47.38</c:v>
                </c:pt>
                <c:pt idx="50">
                  <c:v>46.29</c:v>
                </c:pt>
                <c:pt idx="51">
                  <c:v>46.19</c:v>
                </c:pt>
                <c:pt idx="52">
                  <c:v>45.7</c:v>
                </c:pt>
                <c:pt idx="53">
                  <c:v>47.43</c:v>
                </c:pt>
                <c:pt idx="54">
                  <c:v>46.64</c:v>
                </c:pt>
                <c:pt idx="55">
                  <c:v>47.65</c:v>
                </c:pt>
                <c:pt idx="56">
                  <c:v>47.54</c:v>
                </c:pt>
                <c:pt idx="57">
                  <c:v>47.88</c:v>
                </c:pt>
                <c:pt idx="58">
                  <c:v>49.43</c:v>
                </c:pt>
                <c:pt idx="59">
                  <c:v>49.98</c:v>
                </c:pt>
                <c:pt idx="60">
                  <c:v>46.12</c:v>
                </c:pt>
                <c:pt idx="61">
                  <c:v>46.32</c:v>
                </c:pt>
                <c:pt idx="62">
                  <c:v>47.6</c:v>
                </c:pt>
                <c:pt idx="63">
                  <c:v>45.61</c:v>
                </c:pt>
                <c:pt idx="64">
                  <c:v>44.8</c:v>
                </c:pt>
                <c:pt idx="65">
                  <c:v>46.4</c:v>
                </c:pt>
                <c:pt idx="66">
                  <c:v>46.53</c:v>
                </c:pt>
                <c:pt idx="67">
                  <c:v>48.42</c:v>
                </c:pt>
                <c:pt idx="68">
                  <c:v>47.5</c:v>
                </c:pt>
                <c:pt idx="69">
                  <c:v>46.39</c:v>
                </c:pt>
                <c:pt idx="70">
                  <c:v>46.67</c:v>
                </c:pt>
                <c:pt idx="71">
                  <c:v>46.09</c:v>
                </c:pt>
                <c:pt idx="72">
                  <c:v>45.15</c:v>
                </c:pt>
                <c:pt idx="73">
                  <c:v>46.41</c:v>
                </c:pt>
                <c:pt idx="74">
                  <c:v>45.91</c:v>
                </c:pt>
                <c:pt idx="75">
                  <c:v>48</c:v>
                </c:pt>
                <c:pt idx="76">
                  <c:v>47.86</c:v>
                </c:pt>
                <c:pt idx="77">
                  <c:v>50.7</c:v>
                </c:pt>
                <c:pt idx="78">
                  <c:v>48.13</c:v>
                </c:pt>
                <c:pt idx="79">
                  <c:v>49.85</c:v>
                </c:pt>
                <c:pt idx="80">
                  <c:v>49.78</c:v>
                </c:pt>
                <c:pt idx="81">
                  <c:v>49.25</c:v>
                </c:pt>
                <c:pt idx="82">
                  <c:v>49.24</c:v>
                </c:pt>
                <c:pt idx="83">
                  <c:v>51.98</c:v>
                </c:pt>
                <c:pt idx="84">
                  <c:v>51.3</c:v>
                </c:pt>
                <c:pt idx="85">
                  <c:v>52</c:v>
                </c:pt>
                <c:pt idx="86">
                  <c:v>51</c:v>
                </c:pt>
                <c:pt idx="87">
                  <c:v>51.45</c:v>
                </c:pt>
                <c:pt idx="88">
                  <c:v>51.23</c:v>
                </c:pt>
                <c:pt idx="89">
                  <c:v>50.01</c:v>
                </c:pt>
                <c:pt idx="90">
                  <c:v>47.83</c:v>
                </c:pt>
                <c:pt idx="91">
                  <c:v>50.24</c:v>
                </c:pt>
                <c:pt idx="92">
                  <c:v>48.36</c:v>
                </c:pt>
                <c:pt idx="93">
                  <c:v>48.19</c:v>
                </c:pt>
                <c:pt idx="94">
                  <c:v>48.4</c:v>
                </c:pt>
                <c:pt idx="95">
                  <c:v>47.18</c:v>
                </c:pt>
                <c:pt idx="96">
                  <c:v>47.43</c:v>
                </c:pt>
                <c:pt idx="97">
                  <c:v>47.03</c:v>
                </c:pt>
                <c:pt idx="98">
                  <c:v>46.85</c:v>
                </c:pt>
                <c:pt idx="99">
                  <c:v>46.43</c:v>
                </c:pt>
                <c:pt idx="100">
                  <c:v>47.09</c:v>
                </c:pt>
                <c:pt idx="101">
                  <c:v>46.4</c:v>
                </c:pt>
                <c:pt idx="102">
                  <c:v>45.87</c:v>
                </c:pt>
                <c:pt idx="103">
                  <c:v>45.95</c:v>
                </c:pt>
                <c:pt idx="104">
                  <c:v>46.75</c:v>
                </c:pt>
                <c:pt idx="105">
                  <c:v>46.75</c:v>
                </c:pt>
                <c:pt idx="106">
                  <c:v>45.67</c:v>
                </c:pt>
                <c:pt idx="107">
                  <c:v>46.26</c:v>
                </c:pt>
                <c:pt idx="108">
                  <c:v>47.03</c:v>
                </c:pt>
                <c:pt idx="109">
                  <c:v>47.25</c:v>
                </c:pt>
                <c:pt idx="110">
                  <c:v>46.59</c:v>
                </c:pt>
                <c:pt idx="111">
                  <c:v>45.19</c:v>
                </c:pt>
                <c:pt idx="112">
                  <c:v>43.36</c:v>
                </c:pt>
                <c:pt idx="113">
                  <c:v>41.99</c:v>
                </c:pt>
                <c:pt idx="114">
                  <c:v>44.04</c:v>
                </c:pt>
                <c:pt idx="115">
                  <c:v>44.55</c:v>
                </c:pt>
                <c:pt idx="116">
                  <c:v>45.21</c:v>
                </c:pt>
                <c:pt idx="117">
                  <c:v>43.42</c:v>
                </c:pt>
                <c:pt idx="118">
                  <c:v>43.81</c:v>
                </c:pt>
                <c:pt idx="119">
                  <c:v>43.03</c:v>
                </c:pt>
                <c:pt idx="120">
                  <c:v>42.16</c:v>
                </c:pt>
                <c:pt idx="121">
                  <c:v>42.15</c:v>
                </c:pt>
                <c:pt idx="122">
                  <c:v>42.29</c:v>
                </c:pt>
                <c:pt idx="123">
                  <c:v>42.02</c:v>
                </c:pt>
                <c:pt idx="124">
                  <c:v>42.67</c:v>
                </c:pt>
                <c:pt idx="125">
                  <c:v>43.9</c:v>
                </c:pt>
                <c:pt idx="126">
                  <c:v>44.84</c:v>
                </c:pt>
                <c:pt idx="127">
                  <c:v>45.04</c:v>
                </c:pt>
                <c:pt idx="128">
                  <c:v>44.84</c:v>
                </c:pt>
                <c:pt idx="129">
                  <c:v>45.45</c:v>
                </c:pt>
                <c:pt idx="130">
                  <c:v>44.61</c:v>
                </c:pt>
                <c:pt idx="131">
                  <c:v>44.77</c:v>
                </c:pt>
                <c:pt idx="132">
                  <c:v>44.48</c:v>
                </c:pt>
                <c:pt idx="133">
                  <c:v>44.61</c:v>
                </c:pt>
                <c:pt idx="134">
                  <c:v>44.8</c:v>
                </c:pt>
                <c:pt idx="135">
                  <c:v>44.9</c:v>
                </c:pt>
                <c:pt idx="136">
                  <c:v>44.74</c:v>
                </c:pt>
                <c:pt idx="137">
                  <c:v>44.89</c:v>
                </c:pt>
                <c:pt idx="138">
                  <c:v>46.18</c:v>
                </c:pt>
                <c:pt idx="139">
                  <c:v>45.49</c:v>
                </c:pt>
                <c:pt idx="140">
                  <c:v>47.44</c:v>
                </c:pt>
                <c:pt idx="141">
                  <c:v>48.25</c:v>
                </c:pt>
                <c:pt idx="142">
                  <c:v>46.98</c:v>
                </c:pt>
                <c:pt idx="143">
                  <c:v>46.13</c:v>
                </c:pt>
                <c:pt idx="144">
                  <c:v>47.2</c:v>
                </c:pt>
                <c:pt idx="145">
                  <c:v>48.01</c:v>
                </c:pt>
                <c:pt idx="146">
                  <c:v>47.6</c:v>
                </c:pt>
                <c:pt idx="147">
                  <c:v>46.34</c:v>
                </c:pt>
                <c:pt idx="148">
                  <c:v>46.29</c:v>
                </c:pt>
                <c:pt idx="149">
                  <c:v>48.11</c:v>
                </c:pt>
                <c:pt idx="150">
                  <c:v>49.18</c:v>
                </c:pt>
                <c:pt idx="151">
                  <c:v>49.99</c:v>
                </c:pt>
                <c:pt idx="152">
                  <c:v>55.82</c:v>
                </c:pt>
                <c:pt idx="153">
                  <c:v>57</c:v>
                </c:pt>
                <c:pt idx="154">
                  <c:v>58.73</c:v>
                </c:pt>
                <c:pt idx="155">
                  <c:v>58.02</c:v>
                </c:pt>
                <c:pt idx="156">
                  <c:v>59.29</c:v>
                </c:pt>
                <c:pt idx="157">
                  <c:v>58.59</c:v>
                </c:pt>
                <c:pt idx="158">
                  <c:v>57.88</c:v>
                </c:pt>
                <c:pt idx="159">
                  <c:v>58.77</c:v>
                </c:pt>
                <c:pt idx="160">
                  <c:v>59.14</c:v>
                </c:pt>
                <c:pt idx="161">
                  <c:v>58.79</c:v>
                </c:pt>
                <c:pt idx="162">
                  <c:v>59.95</c:v>
                </c:pt>
                <c:pt idx="163">
                  <c:v>59.67</c:v>
                </c:pt>
                <c:pt idx="164">
                  <c:v>60.1</c:v>
                </c:pt>
                <c:pt idx="165">
                  <c:v>60.11</c:v>
                </c:pt>
                <c:pt idx="166">
                  <c:v>61.14</c:v>
                </c:pt>
                <c:pt idx="167">
                  <c:v>61.47</c:v>
                </c:pt>
                <c:pt idx="168">
                  <c:v>59.78</c:v>
                </c:pt>
                <c:pt idx="169">
                  <c:v>57.37</c:v>
                </c:pt>
                <c:pt idx="170">
                  <c:v>54.61</c:v>
                </c:pt>
                <c:pt idx="171">
                  <c:v>54.3</c:v>
                </c:pt>
                <c:pt idx="172">
                  <c:v>54.41</c:v>
                </c:pt>
                <c:pt idx="173">
                  <c:v>55.37</c:v>
                </c:pt>
                <c:pt idx="174">
                  <c:v>55.46</c:v>
                </c:pt>
                <c:pt idx="175">
                  <c:v>56.5</c:v>
                </c:pt>
                <c:pt idx="176">
                  <c:v>56.62</c:v>
                </c:pt>
                <c:pt idx="177">
                  <c:v>56.76</c:v>
                </c:pt>
                <c:pt idx="178">
                  <c:v>56.29</c:v>
                </c:pt>
                <c:pt idx="179">
                  <c:v>55.06</c:v>
                </c:pt>
                <c:pt idx="180">
                  <c:v>54.78</c:v>
                </c:pt>
                <c:pt idx="181">
                  <c:v>55.65</c:v>
                </c:pt>
                <c:pt idx="182">
                  <c:v>54.66</c:v>
                </c:pt>
                <c:pt idx="183">
                  <c:v>55.08</c:v>
                </c:pt>
                <c:pt idx="184">
                  <c:v>54.16</c:v>
                </c:pt>
                <c:pt idx="185">
                  <c:v>53.63</c:v>
                </c:pt>
                <c:pt idx="186">
                  <c:v>54.3</c:v>
                </c:pt>
                <c:pt idx="187">
                  <c:v>55.27</c:v>
                </c:pt>
                <c:pt idx="188">
                  <c:v>55.52</c:v>
                </c:pt>
                <c:pt idx="189">
                  <c:v>55.42</c:v>
                </c:pt>
                <c:pt idx="190">
                  <c:v>55.52</c:v>
                </c:pt>
                <c:pt idx="191">
                  <c:v>57.21</c:v>
                </c:pt>
                <c:pt idx="192">
                  <c:v>58.55</c:v>
                </c:pt>
                <c:pt idx="193">
                  <c:v>58.92</c:v>
                </c:pt>
                <c:pt idx="194">
                  <c:v>59.11</c:v>
                </c:pt>
                <c:pt idx="195">
                  <c:v>58.12</c:v>
                </c:pt>
                <c:pt idx="196">
                  <c:v>55.95</c:v>
                </c:pt>
                <c:pt idx="197">
                  <c:v>54.37</c:v>
                </c:pt>
                <c:pt idx="198">
                  <c:v>56.02</c:v>
                </c:pt>
                <c:pt idx="199">
                  <c:v>55.25</c:v>
                </c:pt>
                <c:pt idx="200">
                  <c:v>57.31</c:v>
                </c:pt>
                <c:pt idx="201">
                  <c:v>58.47</c:v>
                </c:pt>
                <c:pt idx="202">
                  <c:v>58.66</c:v>
                </c:pt>
                <c:pt idx="203">
                  <c:v>60.31</c:v>
                </c:pt>
                <c:pt idx="204">
                  <c:v>59.56</c:v>
                </c:pt>
                <c:pt idx="205">
                  <c:v>62.38</c:v>
                </c:pt>
                <c:pt idx="206">
                  <c:v>62.89</c:v>
                </c:pt>
                <c:pt idx="207">
                  <c:v>61.95</c:v>
                </c:pt>
                <c:pt idx="208">
                  <c:v>61.6</c:v>
                </c:pt>
                <c:pt idx="209">
                  <c:v>63.03</c:v>
                </c:pt>
                <c:pt idx="210">
                  <c:v>62.22</c:v>
                </c:pt>
                <c:pt idx="211">
                  <c:v>63.57</c:v>
                </c:pt>
                <c:pt idx="212">
                  <c:v>62.4</c:v>
                </c:pt>
                <c:pt idx="213">
                  <c:v>61.97</c:v>
                </c:pt>
                <c:pt idx="214">
                  <c:v>60.7</c:v>
                </c:pt>
                <c:pt idx="215">
                  <c:v>50.9</c:v>
                </c:pt>
                <c:pt idx="216">
                  <c:v>49.9</c:v>
                </c:pt>
                <c:pt idx="217">
                  <c:v>49.85</c:v>
                </c:pt>
                <c:pt idx="218">
                  <c:v>48.21</c:v>
                </c:pt>
                <c:pt idx="219">
                  <c:v>47.5</c:v>
                </c:pt>
                <c:pt idx="220">
                  <c:v>45.41</c:v>
                </c:pt>
                <c:pt idx="221">
                  <c:v>44.58</c:v>
                </c:pt>
                <c:pt idx="222">
                  <c:v>43.88</c:v>
                </c:pt>
                <c:pt idx="223">
                  <c:v>44.79</c:v>
                </c:pt>
                <c:pt idx="224">
                  <c:v>46.43</c:v>
                </c:pt>
                <c:pt idx="225">
                  <c:v>46.24</c:v>
                </c:pt>
                <c:pt idx="226">
                  <c:v>48.24</c:v>
                </c:pt>
                <c:pt idx="227">
                  <c:v>48.24</c:v>
                </c:pt>
                <c:pt idx="228">
                  <c:v>48.24</c:v>
                </c:pt>
                <c:pt idx="229">
                  <c:v>47.86</c:v>
                </c:pt>
                <c:pt idx="230">
                  <c:v>47.83</c:v>
                </c:pt>
                <c:pt idx="231">
                  <c:v>49.17</c:v>
                </c:pt>
                <c:pt idx="232">
                  <c:v>50.17</c:v>
                </c:pt>
                <c:pt idx="233">
                  <c:v>49.35</c:v>
                </c:pt>
                <c:pt idx="234">
                  <c:v>49.83</c:v>
                </c:pt>
                <c:pt idx="235">
                  <c:v>49.25</c:v>
                </c:pt>
                <c:pt idx="236">
                  <c:v>49.29</c:v>
                </c:pt>
                <c:pt idx="237">
                  <c:v>47.97</c:v>
                </c:pt>
                <c:pt idx="238">
                  <c:v>47.45</c:v>
                </c:pt>
                <c:pt idx="239">
                  <c:v>47.44</c:v>
                </c:pt>
                <c:pt idx="240">
                  <c:v>48.81</c:v>
                </c:pt>
                <c:pt idx="241">
                  <c:v>47.27</c:v>
                </c:pt>
                <c:pt idx="242">
                  <c:v>47.79</c:v>
                </c:pt>
                <c:pt idx="243">
                  <c:v>48.83</c:v>
                </c:pt>
                <c:pt idx="244">
                  <c:v>49.84</c:v>
                </c:pt>
                <c:pt idx="245">
                  <c:v>50.02</c:v>
                </c:pt>
                <c:pt idx="246">
                  <c:v>51.77</c:v>
                </c:pt>
                <c:pt idx="247">
                  <c:v>50.44</c:v>
                </c:pt>
                <c:pt idx="248">
                  <c:v>50.36</c:v>
                </c:pt>
                <c:pt idx="249">
                  <c:v>50.48</c:v>
                </c:pt>
                <c:pt idx="250">
                  <c:v>51.78</c:v>
                </c:pt>
                <c:pt idx="251">
                  <c:v>51.06</c:v>
                </c:pt>
                <c:pt idx="252">
                  <c:v>50.69</c:v>
                </c:pt>
                <c:pt idx="253">
                  <c:v>50.32</c:v>
                </c:pt>
                <c:pt idx="254">
                  <c:v>49.51</c:v>
                </c:pt>
                <c:pt idx="255">
                  <c:v>49.4</c:v>
                </c:pt>
                <c:pt idx="256">
                  <c:v>48.52</c:v>
                </c:pt>
                <c:pt idx="257">
                  <c:v>47.69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A4-7242-9D31-D17A4F48A2D0}"/>
            </c:ext>
          </c:extLst>
        </c:ser>
        <c:ser>
          <c:idx val="1"/>
          <c:order val="1"/>
          <c:tx>
            <c:strRef>
              <c:f>'Stock Price History'!$L$7</c:f>
              <c:strCache>
                <c:ptCount val="1"/>
                <c:pt idx="0">
                  <c:v>VOO (Rebased)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'Stock Price History'!$J$8:$J$265</c:f>
              <c:numCache>
                <c:formatCode>m/d/yy</c:formatCode>
                <c:ptCount val="258"/>
                <c:pt idx="0">
                  <c:v>45219</c:v>
                </c:pt>
                <c:pt idx="1">
                  <c:v>45222</c:v>
                </c:pt>
                <c:pt idx="2">
                  <c:v>45223</c:v>
                </c:pt>
                <c:pt idx="3">
                  <c:v>45224</c:v>
                </c:pt>
                <c:pt idx="4">
                  <c:v>45225</c:v>
                </c:pt>
                <c:pt idx="5">
                  <c:v>45226</c:v>
                </c:pt>
                <c:pt idx="6">
                  <c:v>45229</c:v>
                </c:pt>
                <c:pt idx="7">
                  <c:v>45230</c:v>
                </c:pt>
                <c:pt idx="8">
                  <c:v>45231</c:v>
                </c:pt>
                <c:pt idx="9">
                  <c:v>45232</c:v>
                </c:pt>
                <c:pt idx="10">
                  <c:v>45233</c:v>
                </c:pt>
                <c:pt idx="11">
                  <c:v>45236</c:v>
                </c:pt>
                <c:pt idx="12">
                  <c:v>45237</c:v>
                </c:pt>
                <c:pt idx="13">
                  <c:v>45238</c:v>
                </c:pt>
                <c:pt idx="14">
                  <c:v>45239</c:v>
                </c:pt>
                <c:pt idx="15">
                  <c:v>45240</c:v>
                </c:pt>
                <c:pt idx="16">
                  <c:v>45243</c:v>
                </c:pt>
                <c:pt idx="17">
                  <c:v>45244</c:v>
                </c:pt>
                <c:pt idx="18">
                  <c:v>45245</c:v>
                </c:pt>
                <c:pt idx="19">
                  <c:v>45246</c:v>
                </c:pt>
                <c:pt idx="20">
                  <c:v>45247</c:v>
                </c:pt>
                <c:pt idx="21">
                  <c:v>45250</c:v>
                </c:pt>
                <c:pt idx="22">
                  <c:v>45251</c:v>
                </c:pt>
                <c:pt idx="23">
                  <c:v>45252</c:v>
                </c:pt>
                <c:pt idx="24">
                  <c:v>45254</c:v>
                </c:pt>
                <c:pt idx="25">
                  <c:v>45257</c:v>
                </c:pt>
                <c:pt idx="26">
                  <c:v>45258</c:v>
                </c:pt>
                <c:pt idx="27">
                  <c:v>45259</c:v>
                </c:pt>
                <c:pt idx="28">
                  <c:v>45260</c:v>
                </c:pt>
                <c:pt idx="29">
                  <c:v>45261</c:v>
                </c:pt>
                <c:pt idx="30">
                  <c:v>45264</c:v>
                </c:pt>
                <c:pt idx="31">
                  <c:v>45265</c:v>
                </c:pt>
                <c:pt idx="32">
                  <c:v>45266</c:v>
                </c:pt>
                <c:pt idx="33">
                  <c:v>45267</c:v>
                </c:pt>
                <c:pt idx="34">
                  <c:v>45268</c:v>
                </c:pt>
                <c:pt idx="35">
                  <c:v>45271</c:v>
                </c:pt>
                <c:pt idx="36">
                  <c:v>45272</c:v>
                </c:pt>
                <c:pt idx="37">
                  <c:v>45273</c:v>
                </c:pt>
                <c:pt idx="38">
                  <c:v>45274</c:v>
                </c:pt>
                <c:pt idx="39">
                  <c:v>45275</c:v>
                </c:pt>
                <c:pt idx="40">
                  <c:v>45278</c:v>
                </c:pt>
                <c:pt idx="41">
                  <c:v>45279</c:v>
                </c:pt>
                <c:pt idx="42">
                  <c:v>45280</c:v>
                </c:pt>
                <c:pt idx="43">
                  <c:v>45281</c:v>
                </c:pt>
                <c:pt idx="44">
                  <c:v>45282</c:v>
                </c:pt>
                <c:pt idx="45">
                  <c:v>45286</c:v>
                </c:pt>
                <c:pt idx="46">
                  <c:v>45287</c:v>
                </c:pt>
                <c:pt idx="47">
                  <c:v>45288</c:v>
                </c:pt>
                <c:pt idx="48">
                  <c:v>45289</c:v>
                </c:pt>
                <c:pt idx="49">
                  <c:v>45293</c:v>
                </c:pt>
                <c:pt idx="50">
                  <c:v>45294</c:v>
                </c:pt>
                <c:pt idx="51">
                  <c:v>45295</c:v>
                </c:pt>
                <c:pt idx="52">
                  <c:v>45296</c:v>
                </c:pt>
                <c:pt idx="53">
                  <c:v>45299</c:v>
                </c:pt>
                <c:pt idx="54">
                  <c:v>45300</c:v>
                </c:pt>
                <c:pt idx="55">
                  <c:v>45301</c:v>
                </c:pt>
                <c:pt idx="56">
                  <c:v>45302</c:v>
                </c:pt>
                <c:pt idx="57">
                  <c:v>45303</c:v>
                </c:pt>
                <c:pt idx="58">
                  <c:v>45307</c:v>
                </c:pt>
                <c:pt idx="59">
                  <c:v>45308</c:v>
                </c:pt>
                <c:pt idx="60">
                  <c:v>45309</c:v>
                </c:pt>
                <c:pt idx="61">
                  <c:v>45310</c:v>
                </c:pt>
                <c:pt idx="62">
                  <c:v>45313</c:v>
                </c:pt>
                <c:pt idx="63">
                  <c:v>45314</c:v>
                </c:pt>
                <c:pt idx="64">
                  <c:v>45315</c:v>
                </c:pt>
                <c:pt idx="65">
                  <c:v>45316</c:v>
                </c:pt>
                <c:pt idx="66">
                  <c:v>45317</c:v>
                </c:pt>
                <c:pt idx="67">
                  <c:v>45320</c:v>
                </c:pt>
                <c:pt idx="68">
                  <c:v>45321</c:v>
                </c:pt>
                <c:pt idx="69">
                  <c:v>45322</c:v>
                </c:pt>
                <c:pt idx="70">
                  <c:v>45323</c:v>
                </c:pt>
                <c:pt idx="71">
                  <c:v>45324</c:v>
                </c:pt>
                <c:pt idx="72">
                  <c:v>45327</c:v>
                </c:pt>
                <c:pt idx="73">
                  <c:v>45328</c:v>
                </c:pt>
                <c:pt idx="74">
                  <c:v>45329</c:v>
                </c:pt>
                <c:pt idx="75">
                  <c:v>45330</c:v>
                </c:pt>
                <c:pt idx="76">
                  <c:v>45331</c:v>
                </c:pt>
                <c:pt idx="77">
                  <c:v>45334</c:v>
                </c:pt>
                <c:pt idx="78">
                  <c:v>45335</c:v>
                </c:pt>
                <c:pt idx="79">
                  <c:v>45336</c:v>
                </c:pt>
                <c:pt idx="80">
                  <c:v>45337</c:v>
                </c:pt>
                <c:pt idx="81">
                  <c:v>45338</c:v>
                </c:pt>
                <c:pt idx="82">
                  <c:v>45342</c:v>
                </c:pt>
                <c:pt idx="83">
                  <c:v>45343</c:v>
                </c:pt>
                <c:pt idx="84">
                  <c:v>45344</c:v>
                </c:pt>
                <c:pt idx="85">
                  <c:v>45345</c:v>
                </c:pt>
                <c:pt idx="86">
                  <c:v>45348</c:v>
                </c:pt>
                <c:pt idx="87">
                  <c:v>45349</c:v>
                </c:pt>
                <c:pt idx="88">
                  <c:v>45350</c:v>
                </c:pt>
                <c:pt idx="89">
                  <c:v>45351</c:v>
                </c:pt>
                <c:pt idx="90">
                  <c:v>45352</c:v>
                </c:pt>
                <c:pt idx="91">
                  <c:v>45355</c:v>
                </c:pt>
                <c:pt idx="92">
                  <c:v>45356</c:v>
                </c:pt>
                <c:pt idx="93">
                  <c:v>45357</c:v>
                </c:pt>
                <c:pt idx="94">
                  <c:v>45358</c:v>
                </c:pt>
                <c:pt idx="95">
                  <c:v>45359</c:v>
                </c:pt>
                <c:pt idx="96">
                  <c:v>45362</c:v>
                </c:pt>
                <c:pt idx="97">
                  <c:v>45363</c:v>
                </c:pt>
                <c:pt idx="98">
                  <c:v>45364</c:v>
                </c:pt>
                <c:pt idx="99">
                  <c:v>45365</c:v>
                </c:pt>
                <c:pt idx="100">
                  <c:v>45366</c:v>
                </c:pt>
                <c:pt idx="101">
                  <c:v>45369</c:v>
                </c:pt>
                <c:pt idx="102">
                  <c:v>45370</c:v>
                </c:pt>
                <c:pt idx="103">
                  <c:v>45371</c:v>
                </c:pt>
                <c:pt idx="104">
                  <c:v>45372</c:v>
                </c:pt>
                <c:pt idx="105">
                  <c:v>45373</c:v>
                </c:pt>
                <c:pt idx="106">
                  <c:v>45376</c:v>
                </c:pt>
                <c:pt idx="107">
                  <c:v>45377</c:v>
                </c:pt>
                <c:pt idx="108">
                  <c:v>45378</c:v>
                </c:pt>
                <c:pt idx="109">
                  <c:v>45379</c:v>
                </c:pt>
                <c:pt idx="110">
                  <c:v>45383</c:v>
                </c:pt>
                <c:pt idx="111">
                  <c:v>45384</c:v>
                </c:pt>
                <c:pt idx="112">
                  <c:v>45385</c:v>
                </c:pt>
                <c:pt idx="113">
                  <c:v>45386</c:v>
                </c:pt>
                <c:pt idx="114">
                  <c:v>45387</c:v>
                </c:pt>
                <c:pt idx="115">
                  <c:v>45390</c:v>
                </c:pt>
                <c:pt idx="116">
                  <c:v>45391</c:v>
                </c:pt>
                <c:pt idx="117">
                  <c:v>45392</c:v>
                </c:pt>
                <c:pt idx="118">
                  <c:v>45393</c:v>
                </c:pt>
                <c:pt idx="119">
                  <c:v>45394</c:v>
                </c:pt>
                <c:pt idx="120">
                  <c:v>45397</c:v>
                </c:pt>
                <c:pt idx="121">
                  <c:v>45398</c:v>
                </c:pt>
                <c:pt idx="122">
                  <c:v>45399</c:v>
                </c:pt>
                <c:pt idx="123">
                  <c:v>45400</c:v>
                </c:pt>
                <c:pt idx="124">
                  <c:v>45401</c:v>
                </c:pt>
                <c:pt idx="125">
                  <c:v>45404</c:v>
                </c:pt>
                <c:pt idx="126">
                  <c:v>45405</c:v>
                </c:pt>
                <c:pt idx="127">
                  <c:v>45406</c:v>
                </c:pt>
                <c:pt idx="128">
                  <c:v>45407</c:v>
                </c:pt>
                <c:pt idx="129">
                  <c:v>45408</c:v>
                </c:pt>
                <c:pt idx="130">
                  <c:v>45411</c:v>
                </c:pt>
                <c:pt idx="131">
                  <c:v>45412</c:v>
                </c:pt>
                <c:pt idx="132">
                  <c:v>45413</c:v>
                </c:pt>
                <c:pt idx="133">
                  <c:v>45414</c:v>
                </c:pt>
                <c:pt idx="134">
                  <c:v>45415</c:v>
                </c:pt>
                <c:pt idx="135">
                  <c:v>45418</c:v>
                </c:pt>
                <c:pt idx="136">
                  <c:v>45419</c:v>
                </c:pt>
                <c:pt idx="137">
                  <c:v>45420</c:v>
                </c:pt>
                <c:pt idx="138">
                  <c:v>45421</c:v>
                </c:pt>
                <c:pt idx="139">
                  <c:v>45422</c:v>
                </c:pt>
                <c:pt idx="140">
                  <c:v>45425</c:v>
                </c:pt>
                <c:pt idx="141">
                  <c:v>45426</c:v>
                </c:pt>
                <c:pt idx="142">
                  <c:v>45427</c:v>
                </c:pt>
                <c:pt idx="143">
                  <c:v>45428</c:v>
                </c:pt>
                <c:pt idx="144">
                  <c:v>45429</c:v>
                </c:pt>
                <c:pt idx="145">
                  <c:v>45432</c:v>
                </c:pt>
                <c:pt idx="146">
                  <c:v>45433</c:v>
                </c:pt>
                <c:pt idx="147">
                  <c:v>45434</c:v>
                </c:pt>
                <c:pt idx="148">
                  <c:v>45435</c:v>
                </c:pt>
                <c:pt idx="149">
                  <c:v>45436</c:v>
                </c:pt>
                <c:pt idx="150">
                  <c:v>45440</c:v>
                </c:pt>
                <c:pt idx="151">
                  <c:v>45441</c:v>
                </c:pt>
                <c:pt idx="152">
                  <c:v>45442</c:v>
                </c:pt>
                <c:pt idx="153">
                  <c:v>45443</c:v>
                </c:pt>
                <c:pt idx="154">
                  <c:v>45446</c:v>
                </c:pt>
                <c:pt idx="155">
                  <c:v>45447</c:v>
                </c:pt>
                <c:pt idx="156">
                  <c:v>45448</c:v>
                </c:pt>
                <c:pt idx="157">
                  <c:v>45449</c:v>
                </c:pt>
                <c:pt idx="158">
                  <c:v>45450</c:v>
                </c:pt>
                <c:pt idx="159">
                  <c:v>45453</c:v>
                </c:pt>
                <c:pt idx="160">
                  <c:v>45454</c:v>
                </c:pt>
                <c:pt idx="161">
                  <c:v>45455</c:v>
                </c:pt>
                <c:pt idx="162">
                  <c:v>45456</c:v>
                </c:pt>
                <c:pt idx="163">
                  <c:v>45457</c:v>
                </c:pt>
                <c:pt idx="164">
                  <c:v>45460</c:v>
                </c:pt>
                <c:pt idx="165">
                  <c:v>45461</c:v>
                </c:pt>
                <c:pt idx="166">
                  <c:v>45463</c:v>
                </c:pt>
                <c:pt idx="167">
                  <c:v>45464</c:v>
                </c:pt>
                <c:pt idx="168">
                  <c:v>45467</c:v>
                </c:pt>
                <c:pt idx="169">
                  <c:v>45468</c:v>
                </c:pt>
                <c:pt idx="170">
                  <c:v>45469</c:v>
                </c:pt>
                <c:pt idx="171">
                  <c:v>45470</c:v>
                </c:pt>
                <c:pt idx="172">
                  <c:v>45471</c:v>
                </c:pt>
                <c:pt idx="173">
                  <c:v>45474</c:v>
                </c:pt>
                <c:pt idx="174">
                  <c:v>45475</c:v>
                </c:pt>
                <c:pt idx="175">
                  <c:v>45476</c:v>
                </c:pt>
                <c:pt idx="176">
                  <c:v>45478</c:v>
                </c:pt>
                <c:pt idx="177">
                  <c:v>45481</c:v>
                </c:pt>
                <c:pt idx="178">
                  <c:v>45482</c:v>
                </c:pt>
                <c:pt idx="179">
                  <c:v>45483</c:v>
                </c:pt>
                <c:pt idx="180">
                  <c:v>45484</c:v>
                </c:pt>
                <c:pt idx="181">
                  <c:v>45485</c:v>
                </c:pt>
                <c:pt idx="182">
                  <c:v>45488</c:v>
                </c:pt>
                <c:pt idx="183">
                  <c:v>45489</c:v>
                </c:pt>
                <c:pt idx="184">
                  <c:v>45490</c:v>
                </c:pt>
                <c:pt idx="185">
                  <c:v>45491</c:v>
                </c:pt>
                <c:pt idx="186">
                  <c:v>45492</c:v>
                </c:pt>
                <c:pt idx="187">
                  <c:v>45495</c:v>
                </c:pt>
                <c:pt idx="188">
                  <c:v>45496</c:v>
                </c:pt>
                <c:pt idx="189">
                  <c:v>45497</c:v>
                </c:pt>
                <c:pt idx="190">
                  <c:v>45498</c:v>
                </c:pt>
                <c:pt idx="191">
                  <c:v>45499</c:v>
                </c:pt>
                <c:pt idx="192">
                  <c:v>45502</c:v>
                </c:pt>
                <c:pt idx="193">
                  <c:v>45503</c:v>
                </c:pt>
                <c:pt idx="194">
                  <c:v>45504</c:v>
                </c:pt>
                <c:pt idx="195">
                  <c:v>45505</c:v>
                </c:pt>
                <c:pt idx="196">
                  <c:v>45506</c:v>
                </c:pt>
                <c:pt idx="197">
                  <c:v>45509</c:v>
                </c:pt>
                <c:pt idx="198">
                  <c:v>45510</c:v>
                </c:pt>
                <c:pt idx="199">
                  <c:v>45511</c:v>
                </c:pt>
                <c:pt idx="200">
                  <c:v>45512</c:v>
                </c:pt>
                <c:pt idx="201">
                  <c:v>45513</c:v>
                </c:pt>
                <c:pt idx="202">
                  <c:v>45516</c:v>
                </c:pt>
                <c:pt idx="203">
                  <c:v>45517</c:v>
                </c:pt>
                <c:pt idx="204">
                  <c:v>45518</c:v>
                </c:pt>
                <c:pt idx="205">
                  <c:v>45519</c:v>
                </c:pt>
                <c:pt idx="206">
                  <c:v>45520</c:v>
                </c:pt>
                <c:pt idx="207">
                  <c:v>45523</c:v>
                </c:pt>
                <c:pt idx="208">
                  <c:v>45524</c:v>
                </c:pt>
                <c:pt idx="209">
                  <c:v>45525</c:v>
                </c:pt>
                <c:pt idx="210">
                  <c:v>45526</c:v>
                </c:pt>
                <c:pt idx="211">
                  <c:v>45527</c:v>
                </c:pt>
                <c:pt idx="212">
                  <c:v>45530</c:v>
                </c:pt>
                <c:pt idx="213">
                  <c:v>45531</c:v>
                </c:pt>
                <c:pt idx="214">
                  <c:v>45532</c:v>
                </c:pt>
                <c:pt idx="215">
                  <c:v>45533</c:v>
                </c:pt>
                <c:pt idx="216">
                  <c:v>45534</c:v>
                </c:pt>
                <c:pt idx="217">
                  <c:v>45538</c:v>
                </c:pt>
                <c:pt idx="218">
                  <c:v>45539</c:v>
                </c:pt>
                <c:pt idx="219">
                  <c:v>45540</c:v>
                </c:pt>
                <c:pt idx="220">
                  <c:v>45541</c:v>
                </c:pt>
                <c:pt idx="221">
                  <c:v>45544</c:v>
                </c:pt>
                <c:pt idx="222">
                  <c:v>45545</c:v>
                </c:pt>
                <c:pt idx="223">
                  <c:v>45546</c:v>
                </c:pt>
                <c:pt idx="224">
                  <c:v>45547</c:v>
                </c:pt>
                <c:pt idx="225">
                  <c:v>45548</c:v>
                </c:pt>
                <c:pt idx="226">
                  <c:v>45551</c:v>
                </c:pt>
                <c:pt idx="227">
                  <c:v>45552</c:v>
                </c:pt>
                <c:pt idx="228">
                  <c:v>45553</c:v>
                </c:pt>
                <c:pt idx="229">
                  <c:v>45554</c:v>
                </c:pt>
                <c:pt idx="230">
                  <c:v>45555</c:v>
                </c:pt>
                <c:pt idx="231">
                  <c:v>45558</c:v>
                </c:pt>
                <c:pt idx="232">
                  <c:v>45559</c:v>
                </c:pt>
                <c:pt idx="233">
                  <c:v>45560</c:v>
                </c:pt>
                <c:pt idx="234">
                  <c:v>45561</c:v>
                </c:pt>
                <c:pt idx="235">
                  <c:v>45562</c:v>
                </c:pt>
                <c:pt idx="236">
                  <c:v>45565</c:v>
                </c:pt>
                <c:pt idx="237">
                  <c:v>45566</c:v>
                </c:pt>
                <c:pt idx="238">
                  <c:v>45567</c:v>
                </c:pt>
                <c:pt idx="239">
                  <c:v>45568</c:v>
                </c:pt>
                <c:pt idx="240">
                  <c:v>45569</c:v>
                </c:pt>
                <c:pt idx="241">
                  <c:v>45572</c:v>
                </c:pt>
                <c:pt idx="242">
                  <c:v>45573</c:v>
                </c:pt>
                <c:pt idx="243">
                  <c:v>45574</c:v>
                </c:pt>
                <c:pt idx="244">
                  <c:v>45575</c:v>
                </c:pt>
                <c:pt idx="245">
                  <c:v>45576</c:v>
                </c:pt>
                <c:pt idx="246">
                  <c:v>45579</c:v>
                </c:pt>
                <c:pt idx="247">
                  <c:v>45580</c:v>
                </c:pt>
                <c:pt idx="248">
                  <c:v>45581</c:v>
                </c:pt>
                <c:pt idx="249">
                  <c:v>45582</c:v>
                </c:pt>
                <c:pt idx="250">
                  <c:v>45583</c:v>
                </c:pt>
                <c:pt idx="251">
                  <c:v>45586</c:v>
                </c:pt>
                <c:pt idx="252">
                  <c:v>45587</c:v>
                </c:pt>
                <c:pt idx="253">
                  <c:v>45588</c:v>
                </c:pt>
                <c:pt idx="254">
                  <c:v>45589</c:v>
                </c:pt>
                <c:pt idx="255">
                  <c:v>45590</c:v>
                </c:pt>
                <c:pt idx="256">
                  <c:v>45593</c:v>
                </c:pt>
                <c:pt idx="257">
                  <c:v>45594</c:v>
                </c:pt>
              </c:numCache>
            </c:numRef>
          </c:cat>
          <c:val>
            <c:numRef>
              <c:f>'Stock Price History'!$L$8:$L$265</c:f>
              <c:numCache>
                <c:formatCode>General</c:formatCode>
                <c:ptCount val="258"/>
                <c:pt idx="0">
                  <c:v>38.700000000000003</c:v>
                </c:pt>
                <c:pt idx="1">
                  <c:v>38.631998242848653</c:v>
                </c:pt>
                <c:pt idx="2">
                  <c:v>38.921005710741881</c:v>
                </c:pt>
                <c:pt idx="3">
                  <c:v>38.371991524328791</c:v>
                </c:pt>
                <c:pt idx="4">
                  <c:v>37.900979353471669</c:v>
                </c:pt>
                <c:pt idx="5">
                  <c:v>37.732975012274224</c:v>
                </c:pt>
                <c:pt idx="6">
                  <c:v>38.186986743843512</c:v>
                </c:pt>
                <c:pt idx="7">
                  <c:v>38.417992712990007</c:v>
                </c:pt>
                <c:pt idx="8">
                  <c:v>38.841003643504997</c:v>
                </c:pt>
                <c:pt idx="9">
                  <c:v>39.579022713765212</c:v>
                </c:pt>
                <c:pt idx="10">
                  <c:v>39.945032171373938</c:v>
                </c:pt>
                <c:pt idx="11">
                  <c:v>40.022034161089429</c:v>
                </c:pt>
                <c:pt idx="12">
                  <c:v>40.135037081061519</c:v>
                </c:pt>
                <c:pt idx="13">
                  <c:v>40.168037933796747</c:v>
                </c:pt>
                <c:pt idx="14">
                  <c:v>39.865030104137055</c:v>
                </c:pt>
                <c:pt idx="15">
                  <c:v>40.487046176903796</c:v>
                </c:pt>
                <c:pt idx="16">
                  <c:v>40.446045117444896</c:v>
                </c:pt>
                <c:pt idx="17">
                  <c:v>41.223065195483095</c:v>
                </c:pt>
                <c:pt idx="18">
                  <c:v>41.31306752112458</c:v>
                </c:pt>
                <c:pt idx="19">
                  <c:v>41.371069019871321</c:v>
                </c:pt>
                <c:pt idx="20">
                  <c:v>41.43207059613944</c:v>
                </c:pt>
                <c:pt idx="21">
                  <c:v>41.744078658363271</c:v>
                </c:pt>
                <c:pt idx="22">
                  <c:v>41.635075841753022</c:v>
                </c:pt>
                <c:pt idx="23">
                  <c:v>41.815080493035993</c:v>
                </c:pt>
                <c:pt idx="24">
                  <c:v>41.838081087366596</c:v>
                </c:pt>
                <c:pt idx="25">
                  <c:v>41.765079201012952</c:v>
                </c:pt>
                <c:pt idx="26">
                  <c:v>41.806080260471852</c:v>
                </c:pt>
                <c:pt idx="27">
                  <c:v>41.779079562779401</c:v>
                </c:pt>
                <c:pt idx="28">
                  <c:v>41.941083748934076</c:v>
                </c:pt>
                <c:pt idx="29">
                  <c:v>42.187090105687489</c:v>
                </c:pt>
                <c:pt idx="30">
                  <c:v>41.975084627509759</c:v>
                </c:pt>
                <c:pt idx="31">
                  <c:v>41.962084291583764</c:v>
                </c:pt>
                <c:pt idx="32">
                  <c:v>41.787079769503087</c:v>
                </c:pt>
                <c:pt idx="33">
                  <c:v>42.114088219333837</c:v>
                </c:pt>
                <c:pt idx="34">
                  <c:v>42.293092844776353</c:v>
                </c:pt>
                <c:pt idx="35">
                  <c:v>42.457097082611959</c:v>
                </c:pt>
                <c:pt idx="36">
                  <c:v>42.668102534949227</c:v>
                </c:pt>
                <c:pt idx="37">
                  <c:v>43.249117548257061</c:v>
                </c:pt>
                <c:pt idx="38">
                  <c:v>43.376120829995614</c:v>
                </c:pt>
                <c:pt idx="39">
                  <c:v>43.31011912452518</c:v>
                </c:pt>
                <c:pt idx="40">
                  <c:v>43.55512545543813</c:v>
                </c:pt>
                <c:pt idx="41">
                  <c:v>43.820132303160293</c:v>
                </c:pt>
                <c:pt idx="42">
                  <c:v>43.010111372386881</c:v>
                </c:pt>
                <c:pt idx="43">
                  <c:v>43.429122199540039</c:v>
                </c:pt>
                <c:pt idx="44">
                  <c:v>43.530124809426603</c:v>
                </c:pt>
                <c:pt idx="45">
                  <c:v>43.71112948655005</c:v>
                </c:pt>
                <c:pt idx="46">
                  <c:v>43.791131553786926</c:v>
                </c:pt>
                <c:pt idx="47">
                  <c:v>43.79813173467015</c:v>
                </c:pt>
                <c:pt idx="48">
                  <c:v>43.681128711336207</c:v>
                </c:pt>
                <c:pt idx="49">
                  <c:v>43.402121501847596</c:v>
                </c:pt>
                <c:pt idx="50">
                  <c:v>43.080113181219161</c:v>
                </c:pt>
                <c:pt idx="51">
                  <c:v>42.944109666916468</c:v>
                </c:pt>
                <c:pt idx="52">
                  <c:v>42.999111088141809</c:v>
                </c:pt>
                <c:pt idx="53">
                  <c:v>43.614126980025326</c:v>
                </c:pt>
                <c:pt idx="54">
                  <c:v>43.508124240936461</c:v>
                </c:pt>
                <c:pt idx="55">
                  <c:v>43.795131657148765</c:v>
                </c:pt>
                <c:pt idx="56">
                  <c:v>43.780131269541855</c:v>
                </c:pt>
                <c:pt idx="57">
                  <c:v>43.800131786351074</c:v>
                </c:pt>
                <c:pt idx="58">
                  <c:v>43.651127936122379</c:v>
                </c:pt>
                <c:pt idx="59">
                  <c:v>43.408121656890359</c:v>
                </c:pt>
                <c:pt idx="60">
                  <c:v>43.794131631308311</c:v>
                </c:pt>
                <c:pt idx="61">
                  <c:v>44.330145481795398</c:v>
                </c:pt>
                <c:pt idx="62">
                  <c:v>44.431148091681962</c:v>
                </c:pt>
                <c:pt idx="63">
                  <c:v>44.563151502622809</c:v>
                </c:pt>
                <c:pt idx="64">
                  <c:v>44.600152458719862</c:v>
                </c:pt>
                <c:pt idx="65">
                  <c:v>44.851158944675575</c:v>
                </c:pt>
                <c:pt idx="66">
                  <c:v>44.824158246983131</c:v>
                </c:pt>
                <c:pt idx="67">
                  <c:v>45.150166670973412</c:v>
                </c:pt>
                <c:pt idx="68">
                  <c:v>45.118165844078661</c:v>
                </c:pt>
                <c:pt idx="69">
                  <c:v>44.383146851339831</c:v>
                </c:pt>
                <c:pt idx="70">
                  <c:v>44.967161942169049</c:v>
                </c:pt>
                <c:pt idx="71">
                  <c:v>45.429173880462031</c:v>
                </c:pt>
                <c:pt idx="72">
                  <c:v>45.263169590945509</c:v>
                </c:pt>
                <c:pt idx="73">
                  <c:v>45.404173234450504</c:v>
                </c:pt>
                <c:pt idx="74">
                  <c:v>45.777182872942454</c:v>
                </c:pt>
                <c:pt idx="75">
                  <c:v>45.808183673996744</c:v>
                </c:pt>
                <c:pt idx="76">
                  <c:v>46.068190392516605</c:v>
                </c:pt>
                <c:pt idx="77">
                  <c:v>46.047189849866918</c:v>
                </c:pt>
                <c:pt idx="78">
                  <c:v>45.398173079407741</c:v>
                </c:pt>
                <c:pt idx="79">
                  <c:v>45.830184242486887</c:v>
                </c:pt>
                <c:pt idx="80">
                  <c:v>46.140192253029795</c:v>
                </c:pt>
                <c:pt idx="81">
                  <c:v>45.904186154681</c:v>
                </c:pt>
                <c:pt idx="82">
                  <c:v>45.652179642884825</c:v>
                </c:pt>
                <c:pt idx="83">
                  <c:v>45.69818083154604</c:v>
                </c:pt>
                <c:pt idx="84">
                  <c:v>46.658205638388594</c:v>
                </c:pt>
                <c:pt idx="85">
                  <c:v>46.679206181038268</c:v>
                </c:pt>
                <c:pt idx="86">
                  <c:v>46.508201762319445</c:v>
                </c:pt>
                <c:pt idx="87">
                  <c:v>46.594203984599083</c:v>
                </c:pt>
                <c:pt idx="88">
                  <c:v>46.522202124085901</c:v>
                </c:pt>
                <c:pt idx="89">
                  <c:v>46.694206568645185</c:v>
                </c:pt>
                <c:pt idx="90">
                  <c:v>47.144218196852634</c:v>
                </c:pt>
                <c:pt idx="91">
                  <c:v>47.088216749786817</c:v>
                </c:pt>
                <c:pt idx="92">
                  <c:v>46.616204553089226</c:v>
                </c:pt>
                <c:pt idx="93">
                  <c:v>46.863210935683092</c:v>
                </c:pt>
                <c:pt idx="94">
                  <c:v>47.327222925656997</c:v>
                </c:pt>
                <c:pt idx="95">
                  <c:v>47.040215509444685</c:v>
                </c:pt>
                <c:pt idx="96">
                  <c:v>47.001214501666716</c:v>
                </c:pt>
                <c:pt idx="97">
                  <c:v>47.50422749941859</c:v>
                </c:pt>
                <c:pt idx="98">
                  <c:v>47.4322256389054</c:v>
                </c:pt>
                <c:pt idx="99">
                  <c:v>47.328222951497452</c:v>
                </c:pt>
                <c:pt idx="100">
                  <c:v>47.002214527507171</c:v>
                </c:pt>
                <c:pt idx="101">
                  <c:v>47.296222124602707</c:v>
                </c:pt>
                <c:pt idx="102">
                  <c:v>47.561228972324869</c:v>
                </c:pt>
                <c:pt idx="103">
                  <c:v>47.976239696116181</c:v>
                </c:pt>
                <c:pt idx="104">
                  <c:v>48.13624383058994</c:v>
                </c:pt>
                <c:pt idx="105">
                  <c:v>47.919238223209909</c:v>
                </c:pt>
                <c:pt idx="106">
                  <c:v>47.795235018992742</c:v>
                </c:pt>
                <c:pt idx="107">
                  <c:v>47.661231556370971</c:v>
                </c:pt>
                <c:pt idx="108">
                  <c:v>48.077242306002745</c:v>
                </c:pt>
                <c:pt idx="109">
                  <c:v>48.071242150959975</c:v>
                </c:pt>
                <c:pt idx="110">
                  <c:v>48.008240523010933</c:v>
                </c:pt>
                <c:pt idx="111">
                  <c:v>47.694232409106178</c:v>
                </c:pt>
                <c:pt idx="112">
                  <c:v>47.737233520246008</c:v>
                </c:pt>
                <c:pt idx="113">
                  <c:v>47.149218326054935</c:v>
                </c:pt>
                <c:pt idx="114">
                  <c:v>47.650231272125893</c:v>
                </c:pt>
                <c:pt idx="115">
                  <c:v>47.669231763094658</c:v>
                </c:pt>
                <c:pt idx="116">
                  <c:v>47.728233287681853</c:v>
                </c:pt>
                <c:pt idx="117">
                  <c:v>47.266221349388879</c:v>
                </c:pt>
                <c:pt idx="118">
                  <c:v>47.607230160986077</c:v>
                </c:pt>
                <c:pt idx="119">
                  <c:v>46.958213390526886</c:v>
                </c:pt>
                <c:pt idx="120">
                  <c:v>46.362197989612135</c:v>
                </c:pt>
                <c:pt idx="121">
                  <c:v>46.279195844853874</c:v>
                </c:pt>
                <c:pt idx="122">
                  <c:v>46.000188635365262</c:v>
                </c:pt>
                <c:pt idx="123">
                  <c:v>45.895185922116852</c:v>
                </c:pt>
                <c:pt idx="124">
                  <c:v>45.51117599937983</c:v>
                </c:pt>
                <c:pt idx="125">
                  <c:v>45.906186206361923</c:v>
                </c:pt>
                <c:pt idx="126">
                  <c:v>46.485201167988834</c:v>
                </c:pt>
                <c:pt idx="127">
                  <c:v>46.451200289413165</c:v>
                </c:pt>
                <c:pt idx="128">
                  <c:v>46.259195328044648</c:v>
                </c:pt>
                <c:pt idx="129">
                  <c:v>46.722207292178091</c:v>
                </c:pt>
                <c:pt idx="130">
                  <c:v>46.885211504173235</c:v>
                </c:pt>
                <c:pt idx="131">
                  <c:v>46.144192356391642</c:v>
                </c:pt>
                <c:pt idx="132">
                  <c:v>45.994188480322499</c:v>
                </c:pt>
                <c:pt idx="133">
                  <c:v>46.42319956588026</c:v>
                </c:pt>
                <c:pt idx="134">
                  <c:v>46.999214449985793</c:v>
                </c:pt>
                <c:pt idx="135">
                  <c:v>47.473226698364307</c:v>
                </c:pt>
                <c:pt idx="136">
                  <c:v>47.541228455515643</c:v>
                </c:pt>
                <c:pt idx="137">
                  <c:v>47.543228507196567</c:v>
                </c:pt>
                <c:pt idx="138">
                  <c:v>47.816235561642422</c:v>
                </c:pt>
                <c:pt idx="139">
                  <c:v>47.875237086229625</c:v>
                </c:pt>
                <c:pt idx="140">
                  <c:v>47.878237163751002</c:v>
                </c:pt>
                <c:pt idx="141">
                  <c:v>48.10524302953565</c:v>
                </c:pt>
                <c:pt idx="142">
                  <c:v>48.691258172045792</c:v>
                </c:pt>
                <c:pt idx="143">
                  <c:v>48.598255768882929</c:v>
                </c:pt>
                <c:pt idx="144">
                  <c:v>48.670257629396112</c:v>
                </c:pt>
                <c:pt idx="145">
                  <c:v>48.718258869738243</c:v>
                </c:pt>
                <c:pt idx="146">
                  <c:v>48.849262254838628</c:v>
                </c:pt>
                <c:pt idx="147">
                  <c:v>48.707258585493172</c:v>
                </c:pt>
                <c:pt idx="148">
                  <c:v>48.345249231246292</c:v>
                </c:pt>
                <c:pt idx="149">
                  <c:v>48.674257732757951</c:v>
                </c:pt>
                <c:pt idx="150">
                  <c:v>48.713258740535935</c:v>
                </c:pt>
                <c:pt idx="151">
                  <c:v>48.370249877257812</c:v>
                </c:pt>
                <c:pt idx="152">
                  <c:v>48.045241479107986</c:v>
                </c:pt>
                <c:pt idx="153">
                  <c:v>48.463252280420683</c:v>
                </c:pt>
                <c:pt idx="154">
                  <c:v>48.516253649965115</c:v>
                </c:pt>
                <c:pt idx="155">
                  <c:v>48.575255174552318</c:v>
                </c:pt>
                <c:pt idx="156">
                  <c:v>49.156270187860159</c:v>
                </c:pt>
                <c:pt idx="157">
                  <c:v>49.14526990361508</c:v>
                </c:pt>
                <c:pt idx="158">
                  <c:v>49.081268249825584</c:v>
                </c:pt>
                <c:pt idx="159">
                  <c:v>49.242272410139805</c:v>
                </c:pt>
                <c:pt idx="160">
                  <c:v>49.354275304271425</c:v>
                </c:pt>
                <c:pt idx="161">
                  <c:v>49.765285924700898</c:v>
                </c:pt>
                <c:pt idx="162">
                  <c:v>49.85928835370423</c:v>
                </c:pt>
                <c:pt idx="163">
                  <c:v>49.899289387322675</c:v>
                </c:pt>
                <c:pt idx="164">
                  <c:v>50.295299620145222</c:v>
                </c:pt>
                <c:pt idx="165">
                  <c:v>50.429303082766999</c:v>
                </c:pt>
                <c:pt idx="166">
                  <c:v>50.289299465102459</c:v>
                </c:pt>
                <c:pt idx="167">
                  <c:v>50.179296622651741</c:v>
                </c:pt>
                <c:pt idx="168">
                  <c:v>50.044293134189523</c:v>
                </c:pt>
                <c:pt idx="169">
                  <c:v>50.252298509005399</c:v>
                </c:pt>
                <c:pt idx="170">
                  <c:v>50.308299956071224</c:v>
                </c:pt>
                <c:pt idx="171">
                  <c:v>50.386301971627184</c:v>
                </c:pt>
                <c:pt idx="172">
                  <c:v>50.01429235897568</c:v>
                </c:pt>
                <c:pt idx="173">
                  <c:v>50.1292953306287</c:v>
                </c:pt>
                <c:pt idx="174">
                  <c:v>50.45430372877852</c:v>
                </c:pt>
                <c:pt idx="175">
                  <c:v>50.682309620403636</c:v>
                </c:pt>
                <c:pt idx="176">
                  <c:v>50.985317450063306</c:v>
                </c:pt>
                <c:pt idx="177">
                  <c:v>51.034318716245899</c:v>
                </c:pt>
                <c:pt idx="178">
                  <c:v>51.090320163311716</c:v>
                </c:pt>
                <c:pt idx="179">
                  <c:v>51.582332876818519</c:v>
                </c:pt>
                <c:pt idx="180">
                  <c:v>51.140321455334764</c:v>
                </c:pt>
                <c:pt idx="181">
                  <c:v>51.456329620920435</c:v>
                </c:pt>
                <c:pt idx="182">
                  <c:v>51.612333652032355</c:v>
                </c:pt>
                <c:pt idx="183">
                  <c:v>51.905341223287422</c:v>
                </c:pt>
                <c:pt idx="184">
                  <c:v>51.180322488953209</c:v>
                </c:pt>
                <c:pt idx="185">
                  <c:v>50.795312540375726</c:v>
                </c:pt>
                <c:pt idx="186">
                  <c:v>50.456303780459443</c:v>
                </c:pt>
                <c:pt idx="187">
                  <c:v>50.980317320861005</c:v>
                </c:pt>
                <c:pt idx="188">
                  <c:v>50.89531512442182</c:v>
                </c:pt>
                <c:pt idx="189">
                  <c:v>49.730285020284768</c:v>
                </c:pt>
                <c:pt idx="190">
                  <c:v>49.479278534329055</c:v>
                </c:pt>
                <c:pt idx="191">
                  <c:v>50.034292875784907</c:v>
                </c:pt>
                <c:pt idx="192">
                  <c:v>50.07129383188196</c:v>
                </c:pt>
                <c:pt idx="193">
                  <c:v>49.809287061681175</c:v>
                </c:pt>
                <c:pt idx="194">
                  <c:v>50.59430734644306</c:v>
                </c:pt>
                <c:pt idx="195">
                  <c:v>49.904289516524976</c:v>
                </c:pt>
                <c:pt idx="196">
                  <c:v>48.99226595002456</c:v>
                </c:pt>
                <c:pt idx="197">
                  <c:v>47.521227938706424</c:v>
                </c:pt>
                <c:pt idx="198">
                  <c:v>47.995240187084946</c:v>
                </c:pt>
                <c:pt idx="199">
                  <c:v>47.662231582211433</c:v>
                </c:pt>
                <c:pt idx="200">
                  <c:v>48.774260316804053</c:v>
                </c:pt>
                <c:pt idx="201">
                  <c:v>48.983265717460398</c:v>
                </c:pt>
                <c:pt idx="202">
                  <c:v>49.008266363471925</c:v>
                </c:pt>
                <c:pt idx="203">
                  <c:v>49.822287397607177</c:v>
                </c:pt>
                <c:pt idx="204">
                  <c:v>49.981291506240474</c:v>
                </c:pt>
                <c:pt idx="205">
                  <c:v>50.83931367735601</c:v>
                </c:pt>
                <c:pt idx="206">
                  <c:v>50.946316442285337</c:v>
                </c:pt>
                <c:pt idx="207">
                  <c:v>51.436329104111216</c:v>
                </c:pt>
                <c:pt idx="208">
                  <c:v>51.351326907672032</c:v>
                </c:pt>
                <c:pt idx="209">
                  <c:v>51.53133155895501</c:v>
                </c:pt>
                <c:pt idx="210">
                  <c:v>51.114320783482775</c:v>
                </c:pt>
                <c:pt idx="211">
                  <c:v>51.667335073257703</c:v>
                </c:pt>
                <c:pt idx="212">
                  <c:v>51.540331791519158</c:v>
                </c:pt>
                <c:pt idx="213">
                  <c:v>51.609333574510977</c:v>
                </c:pt>
                <c:pt idx="214">
                  <c:v>51.314325951574979</c:v>
                </c:pt>
                <c:pt idx="215">
                  <c:v>51.322326158298672</c:v>
                </c:pt>
                <c:pt idx="216">
                  <c:v>51.80533863924132</c:v>
                </c:pt>
                <c:pt idx="217">
                  <c:v>50.757311558438211</c:v>
                </c:pt>
                <c:pt idx="218">
                  <c:v>50.63130830254012</c:v>
                </c:pt>
                <c:pt idx="219">
                  <c:v>50.506305072482498</c:v>
                </c:pt>
                <c:pt idx="220">
                  <c:v>49.665283340654796</c:v>
                </c:pt>
                <c:pt idx="221">
                  <c:v>50.224297785472494</c:v>
                </c:pt>
                <c:pt idx="222">
                  <c:v>50.431303134447923</c:v>
                </c:pt>
                <c:pt idx="223">
                  <c:v>50.947316468125791</c:v>
                </c:pt>
                <c:pt idx="224">
                  <c:v>51.385327786247714</c:v>
                </c:pt>
                <c:pt idx="225">
                  <c:v>51.658334840693563</c:v>
                </c:pt>
                <c:pt idx="226">
                  <c:v>51.736336856249522</c:v>
                </c:pt>
                <c:pt idx="227">
                  <c:v>51.760337476420588</c:v>
                </c:pt>
                <c:pt idx="228">
                  <c:v>51.592333135223129</c:v>
                </c:pt>
                <c:pt idx="229">
                  <c:v>52.492356391638033</c:v>
                </c:pt>
                <c:pt idx="230">
                  <c:v>52.389353730070546</c:v>
                </c:pt>
                <c:pt idx="231">
                  <c:v>52.518357063490008</c:v>
                </c:pt>
                <c:pt idx="232">
                  <c:v>52.669360965399619</c:v>
                </c:pt>
                <c:pt idx="233">
                  <c:v>52.5623582004703</c:v>
                </c:pt>
                <c:pt idx="234">
                  <c:v>52.771363601126652</c:v>
                </c:pt>
                <c:pt idx="235">
                  <c:v>52.539357606139696</c:v>
                </c:pt>
                <c:pt idx="236">
                  <c:v>52.76836352360526</c:v>
                </c:pt>
                <c:pt idx="237">
                  <c:v>52.275350784257995</c:v>
                </c:pt>
                <c:pt idx="238">
                  <c:v>52.28435101682215</c:v>
                </c:pt>
                <c:pt idx="239">
                  <c:v>52.18534845861651</c:v>
                </c:pt>
                <c:pt idx="240">
                  <c:v>52.666360887878241</c:v>
                </c:pt>
                <c:pt idx="241">
                  <c:v>52.192348639499727</c:v>
                </c:pt>
                <c:pt idx="242">
                  <c:v>52.686361404687467</c:v>
                </c:pt>
                <c:pt idx="243">
                  <c:v>53.046370707253423</c:v>
                </c:pt>
                <c:pt idx="244">
                  <c:v>52.957368407452385</c:v>
                </c:pt>
                <c:pt idx="245">
                  <c:v>53.272376547197609</c:v>
                </c:pt>
                <c:pt idx="246">
                  <c:v>53.708387813638602</c:v>
                </c:pt>
                <c:pt idx="247">
                  <c:v>53.299377244890053</c:v>
                </c:pt>
                <c:pt idx="248">
                  <c:v>53.523383033153316</c:v>
                </c:pt>
                <c:pt idx="249">
                  <c:v>53.531383239876995</c:v>
                </c:pt>
                <c:pt idx="250">
                  <c:v>53.737388563011969</c:v>
                </c:pt>
                <c:pt idx="251">
                  <c:v>53.654386418253701</c:v>
                </c:pt>
                <c:pt idx="252">
                  <c:v>53.617385462156641</c:v>
                </c:pt>
                <c:pt idx="253">
                  <c:v>53.128372826171223</c:v>
                </c:pt>
                <c:pt idx="254">
                  <c:v>53.248375927026544</c:v>
                </c:pt>
                <c:pt idx="255">
                  <c:v>53.227375384376863</c:v>
                </c:pt>
                <c:pt idx="256">
                  <c:v>53.393379673893385</c:v>
                </c:pt>
                <c:pt idx="257">
                  <c:v>53.478381870332569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A4-7242-9D31-D17A4F48A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299055"/>
        <c:axId val="508388752"/>
      </c:lineChart>
      <c:dateAx>
        <c:axId val="166629905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388752"/>
        <c:crosses val="autoZero"/>
        <c:auto val="1"/>
        <c:lblOffset val="100"/>
        <c:baseTimeUnit val="days"/>
        <c:majorUnit val="3"/>
        <c:majorTimeUnit val="months"/>
      </c:dateAx>
      <c:valAx>
        <c:axId val="508388752"/>
        <c:scaling>
          <c:orientation val="minMax"/>
          <c:max val="65"/>
          <c:min val="30"/>
        </c:scaling>
        <c:delete val="0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29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14-DB47-8EE3-DC05C3B87398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FD14-DB47-8EE3-DC05C3B87398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D14-DB47-8EE3-DC05C3B87398}"/>
              </c:ext>
            </c:extLst>
          </c:dPt>
          <c:dLbls>
            <c:dLbl>
              <c:idx val="1"/>
              <c:layout>
                <c:manualLayout>
                  <c:x val="0.18676126246126667"/>
                  <c:y val="-0.1691886682562977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D14-DB47-8EE3-DC05C3B873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576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'Customer Demographics'!$B$5:$B$7</c:f>
              <c:strCache>
                <c:ptCount val="3"/>
                <c:pt idx="0">
                  <c:v>America</c:v>
                </c:pt>
                <c:pt idx="1">
                  <c:v>APAC</c:v>
                </c:pt>
                <c:pt idx="2">
                  <c:v>Europe</c:v>
                </c:pt>
              </c:strCache>
            </c:strRef>
          </c:cat>
          <c:val>
            <c:numRef>
              <c:f>'Customer Demographics'!$C$5:$C$7</c:f>
              <c:numCache>
                <c:formatCode>0%</c:formatCode>
                <c:ptCount val="3"/>
                <c:pt idx="0">
                  <c:v>0.56000000000000005</c:v>
                </c:pt>
                <c:pt idx="1">
                  <c:v>0.1</c:v>
                </c:pt>
                <c:pt idx="2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14-DB47-8EE3-DC05C3B87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18-C140-A272-510FF3DCA10C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18-C140-A272-510FF3DCA10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576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'Customer Demographics'!$B$11:$B$12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'Customer Demographics'!$C$11:$C$12</c:f>
              <c:numCache>
                <c:formatCode>0%</c:formatCode>
                <c:ptCount val="2"/>
                <c:pt idx="0">
                  <c:v>0.28000000000000003</c:v>
                </c:pt>
                <c:pt idx="1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F18-C140-A272-510FF3DCA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E6-5E4A-8225-FEB92CDEBC04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E6-5E4A-8225-FEB92CDEBC04}"/>
              </c:ext>
            </c:extLst>
          </c:dPt>
          <c:dPt>
            <c:idx val="2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E6-5E4A-8225-FEB92CDEBC04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3E6-5E4A-8225-FEB92CDEBC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576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'Customer Demographics'!$B$16:$B$19</c:f>
              <c:strCache>
                <c:ptCount val="4"/>
                <c:pt idx="0">
                  <c:v>Gen X</c:v>
                </c:pt>
                <c:pt idx="1">
                  <c:v>Milennials</c:v>
                </c:pt>
                <c:pt idx="2">
                  <c:v>Baby Boomers</c:v>
                </c:pt>
                <c:pt idx="3">
                  <c:v>Gen Z</c:v>
                </c:pt>
              </c:strCache>
            </c:strRef>
          </c:cat>
          <c:val>
            <c:numRef>
              <c:f>'Customer Demographics'!$C$16:$C$19</c:f>
              <c:numCache>
                <c:formatCode>0%</c:formatCode>
                <c:ptCount val="4"/>
                <c:pt idx="0">
                  <c:v>0.37</c:v>
                </c:pt>
                <c:pt idx="1">
                  <c:v>0.31</c:v>
                </c:pt>
                <c:pt idx="2">
                  <c:v>0.15</c:v>
                </c:pt>
                <c:pt idx="3">
                  <c:v>0.17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3E6-5E4A-8225-FEB92CDE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FE-C349-95CB-5CFE8B01AC8D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FE-C349-95CB-5CFE8B01AC8D}"/>
              </c:ext>
            </c:extLst>
          </c:dPt>
          <c:dPt>
            <c:idx val="2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FE-C349-95CB-5CFE8B01AC8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0D-0340-9B8F-092D7DDE678B}"/>
              </c:ext>
            </c:extLst>
          </c:dPt>
          <c:dPt>
            <c:idx val="4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FE-C349-95CB-5CFE8B01AC8D}"/>
              </c:ext>
            </c:extLst>
          </c:dPt>
          <c:dLbls>
            <c:dLbl>
              <c:idx val="4"/>
              <c:layout>
                <c:manualLayout>
                  <c:x val="3.8519451331992888E-2"/>
                  <c:y val="7.501511788465552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horzOverflow="clip" vert="horz" wrap="square" lIns="36576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bg1"/>
                      </a:solidFill>
                      <a:latin typeface="Helvetica Neue" panose="02000503000000020004" pitchFamily="2" charset="0"/>
                      <a:ea typeface="Helvetica Neue" panose="02000503000000020004" pitchFamily="2" charset="0"/>
                      <a:cs typeface="Helvetica Neue" panose="02000503000000020004" pitchFamily="2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6778807210405923E-2"/>
                      <c:h val="8.3255909279387696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3EFE-C349-95CB-5CFE8B01AC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horzOverflow="clip" vert="horz" wrap="square" lIns="36576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Helvetica Neue" panose="02000503000000020004" pitchFamily="2" charset="0"/>
                    <a:ea typeface="Helvetica Neue" panose="02000503000000020004" pitchFamily="2" charset="0"/>
                    <a:cs typeface="Helvetica Neue" panose="02000503000000020004" pitchFamily="2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'Customer Demographics'!$B$23:$B$27</c:f>
              <c:strCache>
                <c:ptCount val="5"/>
                <c:pt idx="0">
                  <c:v>&lt;50k</c:v>
                </c:pt>
                <c:pt idx="1">
                  <c:v>50-100k</c:v>
                </c:pt>
                <c:pt idx="2">
                  <c:v>100-200k</c:v>
                </c:pt>
                <c:pt idx="3">
                  <c:v>200-300k</c:v>
                </c:pt>
                <c:pt idx="4">
                  <c:v>300k+</c:v>
                </c:pt>
              </c:strCache>
            </c:strRef>
          </c:cat>
          <c:val>
            <c:numRef>
              <c:f>'Customer Demographics'!$C$23:$C$27</c:f>
              <c:numCache>
                <c:formatCode>0%</c:formatCode>
                <c:ptCount val="5"/>
                <c:pt idx="0">
                  <c:v>0.2</c:v>
                </c:pt>
                <c:pt idx="1">
                  <c:v>0.37</c:v>
                </c:pt>
                <c:pt idx="2">
                  <c:v>0.26</c:v>
                </c:pt>
                <c:pt idx="3">
                  <c:v>0.12</c:v>
                </c:pt>
                <c:pt idx="4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FE-C349-95CB-5CFE8B01AC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11</xdr:row>
      <xdr:rowOff>0</xdr:rowOff>
    </xdr:from>
    <xdr:to>
      <xdr:col>21</xdr:col>
      <xdr:colOff>254000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4CC961-C7D3-B8C7-E2AE-B0591BD28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70456</xdr:colOff>
      <xdr:row>3</xdr:row>
      <xdr:rowOff>88900</xdr:rowOff>
    </xdr:from>
    <xdr:to>
      <xdr:col>8</xdr:col>
      <xdr:colOff>241904</xdr:colOff>
      <xdr:row>16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A8FBE-302C-27BA-F79D-AD499F284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72571</xdr:colOff>
      <xdr:row>19</xdr:row>
      <xdr:rowOff>169332</xdr:rowOff>
    </xdr:from>
    <xdr:to>
      <xdr:col>8</xdr:col>
      <xdr:colOff>244019</xdr:colOff>
      <xdr:row>33</xdr:row>
      <xdr:rowOff>65313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A50CD3-5CFB-9245-A3C5-916C7C41DF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810380</xdr:colOff>
      <xdr:row>4</xdr:row>
      <xdr:rowOff>60476</xdr:rowOff>
    </xdr:from>
    <xdr:to>
      <xdr:col>12</xdr:col>
      <xdr:colOff>653143</xdr:colOff>
      <xdr:row>17</xdr:row>
      <xdr:rowOff>162076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68D132-1295-844B-AE61-3764640C2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181428</xdr:colOff>
      <xdr:row>19</xdr:row>
      <xdr:rowOff>84665</xdr:rowOff>
    </xdr:from>
    <xdr:to>
      <xdr:col>13</xdr:col>
      <xdr:colOff>278191</xdr:colOff>
      <xdr:row>34</xdr:row>
      <xdr:rowOff>157236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29C2652-A3D9-A247-8292-9BBE4208A8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" c="259">
    <v t="i">0</v>
    <v t="i">3</v>
    <v t="i">4</v>
    <v t="i">5</v>
    <v t="i">6</v>
    <v t="i">7</v>
    <v t="i">10</v>
    <v t="i">11</v>
    <v t="i">12</v>
    <v t="i">13</v>
    <v t="i">14</v>
    <v t="i">17</v>
    <v t="i">18</v>
    <v t="i">19</v>
    <v t="i">20</v>
    <v t="i">21</v>
    <v t="i">24</v>
    <v t="i">25</v>
    <v t="i">26</v>
    <v t="i">27</v>
    <v t="i">28</v>
    <v t="i">31</v>
    <v t="i">32</v>
    <v t="i">33</v>
    <v t="i">35</v>
    <v t="i">38</v>
    <v t="i">39</v>
    <v t="i">40</v>
    <v t="i">41</v>
    <v t="i">42</v>
    <v t="i">45</v>
    <v t="i">46</v>
    <v t="i">47</v>
    <v t="i">48</v>
    <v t="i">49</v>
    <v t="i">52</v>
    <v t="i">53</v>
    <v t="i">54</v>
    <v t="i">55</v>
    <v t="i">56</v>
    <v t="i">59</v>
    <v t="i">60</v>
    <v t="i">61</v>
    <v t="i">62</v>
    <v t="i">63</v>
    <v t="i">67</v>
    <v t="i">68</v>
    <v t="i">69</v>
    <v t="i">70</v>
    <v t="i">74</v>
    <v t="i">75</v>
    <v t="i">76</v>
    <v t="i">77</v>
    <v t="i">80</v>
    <v t="i">81</v>
    <v t="i">82</v>
    <v t="i">83</v>
    <v t="i">84</v>
    <v t="i">88</v>
    <v t="i">89</v>
    <v t="i">90</v>
    <v t="i">91</v>
    <v t="i">94</v>
    <v t="i">95</v>
    <v t="i">96</v>
    <v t="i">97</v>
    <v t="i">98</v>
    <v t="i">101</v>
    <v t="i">102</v>
    <v t="i">103</v>
    <v t="i">104</v>
    <v t="i">105</v>
    <v t="i">108</v>
    <v t="i">109</v>
    <v t="i">110</v>
    <v t="i">111</v>
    <v t="i">112</v>
    <v t="i">115</v>
    <v t="i">116</v>
    <v t="i">117</v>
    <v t="i">118</v>
    <v t="i">119</v>
    <v t="i">123</v>
    <v t="i">124</v>
    <v t="i">125</v>
    <v t="i">126</v>
    <v t="i">129</v>
    <v t="i">130</v>
    <v t="i">131</v>
    <v t="i">132</v>
    <v t="i">133</v>
    <v t="i">136</v>
    <v t="i">137</v>
    <v t="i">138</v>
    <v t="i">139</v>
    <v t="i">140</v>
    <v t="i">143</v>
    <v t="i">144</v>
    <v t="i">145</v>
    <v t="i">146</v>
    <v t="i">147</v>
    <v t="i">150</v>
    <v t="i">151</v>
    <v t="i">152</v>
    <v t="i">153</v>
    <v t="i">154</v>
    <v t="i">157</v>
    <v t="i">158</v>
    <v t="i">159</v>
    <v t="i">160</v>
    <v t="i">164</v>
    <v t="i">165</v>
    <v t="i">166</v>
    <v t="i">167</v>
    <v t="i">168</v>
    <v t="i">171</v>
    <v t="i">172</v>
    <v t="i">173</v>
    <v t="i">174</v>
    <v t="i">175</v>
    <v t="i">178</v>
    <v t="i">179</v>
    <v t="i">180</v>
    <v t="i">181</v>
    <v t="i">182</v>
    <v t="i">185</v>
    <v t="i">186</v>
    <v t="i">187</v>
    <v t="i">188</v>
    <v t="i">189</v>
    <v t="i">192</v>
    <v t="i">193</v>
    <v t="i">194</v>
    <v t="i">195</v>
    <v t="i">196</v>
    <v t="i">199</v>
    <v t="i">200</v>
    <v t="i">201</v>
    <v t="i">202</v>
    <v t="i">203</v>
    <v t="i">206</v>
    <v t="i">207</v>
    <v t="i">208</v>
    <v t="i">209</v>
    <v t="i">210</v>
    <v t="i">213</v>
    <v t="i">214</v>
    <v t="i">215</v>
    <v t="i">216</v>
    <v t="i">217</v>
    <v t="i">221</v>
    <v t="i">222</v>
    <v t="i">223</v>
    <v t="i">224</v>
    <v t="i">227</v>
    <v t="i">228</v>
    <v t="i">229</v>
    <v t="i">230</v>
    <v t="i">231</v>
    <v t="i">234</v>
    <v t="i">235</v>
    <v t="i">236</v>
    <v t="i">237</v>
    <v t="i">238</v>
    <v t="i">241</v>
    <v t="i">242</v>
    <v t="i">244</v>
    <v t="i">245</v>
    <v t="i">248</v>
    <v t="i">249</v>
    <v t="i">250</v>
    <v t="i">251</v>
    <v t="i">252</v>
    <v t="i">255</v>
    <v t="i">256</v>
    <v t="i">257</v>
    <v t="i">259</v>
    <v t="i">262</v>
    <v t="i">263</v>
    <v t="i">264</v>
    <v t="i">265</v>
    <v t="i">266</v>
    <v t="i">269</v>
    <v t="i">270</v>
    <v t="i">271</v>
    <v t="i">272</v>
    <v t="i">273</v>
    <v t="i">276</v>
    <v t="i">277</v>
    <v t="i">278</v>
    <v t="i">279</v>
    <v t="i">280</v>
    <v t="i">283</v>
    <v t="i">284</v>
    <v t="i">285</v>
    <v t="i">286</v>
    <v t="i">287</v>
    <v t="i">290</v>
    <v t="i">291</v>
    <v t="i">292</v>
    <v t="i">293</v>
    <v t="i">294</v>
    <v t="i">297</v>
    <v t="i">298</v>
    <v t="i">299</v>
    <v t="i">300</v>
    <v t="i">301</v>
    <v t="i">304</v>
    <v t="i">305</v>
    <v t="i">306</v>
    <v t="i">307</v>
    <v t="i">308</v>
    <v t="i">311</v>
    <v t="i">312</v>
    <v t="i">313</v>
    <v t="i">314</v>
    <v t="i">315</v>
    <v t="i">319</v>
    <v t="i">320</v>
    <v t="i">321</v>
    <v t="i">322</v>
    <v t="i">325</v>
    <v t="i">326</v>
    <v t="i">327</v>
    <v t="i">328</v>
    <v t="i">329</v>
    <v t="i">332</v>
    <v t="i">333</v>
    <v t="i">334</v>
    <v t="i">335</v>
    <v t="i">336</v>
    <v t="i">339</v>
    <v t="i">340</v>
    <v t="i">341</v>
    <v t="i">342</v>
    <v t="i">343</v>
    <v t="i">346</v>
    <v t="i">347</v>
    <v t="i">348</v>
    <v t="i">349</v>
    <v t="i">350</v>
    <v t="i">353</v>
    <v t="i">354</v>
    <v t="i">355</v>
    <v t="i">356</v>
    <v t="i">357</v>
    <v t="i">360</v>
    <v t="i">361</v>
    <v t="i">362</v>
    <v t="i">363</v>
    <v t="i">364</v>
    <v t="i">367</v>
    <v t="i">368</v>
    <v t="i">369</v>
    <v t="i">370</v>
    <v t="i">371</v>
    <v t="i">374</v>
    <v t="i">375</v>
    <v t="i">376</v>
  </a>
  <a r="1" c="259">
    <v>386.99</v>
    <v>386.31</v>
    <v>389.2</v>
    <v>383.71</v>
    <v>379</v>
    <v>377.32</v>
    <v>381.86</v>
    <v>384.17</v>
    <v>388.4</v>
    <v>395.78</v>
    <v>399.44</v>
    <v>400.21</v>
    <v>401.34</v>
    <v>401.67</v>
    <v>398.64</v>
    <v>404.86</v>
    <v>404.45</v>
    <v>412.22</v>
    <v>413.12</v>
    <v>413.7</v>
    <v>414.31</v>
    <v>417.43</v>
    <v>416.34</v>
    <v>418.14</v>
    <v>418.37</v>
    <v>417.64</v>
    <v>418.05</v>
    <v>417.78</v>
    <v>419.4</v>
    <v>421.86</v>
    <v>419.74</v>
    <v>419.61</v>
    <v>417.86</v>
    <v>421.13</v>
    <v>422.92</v>
    <v>424.56</v>
    <v>426.67</v>
    <v>432.48</v>
    <v>433.75</v>
    <v>433.09</v>
    <v>435.54</v>
    <v>438.19</v>
    <v>430.09</v>
    <v>434.28</v>
    <v>435.29</v>
    <v>437.1</v>
    <v>437.9</v>
    <v>437.97</v>
    <v>436.8</v>
    <v>434.01</v>
    <v>430.79</v>
    <v>429.43</v>
    <v>429.98</v>
    <v>436.13</v>
    <v>435.07</v>
    <v>437.94</v>
    <v>437.79</v>
    <v>437.99</v>
    <v>436.5</v>
    <v>434.07</v>
    <v>437.93</v>
    <v>443.29</v>
    <v>444.3</v>
    <v>445.62</v>
    <v>445.99</v>
    <v>448.5</v>
    <v>448.23</v>
    <v>451.49</v>
    <v>451.17</v>
    <v>443.82</v>
    <v>449.66</v>
    <v>454.28</v>
    <v>452.62</v>
    <v>454.03</v>
    <v>457.76</v>
    <v>458.07</v>
    <v>460.67</v>
    <v>460.46</v>
    <v>453.97</v>
    <v>458.29</v>
    <v>461.39</v>
    <v>459.03</v>
    <v>456.51</v>
    <v>456.97</v>
    <v>466.57</v>
    <v>466.78</v>
    <v>465.07</v>
    <v>465.93</v>
    <v>465.21</v>
    <v>466.93</v>
    <v>471.43</v>
    <v>470.87</v>
    <v>466.15</v>
    <v>468.62</v>
    <v>473.26</v>
    <v>470.39</v>
    <v>470</v>
    <v>475.03</v>
    <v>474.31</v>
    <v>473.27</v>
    <v>470.01</v>
    <v>472.95</v>
    <v>475.6</v>
    <v>479.75</v>
    <v>481.35</v>
    <v>479.18</v>
    <v>477.94</v>
    <v>476.6</v>
    <v>480.76</v>
    <v>480.7</v>
    <v>480.07</v>
    <v>476.93</v>
    <v>477.36</v>
    <v>471.48</v>
    <v>476.49</v>
    <v>476.68</v>
    <v>477.27</v>
    <v>472.65</v>
    <v>476.06</v>
    <v>469.57</v>
    <v>463.61</v>
    <v>462.78</v>
    <v>459.99</v>
    <v>458.94</v>
    <v>455.1</v>
    <v>459.05</v>
    <v>464.84</v>
    <v>464.5</v>
    <v>462.58</v>
    <v>467.21</v>
    <v>468.84</v>
    <v>461.43</v>
    <v>459.93</v>
    <v>464.22</v>
    <v>469.98</v>
    <v>474.72</v>
    <v>475.4</v>
    <v>475.42</v>
    <v>478.15</v>
    <v>478.74</v>
    <v>478.77</v>
    <v>481.04</v>
    <v>486.9</v>
    <v>485.97</v>
    <v>486.69</v>
    <v>487.17</v>
    <v>488.48</v>
    <v>487.06</v>
    <v>483.44</v>
    <v>486.73</v>
    <v>487.12</v>
    <v>483.69</v>
    <v>480.44</v>
    <v>484.62</v>
    <v>485.15</v>
    <v>485.74</v>
    <v>491.55</v>
    <v>491.44</v>
    <v>490.8</v>
    <v>492.41</v>
    <v>493.53</v>
    <v>497.64</v>
    <v>498.58</v>
    <v>498.98</v>
    <v>502.94</v>
    <v>504.28</v>
    <v>502.88</v>
    <v>501.78</v>
    <v>500.43</v>
    <v>502.51</v>
    <v>503.07</v>
    <v>503.85</v>
    <v>500.13</v>
    <v>501.28</v>
    <v>504.53</v>
    <v>506.81</v>
    <v>509.84</v>
    <v>510.33</v>
    <v>510.89</v>
    <v>515.80999999999995</v>
    <v>511.39</v>
    <v>514.54999999999995</v>
    <v>516.11</v>
    <v>519.04</v>
    <v>511.79</v>
    <v>507.94</v>
    <v>504.55</v>
    <v>509.79</v>
    <v>508.94</v>
    <v>497.29</v>
    <v>494.78</v>
    <v>500.33</v>
    <v>500.7</v>
    <v>498.08</v>
    <v>505.93</v>
    <v>499.03</v>
    <v>489.91</v>
    <v>475.2</v>
    <v>479.94</v>
    <v>476.61</v>
    <v>487.73</v>
    <v>489.82</v>
    <v>490.07</v>
    <v>498.21</v>
    <v>499.8</v>
    <v>508.38</v>
    <v>509.45</v>
    <v>514.35</v>
    <v>513.5</v>
    <v>515.29999999999995</v>
    <v>511.13</v>
    <v>516.66</v>
    <v>515.39</v>
    <v>516.08000000000004</v>
    <v>513.13</v>
    <v>513.21</v>
    <v>518.04</v>
    <v>507.56</v>
    <v>506.3</v>
    <v>505.05</v>
    <v>496.64</v>
    <v>502.23</v>
    <v>504.3</v>
    <v>509.46</v>
    <v>513.84</v>
    <v>516.57000000000005</v>
    <v>517.35</v>
    <v>517.59</v>
    <v>515.91</v>
    <v>524.91</v>
    <v>523.88</v>
    <v>525.16999999999996</v>
    <v>526.67999999999995</v>
    <v>525.61</v>
    <v>527.70000000000005</v>
    <v>525.38</v>
    <v>527.66999999999996</v>
    <v>522.74</v>
    <v>522.83000000000004</v>
    <v>521.84</v>
    <v>526.65</v>
    <v>521.91</v>
    <v>526.85</v>
    <v>530.45000000000005</v>
    <v>529.55999999999995</v>
    <v>532.71</v>
    <v>537.07000000000005</v>
    <v>532.98</v>
    <v>535.22</v>
    <v>535.29999999999995</v>
    <v>537.36</v>
    <v>536.53</v>
    <v>536.16</v>
    <v>531.27</v>
    <v>532.47</v>
    <v>532.26</v>
    <v>533.91999999999996</v>
    <v>534.77</v>
    <v>533.16</v>
  </a>
  <a r="1" c="259">
    <v>38.700000000000003</v>
    <v>38.82</v>
    <v>38.82</v>
    <v>39.200000000000003</v>
    <v>38.549999999999997</v>
    <v>38.07</v>
    <v>38.54</v>
    <v>39.07</v>
    <v>38.5</v>
    <v>40.200000000000003</v>
    <v>41.16</v>
    <v>41.43</v>
    <v>42.22</v>
    <v>42.21</v>
    <v>39.9</v>
    <v>40.65</v>
    <v>39.840000000000003</v>
    <v>39.72</v>
    <v>41.22</v>
    <v>42.21</v>
    <v>41.79</v>
    <v>41.84</v>
    <v>43.4</v>
    <v>41.85</v>
    <v>42.14</v>
    <v>41.49</v>
    <v>45.38</v>
    <v>45.75</v>
    <v>46.15</v>
    <v>48.45</v>
    <v>48.68</v>
    <v>49.03</v>
    <v>47.17</v>
    <v>47.4</v>
    <v>47.91</v>
    <v>48.25</v>
    <v>48.76</v>
    <v>48.46</v>
    <v>49.98</v>
    <v>48.68</v>
    <v>48.7</v>
    <v>49.04</v>
    <v>47.75</v>
    <v>46.8</v>
    <v>46.31</v>
    <v>49.03</v>
    <v>50.06</v>
    <v>49.5</v>
    <v>48.73</v>
    <v>47.38</v>
    <v>46.29</v>
    <v>46.19</v>
    <v>45.7</v>
    <v>47.43</v>
    <v>46.64</v>
    <v>47.65</v>
    <v>47.54</v>
    <v>47.88</v>
    <v>49.43</v>
    <v>49.98</v>
    <v>46.12</v>
    <v>46.32</v>
    <v>47.6</v>
    <v>45.61</v>
    <v>44.8</v>
    <v>46.4</v>
    <v>46.53</v>
    <v>48.42</v>
    <v>47.5</v>
    <v>46.39</v>
    <v>46.67</v>
    <v>46.09</v>
    <v>45.15</v>
    <v>46.41</v>
    <v>45.91</v>
    <v>48</v>
    <v>47.86</v>
    <v>50.7</v>
    <v>48.13</v>
    <v>49.85</v>
    <v>49.78</v>
    <v>49.25</v>
    <v>49.24</v>
    <v>51.98</v>
    <v>51.3</v>
    <v>52</v>
    <v>51</v>
    <v>51.45</v>
    <v>51.23</v>
    <v>50.01</v>
    <v>47.83</v>
    <v>50.24</v>
    <v>48.36</v>
    <v>48.19</v>
    <v>48.4</v>
    <v>47.18</v>
    <v>47.43</v>
    <v>47.03</v>
    <v>46.85</v>
    <v>46.43</v>
    <v>47.09</v>
    <v>46.4</v>
    <v>45.87</v>
    <v>45.95</v>
    <v>46.75</v>
    <v>46.75</v>
    <v>45.67</v>
    <v>46.26</v>
    <v>47.03</v>
    <v>47.25</v>
    <v>46.59</v>
    <v>45.19</v>
    <v>43.36</v>
    <v>41.99</v>
    <v>44.04</v>
    <v>44.55</v>
    <v>45.21</v>
    <v>43.42</v>
    <v>43.81</v>
    <v>43.03</v>
    <v>42.16</v>
    <v>42.15</v>
    <v>42.29</v>
    <v>42.02</v>
    <v>42.67</v>
    <v>43.9</v>
    <v>44.84</v>
    <v>45.04</v>
    <v>44.84</v>
    <v>45.45</v>
    <v>44.61</v>
    <v>44.77</v>
    <v>44.48</v>
    <v>44.61</v>
    <v>44.8</v>
    <v>44.9</v>
    <v>44.74</v>
    <v>44.89</v>
    <v>46.18</v>
    <v>45.49</v>
    <v>47.44</v>
    <v>48.25</v>
    <v>46.98</v>
    <v>46.13</v>
    <v>47.2</v>
    <v>48.01</v>
    <v>47.6</v>
    <v>46.34</v>
    <v>46.29</v>
    <v>48.11</v>
    <v>49.18</v>
    <v>49.99</v>
    <v>55.82</v>
    <v>57</v>
    <v>58.73</v>
    <v>58.02</v>
    <v>59.29</v>
    <v>58.59</v>
    <v>57.88</v>
    <v>58.77</v>
    <v>59.14</v>
    <v>58.79</v>
    <v>59.95</v>
    <v>59.67</v>
    <v>60.1</v>
    <v>60.11</v>
    <v>61.14</v>
    <v>61.47</v>
    <v>59.78</v>
    <v>57.37</v>
    <v>54.61</v>
    <v>54.3</v>
    <v>54.41</v>
    <v>55.37</v>
    <v>55.46</v>
    <v>56.5</v>
    <v>56.62</v>
    <v>56.76</v>
    <v>56.29</v>
    <v>55.06</v>
    <v>54.78</v>
    <v>55.65</v>
    <v>54.66</v>
    <v>55.08</v>
    <v>54.16</v>
    <v>53.63</v>
    <v>54.3</v>
    <v>55.27</v>
    <v>55.52</v>
    <v>55.42</v>
    <v>55.52</v>
    <v>57.21</v>
    <v>58.55</v>
    <v>58.92</v>
    <v>59.11</v>
    <v>58.12</v>
    <v>55.95</v>
    <v>54.37</v>
    <v>56.02</v>
    <v>55.25</v>
    <v>57.31</v>
    <v>58.47</v>
    <v>58.66</v>
    <v>60.31</v>
    <v>59.56</v>
    <v>62.38</v>
    <v>62.89</v>
    <v>61.95</v>
    <v>61.6</v>
    <v>63.03</v>
    <v>62.22</v>
    <v>63.57</v>
    <v>62.4</v>
    <v>61.97</v>
    <v>60.7</v>
    <v>50.9</v>
    <v>49.9</v>
    <v>49.85</v>
    <v>48.21</v>
    <v>47.5</v>
    <v>45.41</v>
    <v>44.58</v>
    <v>43.88</v>
    <v>44.79</v>
    <v>46.43</v>
    <v>46.24</v>
    <v>48.24</v>
    <v>48.24</v>
    <v>48.24</v>
    <v>47.86</v>
    <v>47.83</v>
    <v>49.17</v>
    <v>50.17</v>
    <v>49.35</v>
    <v>49.83</v>
    <v>49.25</v>
    <v>49.29</v>
    <v>47.97</v>
    <v>47.45</v>
    <v>47.44</v>
    <v>48.81</v>
    <v>47.27</v>
    <v>47.79</v>
    <v>48.83</v>
    <v>49.84</v>
    <v>50.02</v>
    <v>51.77</v>
    <v>50.44</v>
    <v>50.36</v>
    <v>50.48</v>
    <v>51.78</v>
    <v>51.06</v>
    <v>50.69</v>
    <v>50.32</v>
    <v>49.51</v>
    <v>49.4</v>
    <v>48.52</v>
    <v>47.69</v>
    <v>46.73</v>
  </a>
</arrayData>
</file>

<file path=xl/richData/rdrichvalue.xml><?xml version="1.0" encoding="utf-8"?>
<rvData xmlns="http://schemas.microsoft.com/office/spreadsheetml/2017/richdata" count="753">
  <rv s="0">
    <fb>45219</fb>
    <v>0</v>
  </rv>
  <rv s="0">
    <fb>38.700000000000003</fb>
    <v>1</v>
  </rv>
  <rv s="0">
    <fb>386.99</fb>
    <v>1</v>
  </rv>
  <rv s="0">
    <fb>45222</fb>
    <v>0</v>
  </rv>
  <rv s="0">
    <fb>38.82</fb>
    <v>1</v>
  </rv>
  <rv s="0">
    <fb>386.31</fb>
    <v>1</v>
  </rv>
  <rv s="0">
    <fb>45223</fb>
    <v>0</v>
  </rv>
  <rv s="0">
    <fb>389.2</fb>
    <v>1</v>
  </rv>
  <rv s="0">
    <fb>45224</fb>
    <v>0</v>
  </rv>
  <rv s="0">
    <fb>39.200000000000003</fb>
    <v>1</v>
  </rv>
  <rv s="0">
    <fb>383.71</fb>
    <v>1</v>
  </rv>
  <rv s="0">
    <fb>45225</fb>
    <v>0</v>
  </rv>
  <rv s="0">
    <fb>38.549999999999997</fb>
    <v>1</v>
  </rv>
  <rv s="0">
    <fb>379</fb>
    <v>1</v>
  </rv>
  <rv s="0">
    <fb>45226</fb>
    <v>0</v>
  </rv>
  <rv s="0">
    <fb>38.07</fb>
    <v>1</v>
  </rv>
  <rv s="0">
    <fb>377.32</fb>
    <v>1</v>
  </rv>
  <rv s="0">
    <fb>45229</fb>
    <v>0</v>
  </rv>
  <rv s="0">
    <fb>38.54</fb>
    <v>1</v>
  </rv>
  <rv s="0">
    <fb>381.86</fb>
    <v>1</v>
  </rv>
  <rv s="0">
    <fb>45230</fb>
    <v>0</v>
  </rv>
  <rv s="0">
    <fb>39.07</fb>
    <v>1</v>
  </rv>
  <rv s="0">
    <fb>384.17</fb>
    <v>1</v>
  </rv>
  <rv s="0">
    <fb>45231</fb>
    <v>0</v>
  </rv>
  <rv s="0">
    <fb>38.5</fb>
    <v>1</v>
  </rv>
  <rv s="0">
    <fb>388.4</fb>
    <v>1</v>
  </rv>
  <rv s="0">
    <fb>45232</fb>
    <v>0</v>
  </rv>
  <rv s="0">
    <fb>40.200000000000003</fb>
    <v>1</v>
  </rv>
  <rv s="0">
    <fb>395.78</fb>
    <v>1</v>
  </rv>
  <rv s="0">
    <fb>45233</fb>
    <v>0</v>
  </rv>
  <rv s="0">
    <fb>41.16</fb>
    <v>1</v>
  </rv>
  <rv s="0">
    <fb>399.44</fb>
    <v>1</v>
  </rv>
  <rv s="0">
    <fb>45236</fb>
    <v>0</v>
  </rv>
  <rv s="0">
    <fb>41.43</fb>
    <v>1</v>
  </rv>
  <rv s="0">
    <fb>400.21</fb>
    <v>1</v>
  </rv>
  <rv s="0">
    <fb>45237</fb>
    <v>0</v>
  </rv>
  <rv s="0">
    <fb>42.22</fb>
    <v>1</v>
  </rv>
  <rv s="0">
    <fb>401.34</fb>
    <v>1</v>
  </rv>
  <rv s="0">
    <fb>45238</fb>
    <v>0</v>
  </rv>
  <rv s="0">
    <fb>42.21</fb>
    <v>1</v>
  </rv>
  <rv s="0">
    <fb>401.67</fb>
    <v>1</v>
  </rv>
  <rv s="0">
    <fb>45239</fb>
    <v>0</v>
  </rv>
  <rv s="0">
    <fb>39.9</fb>
    <v>1</v>
  </rv>
  <rv s="0">
    <fb>398.64</fb>
    <v>1</v>
  </rv>
  <rv s="0">
    <fb>45240</fb>
    <v>0</v>
  </rv>
  <rv s="0">
    <fb>40.65</fb>
    <v>1</v>
  </rv>
  <rv s="0">
    <fb>404.86</fb>
    <v>1</v>
  </rv>
  <rv s="0">
    <fb>45243</fb>
    <v>0</v>
  </rv>
  <rv s="0">
    <fb>39.840000000000003</fb>
    <v>1</v>
  </rv>
  <rv s="0">
    <fb>404.45</fb>
    <v>1</v>
  </rv>
  <rv s="0">
    <fb>45244</fb>
    <v>0</v>
  </rv>
  <rv s="0">
    <fb>39.72</fb>
    <v>1</v>
  </rv>
  <rv s="0">
    <fb>412.22</fb>
    <v>1</v>
  </rv>
  <rv s="0">
    <fb>45245</fb>
    <v>0</v>
  </rv>
  <rv s="0">
    <fb>41.22</fb>
    <v>1</v>
  </rv>
  <rv s="0">
    <fb>413.12</fb>
    <v>1</v>
  </rv>
  <rv s="0">
    <fb>45246</fb>
    <v>0</v>
  </rv>
  <rv s="0">
    <fb>413.7</fb>
    <v>1</v>
  </rv>
  <rv s="0">
    <fb>45247</fb>
    <v>0</v>
  </rv>
  <rv s="0">
    <fb>41.79</fb>
    <v>1</v>
  </rv>
  <rv s="0">
    <fb>414.31</fb>
    <v>1</v>
  </rv>
  <rv s="0">
    <fb>45250</fb>
    <v>0</v>
  </rv>
  <rv s="0">
    <fb>41.84</fb>
    <v>1</v>
  </rv>
  <rv s="0">
    <fb>417.43</fb>
    <v>1</v>
  </rv>
  <rv s="0">
    <fb>45251</fb>
    <v>0</v>
  </rv>
  <rv s="0">
    <fb>43.4</fb>
    <v>1</v>
  </rv>
  <rv s="0">
    <fb>416.34</fb>
    <v>1</v>
  </rv>
  <rv s="0">
    <fb>45252</fb>
    <v>0</v>
  </rv>
  <rv s="0">
    <fb>41.85</fb>
    <v>1</v>
  </rv>
  <rv s="0">
    <fb>418.14</fb>
    <v>1</v>
  </rv>
  <rv s="0">
    <fb>45254</fb>
    <v>0</v>
  </rv>
  <rv s="0">
    <fb>42.14</fb>
    <v>1</v>
  </rv>
  <rv s="0">
    <fb>418.37</fb>
    <v>1</v>
  </rv>
  <rv s="0">
    <fb>45257</fb>
    <v>0</v>
  </rv>
  <rv s="0">
    <fb>41.49</fb>
    <v>1</v>
  </rv>
  <rv s="0">
    <fb>417.64</fb>
    <v>1</v>
  </rv>
  <rv s="0">
    <fb>45258</fb>
    <v>0</v>
  </rv>
  <rv s="0">
    <fb>45.38</fb>
    <v>1</v>
  </rv>
  <rv s="0">
    <fb>418.05</fb>
    <v>1</v>
  </rv>
  <rv s="0">
    <fb>45259</fb>
    <v>0</v>
  </rv>
  <rv s="0">
    <fb>45.75</fb>
    <v>1</v>
  </rv>
  <rv s="0">
    <fb>417.78</fb>
    <v>1</v>
  </rv>
  <rv s="0">
    <fb>45260</fb>
    <v>0</v>
  </rv>
  <rv s="0">
    <fb>46.15</fb>
    <v>1</v>
  </rv>
  <rv s="0">
    <fb>419.4</fb>
    <v>1</v>
  </rv>
  <rv s="0">
    <fb>45261</fb>
    <v>0</v>
  </rv>
  <rv s="0">
    <fb>48.45</fb>
    <v>1</v>
  </rv>
  <rv s="0">
    <fb>421.86</fb>
    <v>1</v>
  </rv>
  <rv s="0">
    <fb>45264</fb>
    <v>0</v>
  </rv>
  <rv s="0">
    <fb>48.68</fb>
    <v>1</v>
  </rv>
  <rv s="0">
    <fb>419.74</fb>
    <v>1</v>
  </rv>
  <rv s="0">
    <fb>45265</fb>
    <v>0</v>
  </rv>
  <rv s="0">
    <fb>49.03</fb>
    <v>1</v>
  </rv>
  <rv s="0">
    <fb>419.61</fb>
    <v>1</v>
  </rv>
  <rv s="0">
    <fb>45266</fb>
    <v>0</v>
  </rv>
  <rv s="0">
    <fb>47.17</fb>
    <v>1</v>
  </rv>
  <rv s="0">
    <fb>417.86</fb>
    <v>1</v>
  </rv>
  <rv s="0">
    <fb>45267</fb>
    <v>0</v>
  </rv>
  <rv s="0">
    <fb>47.4</fb>
    <v>1</v>
  </rv>
  <rv s="0">
    <fb>421.13</fb>
    <v>1</v>
  </rv>
  <rv s="0">
    <fb>45268</fb>
    <v>0</v>
  </rv>
  <rv s="0">
    <fb>47.91</fb>
    <v>1</v>
  </rv>
  <rv s="0">
    <fb>422.92</fb>
    <v>1</v>
  </rv>
  <rv s="0">
    <fb>45271</fb>
    <v>0</v>
  </rv>
  <rv s="0">
    <fb>48.25</fb>
    <v>1</v>
  </rv>
  <rv s="0">
    <fb>424.56</fb>
    <v>1</v>
  </rv>
  <rv s="0">
    <fb>45272</fb>
    <v>0</v>
  </rv>
  <rv s="0">
    <fb>48.76</fb>
    <v>1</v>
  </rv>
  <rv s="0">
    <fb>426.67</fb>
    <v>1</v>
  </rv>
  <rv s="0">
    <fb>45273</fb>
    <v>0</v>
  </rv>
  <rv s="0">
    <fb>48.46</fb>
    <v>1</v>
  </rv>
  <rv s="0">
    <fb>432.48</fb>
    <v>1</v>
  </rv>
  <rv s="0">
    <fb>45274</fb>
    <v>0</v>
  </rv>
  <rv s="0">
    <fb>49.98</fb>
    <v>1</v>
  </rv>
  <rv s="0">
    <fb>433.75</fb>
    <v>1</v>
  </rv>
  <rv s="0">
    <fb>45275</fb>
    <v>0</v>
  </rv>
  <rv s="0">
    <fb>433.09</fb>
    <v>1</v>
  </rv>
  <rv s="0">
    <fb>45278</fb>
    <v>0</v>
  </rv>
  <rv s="0">
    <fb>48.7</fb>
    <v>1</v>
  </rv>
  <rv s="0">
    <fb>435.54</fb>
    <v>1</v>
  </rv>
  <rv s="0">
    <fb>45279</fb>
    <v>0</v>
  </rv>
  <rv s="0">
    <fb>49.04</fb>
    <v>1</v>
  </rv>
  <rv s="0">
    <fb>438.19</fb>
    <v>1</v>
  </rv>
  <rv s="0">
    <fb>45280</fb>
    <v>0</v>
  </rv>
  <rv s="0">
    <fb>47.75</fb>
    <v>1</v>
  </rv>
  <rv s="0">
    <fb>430.09</fb>
    <v>1</v>
  </rv>
  <rv s="0">
    <fb>45281</fb>
    <v>0</v>
  </rv>
  <rv s="0">
    <fb>46.8</fb>
    <v>1</v>
  </rv>
  <rv s="0">
    <fb>434.28</fb>
    <v>1</v>
  </rv>
  <rv s="0">
    <fb>45282</fb>
    <v>0</v>
  </rv>
  <rv s="0">
    <fb>46.31</fb>
    <v>1</v>
  </rv>
  <rv s="0">
    <fb>435.29</fb>
    <v>1</v>
  </rv>
  <rv s="0">
    <fb>45286</fb>
    <v>0</v>
  </rv>
  <rv s="0">
    <fb>437.1</fb>
    <v>1</v>
  </rv>
  <rv s="0">
    <fb>45287</fb>
    <v>0</v>
  </rv>
  <rv s="0">
    <fb>50.06</fb>
    <v>1</v>
  </rv>
  <rv s="0">
    <fb>437.9</fb>
    <v>1</v>
  </rv>
  <rv s="0">
    <fb>45288</fb>
    <v>0</v>
  </rv>
  <rv s="0">
    <fb>49.5</fb>
    <v>1</v>
  </rv>
  <rv s="0">
    <fb>437.97</fb>
    <v>1</v>
  </rv>
  <rv s="0">
    <fb>45289</fb>
    <v>0</v>
  </rv>
  <rv s="0">
    <fb>48.73</fb>
    <v>1</v>
  </rv>
  <rv s="0">
    <fb>436.8</fb>
    <v>1</v>
  </rv>
  <rv s="0">
    <fb>45293</fb>
    <v>0</v>
  </rv>
  <rv s="0">
    <fb>47.38</fb>
    <v>1</v>
  </rv>
  <rv s="0">
    <fb>434.01</fb>
    <v>1</v>
  </rv>
  <rv s="0">
    <fb>45294</fb>
    <v>0</v>
  </rv>
  <rv s="0">
    <fb>46.29</fb>
    <v>1</v>
  </rv>
  <rv s="0">
    <fb>430.79</fb>
    <v>1</v>
  </rv>
  <rv s="0">
    <fb>45295</fb>
    <v>0</v>
  </rv>
  <rv s="0">
    <fb>46.19</fb>
    <v>1</v>
  </rv>
  <rv s="0">
    <fb>429.43</fb>
    <v>1</v>
  </rv>
  <rv s="0">
    <fb>45296</fb>
    <v>0</v>
  </rv>
  <rv s="0">
    <fb>45.7</fb>
    <v>1</v>
  </rv>
  <rv s="0">
    <fb>429.98</fb>
    <v>1</v>
  </rv>
  <rv s="0">
    <fb>45299</fb>
    <v>0</v>
  </rv>
  <rv s="0">
    <fb>47.43</fb>
    <v>1</v>
  </rv>
  <rv s="0">
    <fb>436.13</fb>
    <v>1</v>
  </rv>
  <rv s="0">
    <fb>45300</fb>
    <v>0</v>
  </rv>
  <rv s="0">
    <fb>46.64</fb>
    <v>1</v>
  </rv>
  <rv s="0">
    <fb>435.07</fb>
    <v>1</v>
  </rv>
  <rv s="0">
    <fb>45301</fb>
    <v>0</v>
  </rv>
  <rv s="0">
    <fb>47.65</fb>
    <v>1</v>
  </rv>
  <rv s="0">
    <fb>437.94</fb>
    <v>1</v>
  </rv>
  <rv s="0">
    <fb>45302</fb>
    <v>0</v>
  </rv>
  <rv s="0">
    <fb>47.54</fb>
    <v>1</v>
  </rv>
  <rv s="0">
    <fb>437.79</fb>
    <v>1</v>
  </rv>
  <rv s="0">
    <fb>45303</fb>
    <v>0</v>
  </rv>
  <rv s="0">
    <fb>47.88</fb>
    <v>1</v>
  </rv>
  <rv s="0">
    <fb>437.99</fb>
    <v>1</v>
  </rv>
  <rv s="0">
    <fb>45307</fb>
    <v>0</v>
  </rv>
  <rv s="0">
    <fb>49.43</fb>
    <v>1</v>
  </rv>
  <rv s="0">
    <fb>436.5</fb>
    <v>1</v>
  </rv>
  <rv s="0">
    <fb>45308</fb>
    <v>0</v>
  </rv>
  <rv s="0">
    <fb>434.07</fb>
    <v>1</v>
  </rv>
  <rv s="0">
    <fb>45309</fb>
    <v>0</v>
  </rv>
  <rv s="0">
    <fb>46.12</fb>
    <v>1</v>
  </rv>
  <rv s="0">
    <fb>437.93</fb>
    <v>1</v>
  </rv>
  <rv s="0">
    <fb>45310</fb>
    <v>0</v>
  </rv>
  <rv s="0">
    <fb>46.32</fb>
    <v>1</v>
  </rv>
  <rv s="0">
    <fb>443.29</fb>
    <v>1</v>
  </rv>
  <rv s="0">
    <fb>45313</fb>
    <v>0</v>
  </rv>
  <rv s="0">
    <fb>47.6</fb>
    <v>1</v>
  </rv>
  <rv s="0">
    <fb>444.3</fb>
    <v>1</v>
  </rv>
  <rv s="0">
    <fb>45314</fb>
    <v>0</v>
  </rv>
  <rv s="0">
    <fb>45.61</fb>
    <v>1</v>
  </rv>
  <rv s="0">
    <fb>445.62</fb>
    <v>1</v>
  </rv>
  <rv s="0">
    <fb>45315</fb>
    <v>0</v>
  </rv>
  <rv s="0">
    <fb>44.8</fb>
    <v>1</v>
  </rv>
  <rv s="0">
    <fb>445.99</fb>
    <v>1</v>
  </rv>
  <rv s="0">
    <fb>45316</fb>
    <v>0</v>
  </rv>
  <rv s="0">
    <fb>46.4</fb>
    <v>1</v>
  </rv>
  <rv s="0">
    <fb>448.5</fb>
    <v>1</v>
  </rv>
  <rv s="0">
    <fb>45317</fb>
    <v>0</v>
  </rv>
  <rv s="0">
    <fb>46.53</fb>
    <v>1</v>
  </rv>
  <rv s="0">
    <fb>448.23</fb>
    <v>1</v>
  </rv>
  <rv s="0">
    <fb>45320</fb>
    <v>0</v>
  </rv>
  <rv s="0">
    <fb>48.42</fb>
    <v>1</v>
  </rv>
  <rv s="0">
    <fb>451.49</fb>
    <v>1</v>
  </rv>
  <rv s="0">
    <fb>45321</fb>
    <v>0</v>
  </rv>
  <rv s="0">
    <fb>47.5</fb>
    <v>1</v>
  </rv>
  <rv s="0">
    <fb>451.17</fb>
    <v>1</v>
  </rv>
  <rv s="0">
    <fb>45322</fb>
    <v>0</v>
  </rv>
  <rv s="0">
    <fb>46.39</fb>
    <v>1</v>
  </rv>
  <rv s="0">
    <fb>443.82</fb>
    <v>1</v>
  </rv>
  <rv s="0">
    <fb>45323</fb>
    <v>0</v>
  </rv>
  <rv s="0">
    <fb>46.67</fb>
    <v>1</v>
  </rv>
  <rv s="0">
    <fb>449.66</fb>
    <v>1</v>
  </rv>
  <rv s="0">
    <fb>45324</fb>
    <v>0</v>
  </rv>
  <rv s="0">
    <fb>46.09</fb>
    <v>1</v>
  </rv>
  <rv s="0">
    <fb>454.28</fb>
    <v>1</v>
  </rv>
  <rv s="0">
    <fb>45327</fb>
    <v>0</v>
  </rv>
  <rv s="0">
    <fb>45.15</fb>
    <v>1</v>
  </rv>
  <rv s="0">
    <fb>452.62</fb>
    <v>1</v>
  </rv>
  <rv s="0">
    <fb>45328</fb>
    <v>0</v>
  </rv>
  <rv s="0">
    <fb>46.41</fb>
    <v>1</v>
  </rv>
  <rv s="0">
    <fb>454.03</fb>
    <v>1</v>
  </rv>
  <rv s="0">
    <fb>45329</fb>
    <v>0</v>
  </rv>
  <rv s="0">
    <fb>45.91</fb>
    <v>1</v>
  </rv>
  <rv s="0">
    <fb>457.76</fb>
    <v>1</v>
  </rv>
  <rv s="0">
    <fb>45330</fb>
    <v>0</v>
  </rv>
  <rv s="0">
    <fb>48</fb>
    <v>1</v>
  </rv>
  <rv s="0">
    <fb>458.07</fb>
    <v>1</v>
  </rv>
  <rv s="0">
    <fb>45331</fb>
    <v>0</v>
  </rv>
  <rv s="0">
    <fb>47.86</fb>
    <v>1</v>
  </rv>
  <rv s="0">
    <fb>460.67</fb>
    <v>1</v>
  </rv>
  <rv s="0">
    <fb>45334</fb>
    <v>0</v>
  </rv>
  <rv s="0">
    <fb>50.7</fb>
    <v>1</v>
  </rv>
  <rv s="0">
    <fb>460.46</fb>
    <v>1</v>
  </rv>
  <rv s="0">
    <fb>45335</fb>
    <v>0</v>
  </rv>
  <rv s="0">
    <fb>48.13</fb>
    <v>1</v>
  </rv>
  <rv s="0">
    <fb>453.97</fb>
    <v>1</v>
  </rv>
  <rv s="0">
    <fb>45336</fb>
    <v>0</v>
  </rv>
  <rv s="0">
    <fb>49.85</fb>
    <v>1</v>
  </rv>
  <rv s="0">
    <fb>458.29</fb>
    <v>1</v>
  </rv>
  <rv s="0">
    <fb>45337</fb>
    <v>0</v>
  </rv>
  <rv s="0">
    <fb>49.78</fb>
    <v>1</v>
  </rv>
  <rv s="0">
    <fb>461.39</fb>
    <v>1</v>
  </rv>
  <rv s="0">
    <fb>45338</fb>
    <v>0</v>
  </rv>
  <rv s="0">
    <fb>49.25</fb>
    <v>1</v>
  </rv>
  <rv s="0">
    <fb>459.03</fb>
    <v>1</v>
  </rv>
  <rv s="0">
    <fb>45342</fb>
    <v>0</v>
  </rv>
  <rv s="0">
    <fb>49.24</fb>
    <v>1</v>
  </rv>
  <rv s="0">
    <fb>456.51</fb>
    <v>1</v>
  </rv>
  <rv s="0">
    <fb>45343</fb>
    <v>0</v>
  </rv>
  <rv s="0">
    <fb>51.98</fb>
    <v>1</v>
  </rv>
  <rv s="0">
    <fb>456.97</fb>
    <v>1</v>
  </rv>
  <rv s="0">
    <fb>45344</fb>
    <v>0</v>
  </rv>
  <rv s="0">
    <fb>51.3</fb>
    <v>1</v>
  </rv>
  <rv s="0">
    <fb>466.57</fb>
    <v>1</v>
  </rv>
  <rv s="0">
    <fb>45345</fb>
    <v>0</v>
  </rv>
  <rv s="0">
    <fb>52</fb>
    <v>1</v>
  </rv>
  <rv s="0">
    <fb>466.78</fb>
    <v>1</v>
  </rv>
  <rv s="0">
    <fb>45348</fb>
    <v>0</v>
  </rv>
  <rv s="0">
    <fb>51</fb>
    <v>1</v>
  </rv>
  <rv s="0">
    <fb>465.07</fb>
    <v>1</v>
  </rv>
  <rv s="0">
    <fb>45349</fb>
    <v>0</v>
  </rv>
  <rv s="0">
    <fb>51.45</fb>
    <v>1</v>
  </rv>
  <rv s="0">
    <fb>465.93</fb>
    <v>1</v>
  </rv>
  <rv s="0">
    <fb>45350</fb>
    <v>0</v>
  </rv>
  <rv s="0">
    <fb>51.23</fb>
    <v>1</v>
  </rv>
  <rv s="0">
    <fb>465.21</fb>
    <v>1</v>
  </rv>
  <rv s="0">
    <fb>45351</fb>
    <v>0</v>
  </rv>
  <rv s="0">
    <fb>50.01</fb>
    <v>1</v>
  </rv>
  <rv s="0">
    <fb>466.93</fb>
    <v>1</v>
  </rv>
  <rv s="0">
    <fb>45352</fb>
    <v>0</v>
  </rv>
  <rv s="0">
    <fb>47.83</fb>
    <v>1</v>
  </rv>
  <rv s="0">
    <fb>471.43</fb>
    <v>1</v>
  </rv>
  <rv s="0">
    <fb>45355</fb>
    <v>0</v>
  </rv>
  <rv s="0">
    <fb>50.24</fb>
    <v>1</v>
  </rv>
  <rv s="0">
    <fb>470.87</fb>
    <v>1</v>
  </rv>
  <rv s="0">
    <fb>45356</fb>
    <v>0</v>
  </rv>
  <rv s="0">
    <fb>48.36</fb>
    <v>1</v>
  </rv>
  <rv s="0">
    <fb>466.15</fb>
    <v>1</v>
  </rv>
  <rv s="0">
    <fb>45357</fb>
    <v>0</v>
  </rv>
  <rv s="0">
    <fb>48.19</fb>
    <v>1</v>
  </rv>
  <rv s="0">
    <fb>468.62</fb>
    <v>1</v>
  </rv>
  <rv s="0">
    <fb>45358</fb>
    <v>0</v>
  </rv>
  <rv s="0">
    <fb>48.4</fb>
    <v>1</v>
  </rv>
  <rv s="0">
    <fb>473.26</fb>
    <v>1</v>
  </rv>
  <rv s="0">
    <fb>45359</fb>
    <v>0</v>
  </rv>
  <rv s="0">
    <fb>47.18</fb>
    <v>1</v>
  </rv>
  <rv s="0">
    <fb>470.39</fb>
    <v>1</v>
  </rv>
  <rv s="0">
    <fb>45362</fb>
    <v>0</v>
  </rv>
  <rv s="0">
    <fb>470</fb>
    <v>1</v>
  </rv>
  <rv s="0">
    <fb>45363</fb>
    <v>0</v>
  </rv>
  <rv s="0">
    <fb>47.03</fb>
    <v>1</v>
  </rv>
  <rv s="0">
    <fb>475.03</fb>
    <v>1</v>
  </rv>
  <rv s="0">
    <fb>45364</fb>
    <v>0</v>
  </rv>
  <rv s="0">
    <fb>46.85</fb>
    <v>1</v>
  </rv>
  <rv s="0">
    <fb>474.31</fb>
    <v>1</v>
  </rv>
  <rv s="0">
    <fb>45365</fb>
    <v>0</v>
  </rv>
  <rv s="0">
    <fb>46.43</fb>
    <v>1</v>
  </rv>
  <rv s="0">
    <fb>473.27</fb>
    <v>1</v>
  </rv>
  <rv s="0">
    <fb>45366</fb>
    <v>0</v>
  </rv>
  <rv s="0">
    <fb>47.09</fb>
    <v>1</v>
  </rv>
  <rv s="0">
    <fb>470.01</fb>
    <v>1</v>
  </rv>
  <rv s="0">
    <fb>45369</fb>
    <v>0</v>
  </rv>
  <rv s="0">
    <fb>472.95</fb>
    <v>1</v>
  </rv>
  <rv s="0">
    <fb>45370</fb>
    <v>0</v>
  </rv>
  <rv s="0">
    <fb>45.87</fb>
    <v>1</v>
  </rv>
  <rv s="0">
    <fb>475.6</fb>
    <v>1</v>
  </rv>
  <rv s="0">
    <fb>45371</fb>
    <v>0</v>
  </rv>
  <rv s="0">
    <fb>45.95</fb>
    <v>1</v>
  </rv>
  <rv s="0">
    <fb>479.75</fb>
    <v>1</v>
  </rv>
  <rv s="0">
    <fb>45372</fb>
    <v>0</v>
  </rv>
  <rv s="0">
    <fb>46.75</fb>
    <v>1</v>
  </rv>
  <rv s="0">
    <fb>481.35</fb>
    <v>1</v>
  </rv>
  <rv s="0">
    <fb>45373</fb>
    <v>0</v>
  </rv>
  <rv s="0">
    <fb>479.18</fb>
    <v>1</v>
  </rv>
  <rv s="0">
    <fb>45376</fb>
    <v>0</v>
  </rv>
  <rv s="0">
    <fb>45.67</fb>
    <v>1</v>
  </rv>
  <rv s="0">
    <fb>477.94</fb>
    <v>1</v>
  </rv>
  <rv s="0">
    <fb>45377</fb>
    <v>0</v>
  </rv>
  <rv s="0">
    <fb>46.26</fb>
    <v>1</v>
  </rv>
  <rv s="0">
    <fb>476.6</fb>
    <v>1</v>
  </rv>
  <rv s="0">
    <fb>45378</fb>
    <v>0</v>
  </rv>
  <rv s="0">
    <fb>480.76</fb>
    <v>1</v>
  </rv>
  <rv s="0">
    <fb>45379</fb>
    <v>0</v>
  </rv>
  <rv s="0">
    <fb>47.25</fb>
    <v>1</v>
  </rv>
  <rv s="0">
    <fb>480.7</fb>
    <v>1</v>
  </rv>
  <rv s="0">
    <fb>45383</fb>
    <v>0</v>
  </rv>
  <rv s="0">
    <fb>46.59</fb>
    <v>1</v>
  </rv>
  <rv s="0">
    <fb>480.07</fb>
    <v>1</v>
  </rv>
  <rv s="0">
    <fb>45384</fb>
    <v>0</v>
  </rv>
  <rv s="0">
    <fb>45.19</fb>
    <v>1</v>
  </rv>
  <rv s="0">
    <fb>476.93</fb>
    <v>1</v>
  </rv>
  <rv s="0">
    <fb>45385</fb>
    <v>0</v>
  </rv>
  <rv s="0">
    <fb>43.36</fb>
    <v>1</v>
  </rv>
  <rv s="0">
    <fb>477.36</fb>
    <v>1</v>
  </rv>
  <rv s="0">
    <fb>45386</fb>
    <v>0</v>
  </rv>
  <rv s="0">
    <fb>41.99</fb>
    <v>1</v>
  </rv>
  <rv s="0">
    <fb>471.48</fb>
    <v>1</v>
  </rv>
  <rv s="0">
    <fb>45387</fb>
    <v>0</v>
  </rv>
  <rv s="0">
    <fb>44.04</fb>
    <v>1</v>
  </rv>
  <rv s="0">
    <fb>476.49</fb>
    <v>1</v>
  </rv>
  <rv s="0">
    <fb>45390</fb>
    <v>0</v>
  </rv>
  <rv s="0">
    <fb>44.55</fb>
    <v>1</v>
  </rv>
  <rv s="0">
    <fb>476.68</fb>
    <v>1</v>
  </rv>
  <rv s="0">
    <fb>45391</fb>
    <v>0</v>
  </rv>
  <rv s="0">
    <fb>45.21</fb>
    <v>1</v>
  </rv>
  <rv s="0">
    <fb>477.27</fb>
    <v>1</v>
  </rv>
  <rv s="0">
    <fb>45392</fb>
    <v>0</v>
  </rv>
  <rv s="0">
    <fb>43.42</fb>
    <v>1</v>
  </rv>
  <rv s="0">
    <fb>472.65</fb>
    <v>1</v>
  </rv>
  <rv s="0">
    <fb>45393</fb>
    <v>0</v>
  </rv>
  <rv s="0">
    <fb>43.81</fb>
    <v>1</v>
  </rv>
  <rv s="0">
    <fb>476.06</fb>
    <v>1</v>
  </rv>
  <rv s="0">
    <fb>45394</fb>
    <v>0</v>
  </rv>
  <rv s="0">
    <fb>43.03</fb>
    <v>1</v>
  </rv>
  <rv s="0">
    <fb>469.57</fb>
    <v>1</v>
  </rv>
  <rv s="0">
    <fb>45397</fb>
    <v>0</v>
  </rv>
  <rv s="0">
    <fb>42.16</fb>
    <v>1</v>
  </rv>
  <rv s="0">
    <fb>463.61</fb>
    <v>1</v>
  </rv>
  <rv s="0">
    <fb>45398</fb>
    <v>0</v>
  </rv>
  <rv s="0">
    <fb>42.15</fb>
    <v>1</v>
  </rv>
  <rv s="0">
    <fb>462.78</fb>
    <v>1</v>
  </rv>
  <rv s="0">
    <fb>45399</fb>
    <v>0</v>
  </rv>
  <rv s="0">
    <fb>42.29</fb>
    <v>1</v>
  </rv>
  <rv s="0">
    <fb>459.99</fb>
    <v>1</v>
  </rv>
  <rv s="0">
    <fb>45400</fb>
    <v>0</v>
  </rv>
  <rv s="0">
    <fb>42.02</fb>
    <v>1</v>
  </rv>
  <rv s="0">
    <fb>458.94</fb>
    <v>1</v>
  </rv>
  <rv s="0">
    <fb>45401</fb>
    <v>0</v>
  </rv>
  <rv s="0">
    <fb>42.67</fb>
    <v>1</v>
  </rv>
  <rv s="0">
    <fb>455.1</fb>
    <v>1</v>
  </rv>
  <rv s="0">
    <fb>45404</fb>
    <v>0</v>
  </rv>
  <rv s="0">
    <fb>43.9</fb>
    <v>1</v>
  </rv>
  <rv s="0">
    <fb>459.05</fb>
    <v>1</v>
  </rv>
  <rv s="0">
    <fb>45405</fb>
    <v>0</v>
  </rv>
  <rv s="0">
    <fb>44.84</fb>
    <v>1</v>
  </rv>
  <rv s="0">
    <fb>464.84</fb>
    <v>1</v>
  </rv>
  <rv s="0">
    <fb>45406</fb>
    <v>0</v>
  </rv>
  <rv s="0">
    <fb>45.04</fb>
    <v>1</v>
  </rv>
  <rv s="0">
    <fb>464.5</fb>
    <v>1</v>
  </rv>
  <rv s="0">
    <fb>45407</fb>
    <v>0</v>
  </rv>
  <rv s="0">
    <fb>462.58</fb>
    <v>1</v>
  </rv>
  <rv s="0">
    <fb>45408</fb>
    <v>0</v>
  </rv>
  <rv s="0">
    <fb>45.45</fb>
    <v>1</v>
  </rv>
  <rv s="0">
    <fb>467.21</fb>
    <v>1</v>
  </rv>
  <rv s="0">
    <fb>45411</fb>
    <v>0</v>
  </rv>
  <rv s="0">
    <fb>44.61</fb>
    <v>1</v>
  </rv>
  <rv s="0">
    <fb>468.84</fb>
    <v>1</v>
  </rv>
  <rv s="0">
    <fb>45412</fb>
    <v>0</v>
  </rv>
  <rv s="0">
    <fb>44.77</fb>
    <v>1</v>
  </rv>
  <rv s="0">
    <fb>461.43</fb>
    <v>1</v>
  </rv>
  <rv s="0">
    <fb>45413</fb>
    <v>0</v>
  </rv>
  <rv s="0">
    <fb>44.48</fb>
    <v>1</v>
  </rv>
  <rv s="0">
    <fb>459.93</fb>
    <v>1</v>
  </rv>
  <rv s="0">
    <fb>45414</fb>
    <v>0</v>
  </rv>
  <rv s="0">
    <fb>464.22</fb>
    <v>1</v>
  </rv>
  <rv s="0">
    <fb>45415</fb>
    <v>0</v>
  </rv>
  <rv s="0">
    <fb>469.98</fb>
    <v>1</v>
  </rv>
  <rv s="0">
    <fb>45418</fb>
    <v>0</v>
  </rv>
  <rv s="0">
    <fb>44.9</fb>
    <v>1</v>
  </rv>
  <rv s="0">
    <fb>474.72</fb>
    <v>1</v>
  </rv>
  <rv s="0">
    <fb>45419</fb>
    <v>0</v>
  </rv>
  <rv s="0">
    <fb>44.74</fb>
    <v>1</v>
  </rv>
  <rv s="0">
    <fb>475.4</fb>
    <v>1</v>
  </rv>
  <rv s="0">
    <fb>45420</fb>
    <v>0</v>
  </rv>
  <rv s="0">
    <fb>44.89</fb>
    <v>1</v>
  </rv>
  <rv s="0">
    <fb>475.42</fb>
    <v>1</v>
  </rv>
  <rv s="0">
    <fb>45421</fb>
    <v>0</v>
  </rv>
  <rv s="0">
    <fb>46.18</fb>
    <v>1</v>
  </rv>
  <rv s="0">
    <fb>478.15</fb>
    <v>1</v>
  </rv>
  <rv s="0">
    <fb>45422</fb>
    <v>0</v>
  </rv>
  <rv s="0">
    <fb>45.49</fb>
    <v>1</v>
  </rv>
  <rv s="0">
    <fb>478.74</fb>
    <v>1</v>
  </rv>
  <rv s="0">
    <fb>45425</fb>
    <v>0</v>
  </rv>
  <rv s="0">
    <fb>47.44</fb>
    <v>1</v>
  </rv>
  <rv s="0">
    <fb>478.77</fb>
    <v>1</v>
  </rv>
  <rv s="0">
    <fb>45426</fb>
    <v>0</v>
  </rv>
  <rv s="0">
    <fb>481.04</fb>
    <v>1</v>
  </rv>
  <rv s="0">
    <fb>45427</fb>
    <v>0</v>
  </rv>
  <rv s="0">
    <fb>46.98</fb>
    <v>1</v>
  </rv>
  <rv s="0">
    <fb>486.9</fb>
    <v>1</v>
  </rv>
  <rv s="0">
    <fb>45428</fb>
    <v>0</v>
  </rv>
  <rv s="0">
    <fb>46.13</fb>
    <v>1</v>
  </rv>
  <rv s="0">
    <fb>485.97</fb>
    <v>1</v>
  </rv>
  <rv s="0">
    <fb>45429</fb>
    <v>0</v>
  </rv>
  <rv s="0">
    <fb>47.2</fb>
    <v>1</v>
  </rv>
  <rv s="0">
    <fb>486.69</fb>
    <v>1</v>
  </rv>
  <rv s="0">
    <fb>45432</fb>
    <v>0</v>
  </rv>
  <rv s="0">
    <fb>48.01</fb>
    <v>1</v>
  </rv>
  <rv s="0">
    <fb>487.17</fb>
    <v>1</v>
  </rv>
  <rv s="0">
    <fb>45433</fb>
    <v>0</v>
  </rv>
  <rv s="0">
    <fb>488.48</fb>
    <v>1</v>
  </rv>
  <rv s="0">
    <fb>45434</fb>
    <v>0</v>
  </rv>
  <rv s="0">
    <fb>46.34</fb>
    <v>1</v>
  </rv>
  <rv s="0">
    <fb>487.06</fb>
    <v>1</v>
  </rv>
  <rv s="0">
    <fb>45435</fb>
    <v>0</v>
  </rv>
  <rv s="0">
    <fb>483.44</fb>
    <v>1</v>
  </rv>
  <rv s="0">
    <fb>45436</fb>
    <v>0</v>
  </rv>
  <rv s="0">
    <fb>48.11</fb>
    <v>1</v>
  </rv>
  <rv s="0">
    <fb>486.73</fb>
    <v>1</v>
  </rv>
  <rv s="0">
    <fb>45440</fb>
    <v>0</v>
  </rv>
  <rv s="0">
    <fb>49.18</fb>
    <v>1</v>
  </rv>
  <rv s="0">
    <fb>487.12</fb>
    <v>1</v>
  </rv>
  <rv s="0">
    <fb>45441</fb>
    <v>0</v>
  </rv>
  <rv s="0">
    <fb>49.99</fb>
    <v>1</v>
  </rv>
  <rv s="0">
    <fb>483.69</fb>
    <v>1</v>
  </rv>
  <rv s="0">
    <fb>45442</fb>
    <v>0</v>
  </rv>
  <rv s="0">
    <fb>55.82</fb>
    <v>1</v>
  </rv>
  <rv s="0">
    <fb>480.44</fb>
    <v>1</v>
  </rv>
  <rv s="0">
    <fb>45443</fb>
    <v>0</v>
  </rv>
  <rv s="0">
    <fb>57</fb>
    <v>1</v>
  </rv>
  <rv s="0">
    <fb>484.62</fb>
    <v>1</v>
  </rv>
  <rv s="0">
    <fb>45446</fb>
    <v>0</v>
  </rv>
  <rv s="0">
    <fb>58.73</fb>
    <v>1</v>
  </rv>
  <rv s="0">
    <fb>485.15</fb>
    <v>1</v>
  </rv>
  <rv s="0">
    <fb>45447</fb>
    <v>0</v>
  </rv>
  <rv s="0">
    <fb>58.02</fb>
    <v>1</v>
  </rv>
  <rv s="0">
    <fb>485.74</fb>
    <v>1</v>
  </rv>
  <rv s="0">
    <fb>45448</fb>
    <v>0</v>
  </rv>
  <rv s="0">
    <fb>59.29</fb>
    <v>1</v>
  </rv>
  <rv s="0">
    <fb>491.55</fb>
    <v>1</v>
  </rv>
  <rv s="0">
    <fb>45449</fb>
    <v>0</v>
  </rv>
  <rv s="0">
    <fb>58.59</fb>
    <v>1</v>
  </rv>
  <rv s="0">
    <fb>491.44</fb>
    <v>1</v>
  </rv>
  <rv s="0">
    <fb>45450</fb>
    <v>0</v>
  </rv>
  <rv s="0">
    <fb>57.88</fb>
    <v>1</v>
  </rv>
  <rv s="0">
    <fb>490.8</fb>
    <v>1</v>
  </rv>
  <rv s="0">
    <fb>45453</fb>
    <v>0</v>
  </rv>
  <rv s="0">
    <fb>58.77</fb>
    <v>1</v>
  </rv>
  <rv s="0">
    <fb>492.41</fb>
    <v>1</v>
  </rv>
  <rv s="0">
    <fb>45454</fb>
    <v>0</v>
  </rv>
  <rv s="0">
    <fb>59.14</fb>
    <v>1</v>
  </rv>
  <rv s="0">
    <fb>493.53</fb>
    <v>1</v>
  </rv>
  <rv s="0">
    <fb>45455</fb>
    <v>0</v>
  </rv>
  <rv s="0">
    <fb>58.79</fb>
    <v>1</v>
  </rv>
  <rv s="0">
    <fb>497.64</fb>
    <v>1</v>
  </rv>
  <rv s="0">
    <fb>45456</fb>
    <v>0</v>
  </rv>
  <rv s="0">
    <fb>59.95</fb>
    <v>1</v>
  </rv>
  <rv s="0">
    <fb>498.58</fb>
    <v>1</v>
  </rv>
  <rv s="0">
    <fb>45457</fb>
    <v>0</v>
  </rv>
  <rv s="0">
    <fb>59.67</fb>
    <v>1</v>
  </rv>
  <rv s="0">
    <fb>498.98</fb>
    <v>1</v>
  </rv>
  <rv s="0">
    <fb>45460</fb>
    <v>0</v>
  </rv>
  <rv s="0">
    <fb>60.1</fb>
    <v>1</v>
  </rv>
  <rv s="0">
    <fb>502.94</fb>
    <v>1</v>
  </rv>
  <rv s="0">
    <fb>45461</fb>
    <v>0</v>
  </rv>
  <rv s="0">
    <fb>60.11</fb>
    <v>1</v>
  </rv>
  <rv s="0">
    <fb>504.28</fb>
    <v>1</v>
  </rv>
  <rv s="0">
    <fb>45463</fb>
    <v>0</v>
  </rv>
  <rv s="0">
    <fb>61.14</fb>
    <v>1</v>
  </rv>
  <rv s="0">
    <fb>502.88</fb>
    <v>1</v>
  </rv>
  <rv s="0">
    <fb>45464</fb>
    <v>0</v>
  </rv>
  <rv s="0">
    <fb>61.47</fb>
    <v>1</v>
  </rv>
  <rv s="0">
    <fb>501.78</fb>
    <v>1</v>
  </rv>
  <rv s="0">
    <fb>45467</fb>
    <v>0</v>
  </rv>
  <rv s="0">
    <fb>59.78</fb>
    <v>1</v>
  </rv>
  <rv s="0">
    <fb>500.43</fb>
    <v>1</v>
  </rv>
  <rv s="0">
    <fb>45468</fb>
    <v>0</v>
  </rv>
  <rv s="0">
    <fb>57.37</fb>
    <v>1</v>
  </rv>
  <rv s="0">
    <fb>502.51</fb>
    <v>1</v>
  </rv>
  <rv s="0">
    <fb>45469</fb>
    <v>0</v>
  </rv>
  <rv s="0">
    <fb>54.61</fb>
    <v>1</v>
  </rv>
  <rv s="0">
    <fb>503.07</fb>
    <v>1</v>
  </rv>
  <rv s="0">
    <fb>45470</fb>
    <v>0</v>
  </rv>
  <rv s="0">
    <fb>54.3</fb>
    <v>1</v>
  </rv>
  <rv s="0">
    <fb>503.85</fb>
    <v>1</v>
  </rv>
  <rv s="0">
    <fb>45471</fb>
    <v>0</v>
  </rv>
  <rv s="0">
    <fb>54.41</fb>
    <v>1</v>
  </rv>
  <rv s="0">
    <fb>500.13</fb>
    <v>1</v>
  </rv>
  <rv s="0">
    <fb>45474</fb>
    <v>0</v>
  </rv>
  <rv s="0">
    <fb>55.37</fb>
    <v>1</v>
  </rv>
  <rv s="0">
    <fb>501.28</fb>
    <v>1</v>
  </rv>
  <rv s="0">
    <fb>45475</fb>
    <v>0</v>
  </rv>
  <rv s="0">
    <fb>55.46</fb>
    <v>1</v>
  </rv>
  <rv s="0">
    <fb>504.53</fb>
    <v>1</v>
  </rv>
  <rv s="0">
    <fb>45476</fb>
    <v>0</v>
  </rv>
  <rv s="0">
    <fb>56.5</fb>
    <v>1</v>
  </rv>
  <rv s="0">
    <fb>506.81</fb>
    <v>1</v>
  </rv>
  <rv s="0">
    <fb>45478</fb>
    <v>0</v>
  </rv>
  <rv s="0">
    <fb>56.62</fb>
    <v>1</v>
  </rv>
  <rv s="0">
    <fb>509.84</fb>
    <v>1</v>
  </rv>
  <rv s="0">
    <fb>45481</fb>
    <v>0</v>
  </rv>
  <rv s="0">
    <fb>56.76</fb>
    <v>1</v>
  </rv>
  <rv s="0">
    <fb>510.33</fb>
    <v>1</v>
  </rv>
  <rv s="0">
    <fb>45482</fb>
    <v>0</v>
  </rv>
  <rv s="0">
    <fb>56.29</fb>
    <v>1</v>
  </rv>
  <rv s="0">
    <fb>510.89</fb>
    <v>1</v>
  </rv>
  <rv s="0">
    <fb>45483</fb>
    <v>0</v>
  </rv>
  <rv s="0">
    <fb>55.06</fb>
    <v>1</v>
  </rv>
  <rv s="0">
    <fb>515.80999999999995</fb>
    <v>1</v>
  </rv>
  <rv s="0">
    <fb>45484</fb>
    <v>0</v>
  </rv>
  <rv s="0">
    <fb>54.78</fb>
    <v>1</v>
  </rv>
  <rv s="0">
    <fb>511.39</fb>
    <v>1</v>
  </rv>
  <rv s="0">
    <fb>45485</fb>
    <v>0</v>
  </rv>
  <rv s="0">
    <fb>55.65</fb>
    <v>1</v>
  </rv>
  <rv s="0">
    <fb>514.54999999999995</fb>
    <v>1</v>
  </rv>
  <rv s="0">
    <fb>45488</fb>
    <v>0</v>
  </rv>
  <rv s="0">
    <fb>54.66</fb>
    <v>1</v>
  </rv>
  <rv s="0">
    <fb>516.11</fb>
    <v>1</v>
  </rv>
  <rv s="0">
    <fb>45489</fb>
    <v>0</v>
  </rv>
  <rv s="0">
    <fb>55.08</fb>
    <v>1</v>
  </rv>
  <rv s="0">
    <fb>519.04</fb>
    <v>1</v>
  </rv>
  <rv s="0">
    <fb>45490</fb>
    <v>0</v>
  </rv>
  <rv s="0">
    <fb>54.16</fb>
    <v>1</v>
  </rv>
  <rv s="0">
    <fb>511.79</fb>
    <v>1</v>
  </rv>
  <rv s="0">
    <fb>45491</fb>
    <v>0</v>
  </rv>
  <rv s="0">
    <fb>53.63</fb>
    <v>1</v>
  </rv>
  <rv s="0">
    <fb>507.94</fb>
    <v>1</v>
  </rv>
  <rv s="0">
    <fb>45492</fb>
    <v>0</v>
  </rv>
  <rv s="0">
    <fb>504.55</fb>
    <v>1</v>
  </rv>
  <rv s="0">
    <fb>45495</fb>
    <v>0</v>
  </rv>
  <rv s="0">
    <fb>55.27</fb>
    <v>1</v>
  </rv>
  <rv s="0">
    <fb>509.79</fb>
    <v>1</v>
  </rv>
  <rv s="0">
    <fb>45496</fb>
    <v>0</v>
  </rv>
  <rv s="0">
    <fb>55.52</fb>
    <v>1</v>
  </rv>
  <rv s="0">
    <fb>508.94</fb>
    <v>1</v>
  </rv>
  <rv s="0">
    <fb>45497</fb>
    <v>0</v>
  </rv>
  <rv s="0">
    <fb>55.42</fb>
    <v>1</v>
  </rv>
  <rv s="0">
    <fb>497.29</fb>
    <v>1</v>
  </rv>
  <rv s="0">
    <fb>45498</fb>
    <v>0</v>
  </rv>
  <rv s="0">
    <fb>494.78</fb>
    <v>1</v>
  </rv>
  <rv s="0">
    <fb>45499</fb>
    <v>0</v>
  </rv>
  <rv s="0">
    <fb>57.21</fb>
    <v>1</v>
  </rv>
  <rv s="0">
    <fb>500.33</fb>
    <v>1</v>
  </rv>
  <rv s="0">
    <fb>45502</fb>
    <v>0</v>
  </rv>
  <rv s="0">
    <fb>58.55</fb>
    <v>1</v>
  </rv>
  <rv s="0">
    <fb>500.7</fb>
    <v>1</v>
  </rv>
  <rv s="0">
    <fb>45503</fb>
    <v>0</v>
  </rv>
  <rv s="0">
    <fb>58.92</fb>
    <v>1</v>
  </rv>
  <rv s="0">
    <fb>498.08</fb>
    <v>1</v>
  </rv>
  <rv s="0">
    <fb>45504</fb>
    <v>0</v>
  </rv>
  <rv s="0">
    <fb>59.11</fb>
    <v>1</v>
  </rv>
  <rv s="0">
    <fb>505.93</fb>
    <v>1</v>
  </rv>
  <rv s="0">
    <fb>45505</fb>
    <v>0</v>
  </rv>
  <rv s="0">
    <fb>58.12</fb>
    <v>1</v>
  </rv>
  <rv s="0">
    <fb>499.03</fb>
    <v>1</v>
  </rv>
  <rv s="0">
    <fb>45506</fb>
    <v>0</v>
  </rv>
  <rv s="0">
    <fb>55.95</fb>
    <v>1</v>
  </rv>
  <rv s="0">
    <fb>489.91</fb>
    <v>1</v>
  </rv>
  <rv s="0">
    <fb>45509</fb>
    <v>0</v>
  </rv>
  <rv s="0">
    <fb>54.37</fb>
    <v>1</v>
  </rv>
  <rv s="0">
    <fb>475.2</fb>
    <v>1</v>
  </rv>
  <rv s="0">
    <fb>45510</fb>
    <v>0</v>
  </rv>
  <rv s="0">
    <fb>56.02</fb>
    <v>1</v>
  </rv>
  <rv s="0">
    <fb>479.94</fb>
    <v>1</v>
  </rv>
  <rv s="0">
    <fb>45511</fb>
    <v>0</v>
  </rv>
  <rv s="0">
    <fb>55.25</fb>
    <v>1</v>
  </rv>
  <rv s="0">
    <fb>476.61</fb>
    <v>1</v>
  </rv>
  <rv s="0">
    <fb>45512</fb>
    <v>0</v>
  </rv>
  <rv s="0">
    <fb>57.31</fb>
    <v>1</v>
  </rv>
  <rv s="0">
    <fb>487.73</fb>
    <v>1</v>
  </rv>
  <rv s="0">
    <fb>45513</fb>
    <v>0</v>
  </rv>
  <rv s="0">
    <fb>58.47</fb>
    <v>1</v>
  </rv>
  <rv s="0">
    <fb>489.82</fb>
    <v>1</v>
  </rv>
  <rv s="0">
    <fb>45516</fb>
    <v>0</v>
  </rv>
  <rv s="0">
    <fb>58.66</fb>
    <v>1</v>
  </rv>
  <rv s="0">
    <fb>490.07</fb>
    <v>1</v>
  </rv>
  <rv s="0">
    <fb>45517</fb>
    <v>0</v>
  </rv>
  <rv s="0">
    <fb>60.31</fb>
    <v>1</v>
  </rv>
  <rv s="0">
    <fb>498.21</fb>
    <v>1</v>
  </rv>
  <rv s="0">
    <fb>45518</fb>
    <v>0</v>
  </rv>
  <rv s="0">
    <fb>59.56</fb>
    <v>1</v>
  </rv>
  <rv s="0">
    <fb>499.8</fb>
    <v>1</v>
  </rv>
  <rv s="0">
    <fb>45519</fb>
    <v>0</v>
  </rv>
  <rv s="0">
    <fb>62.38</fb>
    <v>1</v>
  </rv>
  <rv s="0">
    <fb>508.38</fb>
    <v>1</v>
  </rv>
  <rv s="0">
    <fb>45520</fb>
    <v>0</v>
  </rv>
  <rv s="0">
    <fb>62.89</fb>
    <v>1</v>
  </rv>
  <rv s="0">
    <fb>509.45</fb>
    <v>1</v>
  </rv>
  <rv s="0">
    <fb>45523</fb>
    <v>0</v>
  </rv>
  <rv s="0">
    <fb>61.95</fb>
    <v>1</v>
  </rv>
  <rv s="0">
    <fb>514.35</fb>
    <v>1</v>
  </rv>
  <rv s="0">
    <fb>45524</fb>
    <v>0</v>
  </rv>
  <rv s="0">
    <fb>61.6</fb>
    <v>1</v>
  </rv>
  <rv s="0">
    <fb>513.5</fb>
    <v>1</v>
  </rv>
  <rv s="0">
    <fb>45525</fb>
    <v>0</v>
  </rv>
  <rv s="0">
    <fb>63.03</fb>
    <v>1</v>
  </rv>
  <rv s="0">
    <fb>515.29999999999995</fb>
    <v>1</v>
  </rv>
  <rv s="0">
    <fb>45526</fb>
    <v>0</v>
  </rv>
  <rv s="0">
    <fb>62.22</fb>
    <v>1</v>
  </rv>
  <rv s="0">
    <fb>511.13</fb>
    <v>1</v>
  </rv>
  <rv s="0">
    <fb>45527</fb>
    <v>0</v>
  </rv>
  <rv s="0">
    <fb>63.57</fb>
    <v>1</v>
  </rv>
  <rv s="0">
    <fb>516.66</fb>
    <v>1</v>
  </rv>
  <rv s="0">
    <fb>45530</fb>
    <v>0</v>
  </rv>
  <rv s="0">
    <fb>62.4</fb>
    <v>1</v>
  </rv>
  <rv s="0">
    <fb>515.39</fb>
    <v>1</v>
  </rv>
  <rv s="0">
    <fb>45531</fb>
    <v>0</v>
  </rv>
  <rv s="0">
    <fb>61.97</fb>
    <v>1</v>
  </rv>
  <rv s="0">
    <fb>516.08000000000004</fb>
    <v>1</v>
  </rv>
  <rv s="0">
    <fb>45532</fb>
    <v>0</v>
  </rv>
  <rv s="0">
    <fb>60.7</fb>
    <v>1</v>
  </rv>
  <rv s="0">
    <fb>513.13</fb>
    <v>1</v>
  </rv>
  <rv s="0">
    <fb>45533</fb>
    <v>0</v>
  </rv>
  <rv s="0">
    <fb>50.9</fb>
    <v>1</v>
  </rv>
  <rv s="0">
    <fb>513.21</fb>
    <v>1</v>
  </rv>
  <rv s="0">
    <fb>45534</fb>
    <v>0</v>
  </rv>
  <rv s="0">
    <fb>49.9</fb>
    <v>1</v>
  </rv>
  <rv s="0">
    <fb>518.04</fb>
    <v>1</v>
  </rv>
  <rv s="0">
    <fb>45538</fb>
    <v>0</v>
  </rv>
  <rv s="0">
    <fb>507.56</fb>
    <v>1</v>
  </rv>
  <rv s="0">
    <fb>45539</fb>
    <v>0</v>
  </rv>
  <rv s="0">
    <fb>48.21</fb>
    <v>1</v>
  </rv>
  <rv s="0">
    <fb>506.3</fb>
    <v>1</v>
  </rv>
  <rv s="0">
    <fb>45540</fb>
    <v>0</v>
  </rv>
  <rv s="0">
    <fb>505.05</fb>
    <v>1</v>
  </rv>
  <rv s="0">
    <fb>45541</fb>
    <v>0</v>
  </rv>
  <rv s="0">
    <fb>45.41</fb>
    <v>1</v>
  </rv>
  <rv s="0">
    <fb>496.64</fb>
    <v>1</v>
  </rv>
  <rv s="0">
    <fb>45544</fb>
    <v>0</v>
  </rv>
  <rv s="0">
    <fb>44.58</fb>
    <v>1</v>
  </rv>
  <rv s="0">
    <fb>502.23</fb>
    <v>1</v>
  </rv>
  <rv s="0">
    <fb>45545</fb>
    <v>0</v>
  </rv>
  <rv s="0">
    <fb>43.88</fb>
    <v>1</v>
  </rv>
  <rv s="0">
    <fb>504.3</fb>
    <v>1</v>
  </rv>
  <rv s="0">
    <fb>45546</fb>
    <v>0</v>
  </rv>
  <rv s="0">
    <fb>44.79</fb>
    <v>1</v>
  </rv>
  <rv s="0">
    <fb>509.46</fb>
    <v>1</v>
  </rv>
  <rv s="0">
    <fb>45547</fb>
    <v>0</v>
  </rv>
  <rv s="0">
    <fb>513.84</fb>
    <v>1</v>
  </rv>
  <rv s="0">
    <fb>45548</fb>
    <v>0</v>
  </rv>
  <rv s="0">
    <fb>46.24</fb>
    <v>1</v>
  </rv>
  <rv s="0">
    <fb>516.57000000000005</fb>
    <v>1</v>
  </rv>
  <rv s="0">
    <fb>45551</fb>
    <v>0</v>
  </rv>
  <rv s="0">
    <fb>48.24</fb>
    <v>1</v>
  </rv>
  <rv s="0">
    <fb>517.35</fb>
    <v>1</v>
  </rv>
  <rv s="0">
    <fb>45552</fb>
    <v>0</v>
  </rv>
  <rv s="0">
    <fb>517.59</fb>
    <v>1</v>
  </rv>
  <rv s="0">
    <fb>45553</fb>
    <v>0</v>
  </rv>
  <rv s="0">
    <fb>515.91</fb>
    <v>1</v>
  </rv>
  <rv s="0">
    <fb>45554</fb>
    <v>0</v>
  </rv>
  <rv s="0">
    <fb>524.91</fb>
    <v>1</v>
  </rv>
  <rv s="0">
    <fb>45555</fb>
    <v>0</v>
  </rv>
  <rv s="0">
    <fb>523.88</fb>
    <v>1</v>
  </rv>
  <rv s="0">
    <fb>45558</fb>
    <v>0</v>
  </rv>
  <rv s="0">
    <fb>49.17</fb>
    <v>1</v>
  </rv>
  <rv s="0">
    <fb>525.16999999999996</fb>
    <v>1</v>
  </rv>
  <rv s="0">
    <fb>45559</fb>
    <v>0</v>
  </rv>
  <rv s="0">
    <fb>50.17</fb>
    <v>1</v>
  </rv>
  <rv s="0">
    <fb>526.67999999999995</fb>
    <v>1</v>
  </rv>
  <rv s="0">
    <fb>45560</fb>
    <v>0</v>
  </rv>
  <rv s="0">
    <fb>49.35</fb>
    <v>1</v>
  </rv>
  <rv s="0">
    <fb>525.61</fb>
    <v>1</v>
  </rv>
  <rv s="0">
    <fb>45561</fb>
    <v>0</v>
  </rv>
  <rv s="0">
    <fb>49.83</fb>
    <v>1</v>
  </rv>
  <rv s="0">
    <fb>527.70000000000005</fb>
    <v>1</v>
  </rv>
  <rv s="0">
    <fb>45562</fb>
    <v>0</v>
  </rv>
  <rv s="0">
    <fb>525.38</fb>
    <v>1</v>
  </rv>
  <rv s="0">
    <fb>45565</fb>
    <v>0</v>
  </rv>
  <rv s="0">
    <fb>49.29</fb>
    <v>1</v>
  </rv>
  <rv s="0">
    <fb>527.66999999999996</fb>
    <v>1</v>
  </rv>
  <rv s="0">
    <fb>45566</fb>
    <v>0</v>
  </rv>
  <rv s="0">
    <fb>47.97</fb>
    <v>1</v>
  </rv>
  <rv s="0">
    <fb>522.74</fb>
    <v>1</v>
  </rv>
  <rv s="0">
    <fb>45567</fb>
    <v>0</v>
  </rv>
  <rv s="0">
    <fb>47.45</fb>
    <v>1</v>
  </rv>
  <rv s="0">
    <fb>522.83000000000004</fb>
    <v>1</v>
  </rv>
  <rv s="0">
    <fb>45568</fb>
    <v>0</v>
  </rv>
  <rv s="0">
    <fb>521.84</fb>
    <v>1</v>
  </rv>
  <rv s="0">
    <fb>45569</fb>
    <v>0</v>
  </rv>
  <rv s="0">
    <fb>48.81</fb>
    <v>1</v>
  </rv>
  <rv s="0">
    <fb>526.65</fb>
    <v>1</v>
  </rv>
  <rv s="0">
    <fb>45572</fb>
    <v>0</v>
  </rv>
  <rv s="0">
    <fb>47.27</fb>
    <v>1</v>
  </rv>
  <rv s="0">
    <fb>521.91</fb>
    <v>1</v>
  </rv>
  <rv s="0">
    <fb>45573</fb>
    <v>0</v>
  </rv>
  <rv s="0">
    <fb>47.79</fb>
    <v>1</v>
  </rv>
  <rv s="0">
    <fb>526.85</fb>
    <v>1</v>
  </rv>
  <rv s="0">
    <fb>45574</fb>
    <v>0</v>
  </rv>
  <rv s="0">
    <fb>48.83</fb>
    <v>1</v>
  </rv>
  <rv s="0">
    <fb>530.45000000000005</fb>
    <v>1</v>
  </rv>
  <rv s="0">
    <fb>45575</fb>
    <v>0</v>
  </rv>
  <rv s="0">
    <fb>49.84</fb>
    <v>1</v>
  </rv>
  <rv s="0">
    <fb>529.55999999999995</fb>
    <v>1</v>
  </rv>
  <rv s="0">
    <fb>45576</fb>
    <v>0</v>
  </rv>
  <rv s="0">
    <fb>50.02</fb>
    <v>1</v>
  </rv>
  <rv s="0">
    <fb>532.71</fb>
    <v>1</v>
  </rv>
  <rv s="0">
    <fb>45579</fb>
    <v>0</v>
  </rv>
  <rv s="0">
    <fb>51.77</fb>
    <v>1</v>
  </rv>
  <rv s="0">
    <fb>537.07000000000005</fb>
    <v>1</v>
  </rv>
  <rv s="0">
    <fb>45580</fb>
    <v>0</v>
  </rv>
  <rv s="0">
    <fb>50.44</fb>
    <v>1</v>
  </rv>
  <rv s="0">
    <fb>532.98</fb>
    <v>1</v>
  </rv>
  <rv s="0">
    <fb>45581</fb>
    <v>0</v>
  </rv>
  <rv s="0">
    <fb>50.36</fb>
    <v>1</v>
  </rv>
  <rv s="0">
    <fb>535.22</fb>
    <v>1</v>
  </rv>
  <rv s="0">
    <fb>45582</fb>
    <v>0</v>
  </rv>
  <rv s="0">
    <fb>50.48</fb>
    <v>1</v>
  </rv>
  <rv s="0">
    <fb>535.29999999999995</fb>
    <v>1</v>
  </rv>
  <rv s="0">
    <fb>45583</fb>
    <v>0</v>
  </rv>
  <rv s="0">
    <fb>51.78</fb>
    <v>1</v>
  </rv>
  <rv s="0">
    <fb>537.36</fb>
    <v>1</v>
  </rv>
  <rv s="0">
    <fb>45586</fb>
    <v>0</v>
  </rv>
  <rv s="0">
    <fb>51.06</fb>
    <v>1</v>
  </rv>
  <rv s="0">
    <fb>536.53</fb>
    <v>1</v>
  </rv>
  <rv s="0">
    <fb>45587</fb>
    <v>0</v>
  </rv>
  <rv s="0">
    <fb>50.69</fb>
    <v>1</v>
  </rv>
  <rv s="0">
    <fb>536.16</fb>
    <v>1</v>
  </rv>
  <rv s="0">
    <fb>45588</fb>
    <v>0</v>
  </rv>
  <rv s="0">
    <fb>50.32</fb>
    <v>1</v>
  </rv>
  <rv s="0">
    <fb>531.27</fb>
    <v>1</v>
  </rv>
  <rv s="0">
    <fb>45589</fb>
    <v>0</v>
  </rv>
  <rv s="0">
    <fb>49.51</fb>
    <v>1</v>
  </rv>
  <rv s="0">
    <fb>532.47</fb>
    <v>1</v>
  </rv>
  <rv s="0">
    <fb>45590</fb>
    <v>0</v>
  </rv>
  <rv s="0">
    <fb>49.4</fb>
    <v>1</v>
  </rv>
  <rv s="0">
    <fb>532.26</fb>
    <v>1</v>
  </rv>
  <rv s="0">
    <fb>45593</fb>
    <v>0</v>
  </rv>
  <rv s="0">
    <fb>48.52</fb>
    <v>1</v>
  </rv>
  <rv s="0">
    <fb>533.91999999999996</fb>
    <v>1</v>
  </rv>
  <rv s="0">
    <fb>45594</fb>
    <v>0</v>
  </rv>
  <rv s="0">
    <fb>47.69</fb>
    <v>1</v>
  </rv>
  <rv s="0">
    <fb>534.77</fb>
    <v>1</v>
  </rv>
  <rv s="0">
    <fb>45595</fb>
    <v>0</v>
  </rv>
  <rv s="0">
    <fb>46.73</fb>
    <v>1</v>
  </rv>
  <rv s="0">
    <fb>533.16</fb>
    <v>1</v>
  </rv>
  <rv s="1">
    <v>2</v>
    <v>VOO</v>
    <v>Daily</v>
    <v>45219</v>
    <v>45595</v>
    <v>0</v>
    <v>1</v>
    <v>638658432000000000,638664876992866550,0</v>
    <v>0</v>
    <v>a25hm7</v>
    <v>ARCX:VOO</v>
    <v>1</v>
  </rv>
  <rv s="1">
    <v>2</v>
    <v>BIRK</v>
    <v>Daily</v>
    <v>45219</v>
    <v>45595</v>
    <v>0</v>
    <v>1</v>
    <v>638658432000000000,638667529042296025,0</v>
    <v>0</v>
    <v>cayvbh</v>
    <v>XNYS:BIRK</v>
    <v>2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FEB3-4371-46BA-8828-BD169D1BA0B4}">
  <dimension ref="B2:M35"/>
  <sheetViews>
    <sheetView showGridLines="0" workbookViewId="0">
      <selection activeCell="F24" sqref="F24"/>
    </sheetView>
  </sheetViews>
  <sheetFormatPr baseColWidth="10" defaultColWidth="8.83203125" defaultRowHeight="16" x14ac:dyDescent="0.2"/>
  <cols>
    <col min="2" max="2" width="18.1640625" bestFit="1" customWidth="1"/>
    <col min="4" max="4" width="7.5" bestFit="1" customWidth="1"/>
    <col min="5" max="5" width="27.83203125" customWidth="1"/>
    <col min="6" max="6" width="11.1640625" bestFit="1" customWidth="1"/>
    <col min="7" max="7" width="9.5" bestFit="1" customWidth="1"/>
    <col min="8" max="8" width="11.1640625" bestFit="1" customWidth="1"/>
    <col min="9" max="9" width="18.83203125" bestFit="1" customWidth="1"/>
    <col min="10" max="10" width="3.1640625" bestFit="1" customWidth="1"/>
    <col min="11" max="11" width="18.5" bestFit="1" customWidth="1"/>
    <col min="12" max="12" width="3.1640625" bestFit="1" customWidth="1"/>
    <col min="13" max="13" width="11.5" bestFit="1" customWidth="1"/>
    <col min="16" max="16" width="17" customWidth="1"/>
    <col min="18" max="18" width="10.83203125" bestFit="1" customWidth="1"/>
  </cols>
  <sheetData>
    <row r="2" spans="2:10" x14ac:dyDescent="0.2">
      <c r="B2" s="267" t="s">
        <v>321</v>
      </c>
      <c r="C2" s="262" t="s">
        <v>166</v>
      </c>
      <c r="D2" s="262" t="s">
        <v>165</v>
      </c>
      <c r="E2" s="262" t="s">
        <v>164</v>
      </c>
      <c r="F2" s="262" t="s">
        <v>162</v>
      </c>
      <c r="G2" s="263" t="s">
        <v>163</v>
      </c>
    </row>
    <row r="3" spans="2:10" x14ac:dyDescent="0.2">
      <c r="B3" s="158" t="s">
        <v>39</v>
      </c>
      <c r="C3" s="7">
        <f ca="1">'Income Statement - FCF'!D87</f>
        <v>488.33286564977891</v>
      </c>
      <c r="D3" s="161">
        <f ca="1">'Income Statement - FCF'!E87</f>
        <v>517.20808619608181</v>
      </c>
      <c r="E3" s="161">
        <f ca="1">'Income Statement - FCF'!F87</f>
        <v>810.82367835556147</v>
      </c>
      <c r="F3" s="161">
        <f ca="1">'Income Statement - FCF'!G87</f>
        <v>1029.3065023776189</v>
      </c>
      <c r="G3" s="162">
        <f ca="1">'Income Statement - FCF'!H87</f>
        <v>1155.1070041408166</v>
      </c>
    </row>
    <row r="4" spans="2:10" x14ac:dyDescent="0.2">
      <c r="B4" s="158" t="s">
        <v>113</v>
      </c>
      <c r="C4">
        <v>0.5</v>
      </c>
      <c r="D4" s="163">
        <v>1.5</v>
      </c>
      <c r="E4" s="163">
        <v>2.5</v>
      </c>
      <c r="F4" s="163">
        <v>3.5</v>
      </c>
      <c r="G4" s="164">
        <v>4.5</v>
      </c>
    </row>
    <row r="5" spans="2:10" x14ac:dyDescent="0.2">
      <c r="B5" s="158" t="s">
        <v>114</v>
      </c>
      <c r="C5" s="7">
        <f ca="1">C3/(1+$C$25)^C4</f>
        <v>465.36684068256596</v>
      </c>
      <c r="D5" s="161">
        <f ca="1">D3/(1+$C$25)^D4</f>
        <v>447.61408953835746</v>
      </c>
      <c r="E5" s="161">
        <f ca="1">E3/(1+$C$25)^E4</f>
        <v>637.27051693949363</v>
      </c>
      <c r="F5" s="161">
        <f ca="1">F3/(1+$C$25)^F4</f>
        <v>734.68484513271005</v>
      </c>
      <c r="G5" s="162">
        <f ca="1">G3/(1+$C$25)^G4</f>
        <v>748.75122138221889</v>
      </c>
      <c r="H5" s="24"/>
      <c r="I5" s="25"/>
    </row>
    <row r="6" spans="2:10" x14ac:dyDescent="0.2">
      <c r="B6" s="53"/>
      <c r="G6" s="1"/>
      <c r="H6" s="24"/>
      <c r="I6" s="25"/>
    </row>
    <row r="7" spans="2:10" x14ac:dyDescent="0.2">
      <c r="B7" s="236" t="s">
        <v>241</v>
      </c>
      <c r="C7" s="237">
        <f ca="1">SUM(C5:G5)</f>
        <v>3033.6875136753461</v>
      </c>
      <c r="D7" s="12"/>
      <c r="E7" s="12"/>
      <c r="F7" s="12"/>
      <c r="G7" s="20"/>
    </row>
    <row r="8" spans="2:10" x14ac:dyDescent="0.2">
      <c r="H8" s="26"/>
    </row>
    <row r="9" spans="2:10" x14ac:dyDescent="0.2">
      <c r="D9" s="23"/>
    </row>
    <row r="10" spans="2:10" x14ac:dyDescent="0.2">
      <c r="B10" s="261" t="s">
        <v>146</v>
      </c>
      <c r="C10" s="263"/>
      <c r="D10" s="23"/>
      <c r="E10" s="156" t="s">
        <v>238</v>
      </c>
      <c r="F10" s="85">
        <v>48.52</v>
      </c>
    </row>
    <row r="11" spans="2:10" x14ac:dyDescent="0.2">
      <c r="B11" s="48"/>
      <c r="C11" s="1"/>
      <c r="E11" s="53" t="s">
        <v>239</v>
      </c>
      <c r="F11" s="87">
        <v>187.83</v>
      </c>
    </row>
    <row r="12" spans="2:10" x14ac:dyDescent="0.2">
      <c r="B12" s="48" t="s">
        <v>147</v>
      </c>
      <c r="C12" s="98">
        <v>4.0800000000000003E-2</v>
      </c>
      <c r="D12" s="23"/>
      <c r="E12" s="102" t="s">
        <v>41</v>
      </c>
      <c r="F12" s="20">
        <f>F11*F10</f>
        <v>9113.5116000000016</v>
      </c>
    </row>
    <row r="13" spans="2:10" x14ac:dyDescent="0.2">
      <c r="B13" s="48" t="s">
        <v>240</v>
      </c>
      <c r="C13" s="98">
        <v>6.0999999999999999E-2</v>
      </c>
      <c r="D13" s="23"/>
      <c r="E13" s="156" t="s">
        <v>148</v>
      </c>
      <c r="F13" s="159">
        <f>'Income Statement - FCF'!D34</f>
        <v>0.31876347221242302</v>
      </c>
    </row>
    <row r="14" spans="2:10" x14ac:dyDescent="0.2">
      <c r="B14" s="48"/>
      <c r="C14" s="1"/>
      <c r="D14" s="23"/>
      <c r="E14" s="102" t="s">
        <v>242</v>
      </c>
      <c r="F14" s="99">
        <v>2.75E-2</v>
      </c>
    </row>
    <row r="15" spans="2:10" x14ac:dyDescent="0.2">
      <c r="B15" s="48" t="s">
        <v>149</v>
      </c>
      <c r="C15" s="6">
        <f>C13*(1-F13)</f>
        <v>4.1555428195042189E-2</v>
      </c>
      <c r="E15" s="156" t="s">
        <v>116</v>
      </c>
      <c r="F15" s="88">
        <f ca="1">G3*(1+F14)/(C25-F14)</f>
        <v>16118.057710287174</v>
      </c>
      <c r="G15" s="89" t="s">
        <v>117</v>
      </c>
      <c r="H15" s="89"/>
      <c r="I15" s="160"/>
      <c r="J15" s="90"/>
    </row>
    <row r="16" spans="2:10" x14ac:dyDescent="0.2">
      <c r="B16" s="48"/>
      <c r="C16" s="1"/>
      <c r="E16" s="53"/>
      <c r="F16" s="92">
        <f ca="1">J16*'Income Statement - FCF'!H18</f>
        <v>26125.231533551185</v>
      </c>
      <c r="G16" s="34" t="s">
        <v>318</v>
      </c>
      <c r="H16" s="34"/>
      <c r="I16" s="268" t="s">
        <v>317</v>
      </c>
      <c r="J16" s="108">
        <v>13</v>
      </c>
    </row>
    <row r="17" spans="2:13" x14ac:dyDescent="0.2">
      <c r="B17" s="48"/>
      <c r="C17" s="1"/>
      <c r="D17" s="23"/>
      <c r="E17" s="53"/>
      <c r="F17" s="34"/>
      <c r="G17" s="34"/>
      <c r="H17" s="34"/>
      <c r="I17" s="34"/>
      <c r="J17" s="93"/>
    </row>
    <row r="18" spans="2:13" x14ac:dyDescent="0.2">
      <c r="B18" s="48" t="s">
        <v>150</v>
      </c>
      <c r="C18" s="1">
        <f>'Public Comparables'!K16</f>
        <v>1.1499999999999999</v>
      </c>
      <c r="E18" s="53" t="s">
        <v>118</v>
      </c>
      <c r="F18" s="94">
        <f ca="1">F15/(1+C25)^5</f>
        <v>9956.5186990301845</v>
      </c>
      <c r="G18" s="34" t="s">
        <v>117</v>
      </c>
      <c r="H18" s="34"/>
      <c r="I18" s="34"/>
      <c r="J18" s="93"/>
    </row>
    <row r="19" spans="2:13" x14ac:dyDescent="0.2">
      <c r="B19" s="48" t="s">
        <v>151</v>
      </c>
      <c r="C19" s="98">
        <f>6%</f>
        <v>0.06</v>
      </c>
      <c r="D19" s="23"/>
      <c r="E19" s="102"/>
      <c r="F19" s="95">
        <f ca="1">F16/(1+C25)^5</f>
        <v>16138.194871599137</v>
      </c>
      <c r="G19" s="96" t="s">
        <v>318</v>
      </c>
      <c r="H19" s="96"/>
      <c r="I19" s="96"/>
      <c r="J19" s="97"/>
    </row>
    <row r="20" spans="2:13" x14ac:dyDescent="0.2">
      <c r="B20" s="48" t="s">
        <v>152</v>
      </c>
      <c r="C20" s="84">
        <f>C12+(C18*C19)</f>
        <v>0.10979999999999999</v>
      </c>
      <c r="E20" s="238" t="s">
        <v>319</v>
      </c>
      <c r="F20" s="239">
        <f ca="1">AVERAGE(F18:F19)</f>
        <v>13047.35678531466</v>
      </c>
    </row>
    <row r="21" spans="2:13" x14ac:dyDescent="0.2">
      <c r="B21" s="48"/>
      <c r="C21" s="1"/>
      <c r="D21" s="10"/>
      <c r="E21" s="53"/>
      <c r="F21" s="1"/>
    </row>
    <row r="22" spans="2:13" x14ac:dyDescent="0.2">
      <c r="B22" s="48" t="s">
        <v>153</v>
      </c>
      <c r="C22" s="4">
        <f>'Balance Sheet'!E36/('Balance Sheet'!E36+F12)</f>
        <v>0.12695228920798296</v>
      </c>
      <c r="E22" s="53" t="s">
        <v>119</v>
      </c>
      <c r="F22" s="86">
        <f ca="1">F20+C7</f>
        <v>16081.044298990006</v>
      </c>
    </row>
    <row r="23" spans="2:13" x14ac:dyDescent="0.2">
      <c r="B23" s="48" t="s">
        <v>237</v>
      </c>
      <c r="C23" s="4">
        <f>F12/('Balance Sheet'!E36+F12)</f>
        <v>0.87304771079201704</v>
      </c>
      <c r="E23" s="53" t="s">
        <v>120</v>
      </c>
      <c r="F23" s="86">
        <f ca="1">F12+'Balance Sheet'!E36-'Balance Sheet'!I5</f>
        <v>9859.0611111269445</v>
      </c>
    </row>
    <row r="24" spans="2:13" x14ac:dyDescent="0.2">
      <c r="B24" s="48"/>
      <c r="C24" s="1"/>
      <c r="E24" s="53"/>
      <c r="F24" s="1"/>
    </row>
    <row r="25" spans="2:13" x14ac:dyDescent="0.2">
      <c r="B25" s="54" t="s">
        <v>115</v>
      </c>
      <c r="C25" s="99">
        <f>C22*C15+(C23*C20)</f>
        <v>0.10113619538334204</v>
      </c>
      <c r="E25" s="102" t="s">
        <v>103</v>
      </c>
      <c r="F25" s="217">
        <f ca="1">'Balance Sheet'!E36-'Balance Sheet'!I5</f>
        <v>745.54951112694403</v>
      </c>
    </row>
    <row r="26" spans="2:13" x14ac:dyDescent="0.2">
      <c r="E26" s="31"/>
      <c r="M26" s="7"/>
    </row>
    <row r="27" spans="2:13" x14ac:dyDescent="0.2">
      <c r="D27" s="10"/>
      <c r="E27" s="156" t="s">
        <v>121</v>
      </c>
      <c r="F27" s="18">
        <f>F12</f>
        <v>9113.5116000000016</v>
      </c>
      <c r="M27" s="23"/>
    </row>
    <row r="28" spans="2:13" x14ac:dyDescent="0.2">
      <c r="D28" s="23"/>
      <c r="E28" s="53" t="s">
        <v>122</v>
      </c>
      <c r="F28" s="86">
        <f ca="1">F22-F25</f>
        <v>15335.494787863061</v>
      </c>
    </row>
    <row r="29" spans="2:13" x14ac:dyDescent="0.2">
      <c r="D29" s="23"/>
      <c r="E29" s="53" t="s">
        <v>123</v>
      </c>
      <c r="F29" s="86">
        <f ca="1">F28/F11</f>
        <v>81.645609262966829</v>
      </c>
    </row>
    <row r="30" spans="2:13" x14ac:dyDescent="0.2">
      <c r="E30" s="53"/>
      <c r="F30" s="1"/>
    </row>
    <row r="31" spans="2:13" x14ac:dyDescent="0.2">
      <c r="B31" s="270" t="s">
        <v>326</v>
      </c>
      <c r="D31" s="2"/>
      <c r="E31" s="236" t="s">
        <v>124</v>
      </c>
      <c r="F31" s="240">
        <f ca="1">(F29-F10)/F10</f>
        <v>0.68272071852775806</v>
      </c>
      <c r="J31" s="23"/>
    </row>
    <row r="35" spans="13:13" x14ac:dyDescent="0.2">
      <c r="M35" s="23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03B4-B411-4500-A512-8442DC518344}">
  <dimension ref="A1:J128"/>
  <sheetViews>
    <sheetView showGridLines="0" zoomScale="42" zoomScaleNormal="100" workbookViewId="0">
      <pane xSplit="1" ySplit="2" topLeftCell="B155" activePane="bottomRight" state="frozen"/>
      <selection pane="topRight" activeCell="B1" sqref="B1"/>
      <selection pane="bottomLeft" activeCell="A3" sqref="A3"/>
      <selection pane="bottomRight" activeCell="E82" sqref="E82"/>
    </sheetView>
  </sheetViews>
  <sheetFormatPr baseColWidth="10" defaultColWidth="8.83203125" defaultRowHeight="16" x14ac:dyDescent="0.2"/>
  <cols>
    <col min="1" max="1" width="48.83203125" style="34" customWidth="1"/>
    <col min="2" max="2" width="9" style="34" bestFit="1" customWidth="1"/>
    <col min="3" max="3" width="9.33203125" style="34" bestFit="1" customWidth="1"/>
    <col min="4" max="8" width="8.6640625" style="34" bestFit="1" customWidth="1"/>
    <col min="9" max="16384" width="8.83203125" style="34"/>
  </cols>
  <sheetData>
    <row r="1" spans="1:8" ht="34" x14ac:dyDescent="0.2">
      <c r="A1" s="114" t="s">
        <v>42</v>
      </c>
      <c r="B1" s="148">
        <v>2022</v>
      </c>
      <c r="C1" s="148">
        <v>2023</v>
      </c>
      <c r="D1" s="148" t="s">
        <v>166</v>
      </c>
      <c r="E1" s="148" t="s">
        <v>165</v>
      </c>
      <c r="F1" s="148" t="s">
        <v>164</v>
      </c>
      <c r="G1" s="148" t="s">
        <v>162</v>
      </c>
      <c r="H1" s="149" t="s">
        <v>163</v>
      </c>
    </row>
    <row r="2" spans="1:8" ht="17" x14ac:dyDescent="0.2">
      <c r="A2" s="115" t="s">
        <v>302</v>
      </c>
      <c r="B2" s="116"/>
      <c r="C2" s="116"/>
      <c r="D2" s="116"/>
      <c r="E2" s="116"/>
      <c r="F2" s="116"/>
      <c r="G2" s="116"/>
      <c r="H2" s="117"/>
    </row>
    <row r="3" spans="1:8" ht="17" x14ac:dyDescent="0.2">
      <c r="A3" s="118" t="s">
        <v>0</v>
      </c>
      <c r="B3" s="119"/>
      <c r="C3" s="119"/>
      <c r="D3" s="119"/>
      <c r="E3" s="119"/>
      <c r="F3" s="119"/>
      <c r="G3" s="119"/>
      <c r="H3" s="120"/>
    </row>
    <row r="4" spans="1:8" x14ac:dyDescent="0.2">
      <c r="A4" s="291" t="s">
        <v>19</v>
      </c>
      <c r="B4" s="163"/>
      <c r="C4" s="163"/>
      <c r="D4" s="121"/>
      <c r="E4" s="121"/>
      <c r="F4" s="121"/>
      <c r="G4" s="121"/>
      <c r="H4" s="122"/>
    </row>
    <row r="5" spans="1:8" s="31" customFormat="1" x14ac:dyDescent="0.2">
      <c r="A5" s="291" t="s">
        <v>99</v>
      </c>
      <c r="B5" s="308">
        <v>1242.8330000000001</v>
      </c>
      <c r="C5" s="309">
        <v>1546.3449999999998</v>
      </c>
      <c r="D5" s="223">
        <f ca="1">SUM('Revenue Build (Toggle &amp; Link)'!K50:N50)</f>
        <v>1882.2016570760786</v>
      </c>
      <c r="E5" s="223">
        <f ca="1">SUM('Revenue Build (Toggle &amp; Link)'!O50:R50)</f>
        <v>2481.4689104897516</v>
      </c>
      <c r="F5" s="223">
        <f ca="1">SUM('Revenue Build (Toggle &amp; Link)'!S50:V50)</f>
        <v>3239.5849427515768</v>
      </c>
      <c r="G5" s="223">
        <f ca="1">SUM('Revenue Build (Toggle &amp; Link)'!W50:Z50)</f>
        <v>3967.6606466314106</v>
      </c>
      <c r="H5" s="224">
        <f ca="1">SUM('Revenue Build (Toggle &amp; Link)'!AA50:AD50)</f>
        <v>4570.2342572100397</v>
      </c>
    </row>
    <row r="6" spans="1:8" x14ac:dyDescent="0.2">
      <c r="A6" s="291" t="s">
        <v>320</v>
      </c>
      <c r="B6" s="310" t="s">
        <v>21</v>
      </c>
      <c r="C6" s="311">
        <f>(C5-B5)/B5</f>
        <v>0.24420980131682993</v>
      </c>
      <c r="D6" s="125">
        <f t="shared" ref="D6:H6" ca="1" si="0">(D5-C5)/C5</f>
        <v>0.21719387140390978</v>
      </c>
      <c r="E6" s="125">
        <f ca="1">(E5-D5)/D5</f>
        <v>0.31838631698189529</v>
      </c>
      <c r="F6" s="125">
        <f t="shared" ca="1" si="0"/>
        <v>0.30551099353173067</v>
      </c>
      <c r="G6" s="125">
        <f t="shared" ca="1" si="0"/>
        <v>0.22474351398282361</v>
      </c>
      <c r="H6" s="126">
        <f t="shared" ca="1" si="0"/>
        <v>0.15187125720800265</v>
      </c>
    </row>
    <row r="7" spans="1:8" x14ac:dyDescent="0.2">
      <c r="A7" s="293"/>
      <c r="B7" s="310"/>
      <c r="C7" s="310"/>
      <c r="D7" s="121"/>
      <c r="E7" s="121"/>
      <c r="F7" s="121"/>
      <c r="G7" s="121"/>
      <c r="H7" s="122"/>
    </row>
    <row r="8" spans="1:8" x14ac:dyDescent="0.2">
      <c r="A8" s="293" t="s">
        <v>22</v>
      </c>
      <c r="B8" s="312">
        <v>468.66399999999999</v>
      </c>
      <c r="C8" s="313">
        <v>589.00300000000004</v>
      </c>
      <c r="D8" s="127">
        <f ca="1">D5-D9</f>
        <v>713.34824001559059</v>
      </c>
      <c r="E8" s="127">
        <f t="shared" ref="E8:H8" ca="1" si="1">E5-E9</f>
        <v>1063.7485870084779</v>
      </c>
      <c r="F8" s="127">
        <f t="shared" ca="1" si="1"/>
        <v>1388.7354746934127</v>
      </c>
      <c r="G8" s="127">
        <f t="shared" ca="1" si="1"/>
        <v>1700.844765268615</v>
      </c>
      <c r="H8" s="128">
        <f t="shared" ca="1" si="1"/>
        <v>1959.1541980856096</v>
      </c>
    </row>
    <row r="9" spans="1:8" x14ac:dyDescent="0.2">
      <c r="A9" s="291" t="s">
        <v>23</v>
      </c>
      <c r="B9" s="308">
        <v>774.16899999999998</v>
      </c>
      <c r="C9" s="313">
        <v>957.34199999999987</v>
      </c>
      <c r="D9" s="127">
        <f ca="1">D10*D5</f>
        <v>1168.853417060488</v>
      </c>
      <c r="E9" s="127">
        <f ca="1">E10*E5</f>
        <v>1417.7203234812737</v>
      </c>
      <c r="F9" s="127">
        <f t="shared" ref="F9:H9" ca="1" si="2">F10*F5</f>
        <v>1850.8494680581641</v>
      </c>
      <c r="G9" s="127">
        <f t="shared" ca="1" si="2"/>
        <v>2266.8158813627956</v>
      </c>
      <c r="H9" s="128">
        <f t="shared" ca="1" si="2"/>
        <v>2611.0800591244301</v>
      </c>
    </row>
    <row r="10" spans="1:8" x14ac:dyDescent="0.2">
      <c r="A10" s="291" t="s">
        <v>24</v>
      </c>
      <c r="B10" s="311">
        <f>B9/B5</f>
        <v>0.6229066978427511</v>
      </c>
      <c r="C10" s="311">
        <v>0.61909987745296169</v>
      </c>
      <c r="D10" s="221">
        <f>AVERAGE(B10:C10)</f>
        <v>0.62100328764785639</v>
      </c>
      <c r="E10" s="221">
        <f>D10*0.92</f>
        <v>0.57132302463602791</v>
      </c>
      <c r="F10" s="221">
        <f>E10</f>
        <v>0.57132302463602791</v>
      </c>
      <c r="G10" s="221">
        <f t="shared" ref="G10:H10" si="3">F10</f>
        <v>0.57132302463602791</v>
      </c>
      <c r="H10" s="222">
        <f t="shared" si="3"/>
        <v>0.57132302463602791</v>
      </c>
    </row>
    <row r="11" spans="1:8" x14ac:dyDescent="0.2">
      <c r="A11" s="293"/>
      <c r="B11" s="163"/>
      <c r="C11" s="163"/>
      <c r="D11" s="121"/>
      <c r="E11" s="121"/>
      <c r="F11" s="121"/>
      <c r="G11" s="121"/>
      <c r="H11" s="122"/>
    </row>
    <row r="12" spans="1:8" x14ac:dyDescent="0.2">
      <c r="A12" s="110" t="s">
        <v>174</v>
      </c>
      <c r="B12" s="127">
        <v>180.578</v>
      </c>
      <c r="C12" s="127">
        <v>266.11</v>
      </c>
      <c r="D12" s="127">
        <f ca="1">D13*D5</f>
        <v>328.5605554818855</v>
      </c>
      <c r="E12" s="127">
        <f ca="1">E15*E5</f>
        <v>163.2321747336872</v>
      </c>
      <c r="F12" s="127">
        <f ca="1">F15*F5</f>
        <v>213.10139861292103</v>
      </c>
      <c r="G12" s="127">
        <f ca="1">G15*G5</f>
        <v>260.9945557718433</v>
      </c>
      <c r="H12" s="128">
        <f ca="1">H15*H5</f>
        <v>300.63212708135734</v>
      </c>
    </row>
    <row r="13" spans="1:8" x14ac:dyDescent="0.2">
      <c r="A13" s="110" t="s">
        <v>233</v>
      </c>
      <c r="B13" s="125">
        <f>B12/B5</f>
        <v>0.14529546608434118</v>
      </c>
      <c r="C13" s="125">
        <f t="shared" ref="C13" si="4">C12/C5</f>
        <v>0.17208966951100824</v>
      </c>
      <c r="D13" s="221">
        <f>AVERAGE(B13:C13)*1.1</f>
        <v>0.17456182457744221</v>
      </c>
      <c r="E13" s="221">
        <f>AVERAGE(C13:D13)*1.1</f>
        <v>0.19065832174864775</v>
      </c>
      <c r="F13" s="221">
        <f>AVERAGE(D13:E13)*1</f>
        <v>0.18261007316304498</v>
      </c>
      <c r="G13" s="221">
        <f t="shared" ref="G13:H13" si="5">F13</f>
        <v>0.18261007316304498</v>
      </c>
      <c r="H13" s="222">
        <f t="shared" si="5"/>
        <v>0.18261007316304498</v>
      </c>
    </row>
    <row r="14" spans="1:8" x14ac:dyDescent="0.2">
      <c r="A14" s="110" t="s">
        <v>173</v>
      </c>
      <c r="B14" s="127">
        <v>74.711831490912004</v>
      </c>
      <c r="C14" s="127">
        <v>75.173865839368403</v>
      </c>
      <c r="D14" s="127">
        <f ca="1">D15*D5</f>
        <v>112.55645193681998</v>
      </c>
      <c r="E14" s="127">
        <f t="shared" ref="E14:H14" ca="1" si="6">E15*E5</f>
        <v>163.2321747336872</v>
      </c>
      <c r="F14" s="127">
        <f ca="1">F15*F5</f>
        <v>213.10139861292103</v>
      </c>
      <c r="G14" s="127">
        <f t="shared" ca="1" si="6"/>
        <v>260.9945557718433</v>
      </c>
      <c r="H14" s="128">
        <f t="shared" ca="1" si="6"/>
        <v>300.63212708135734</v>
      </c>
    </row>
    <row r="15" spans="1:8" x14ac:dyDescent="0.2">
      <c r="A15" s="110" t="s">
        <v>234</v>
      </c>
      <c r="B15" s="129">
        <f>B14/B5</f>
        <v>6.0114135600609256E-2</v>
      </c>
      <c r="C15" s="129">
        <f>C14/C5</f>
        <v>4.8613903003125701E-2</v>
      </c>
      <c r="D15" s="143">
        <f>AVERAGE(B15:C15)*1.1</f>
        <v>5.9800421232054229E-2</v>
      </c>
      <c r="E15" s="143">
        <f>D15*1.1</f>
        <v>6.5780463355259652E-2</v>
      </c>
      <c r="F15" s="143">
        <f>E15*1</f>
        <v>6.5780463355259652E-2</v>
      </c>
      <c r="G15" s="143">
        <f t="shared" ref="G15:H15" si="7">F15</f>
        <v>6.5780463355259652E-2</v>
      </c>
      <c r="H15" s="144">
        <f t="shared" si="7"/>
        <v>6.5780463355259652E-2</v>
      </c>
    </row>
    <row r="16" spans="1:8" x14ac:dyDescent="0.2">
      <c r="A16" s="110" t="s">
        <v>175</v>
      </c>
      <c r="B16" s="121">
        <v>45.515999999999998</v>
      </c>
      <c r="C16" s="121">
        <v>-36.055999999999997</v>
      </c>
      <c r="D16" s="219">
        <v>17.138000000000002</v>
      </c>
      <c r="E16" s="219">
        <v>0</v>
      </c>
      <c r="F16" s="219">
        <v>0</v>
      </c>
      <c r="G16" s="219">
        <v>0</v>
      </c>
      <c r="H16" s="220">
        <v>0</v>
      </c>
    </row>
    <row r="17" spans="1:8" x14ac:dyDescent="0.2">
      <c r="A17" s="110"/>
      <c r="B17" s="121"/>
      <c r="C17" s="121"/>
      <c r="D17" s="121"/>
      <c r="E17" s="121"/>
      <c r="F17" s="121"/>
      <c r="G17" s="121"/>
      <c r="H17" s="122"/>
    </row>
    <row r="18" spans="1:8" s="31" customFormat="1" x14ac:dyDescent="0.2">
      <c r="A18" s="109" t="s">
        <v>236</v>
      </c>
      <c r="B18" s="123">
        <f>B26+B21</f>
        <v>564.24987304300362</v>
      </c>
      <c r="C18" s="123">
        <f>C26+C21</f>
        <v>579.83004449112047</v>
      </c>
      <c r="D18" s="123">
        <f ca="1">D26+D21</f>
        <v>744.69984781720507</v>
      </c>
      <c r="E18" s="123">
        <f ca="1">E26+E21</f>
        <v>1091.0653156921508</v>
      </c>
      <c r="F18" s="123">
        <f t="shared" ref="F18:H18" ca="1" si="8">F26+F21</f>
        <v>1424.4640607591591</v>
      </c>
      <c r="G18" s="123">
        <f t="shared" ca="1" si="8"/>
        <v>1744.6441597459459</v>
      </c>
      <c r="H18" s="124">
        <f t="shared" ca="1" si="8"/>
        <v>2009.6331948885527</v>
      </c>
    </row>
    <row r="19" spans="1:8" s="31" customFormat="1" x14ac:dyDescent="0.2">
      <c r="A19" s="109" t="s">
        <v>246</v>
      </c>
      <c r="B19" s="130">
        <f>B18/B5</f>
        <v>0.45400296986240596</v>
      </c>
      <c r="C19" s="130">
        <f t="shared" ref="C19:H19" si="9">C18/C5</f>
        <v>0.37496809863977348</v>
      </c>
      <c r="D19" s="130">
        <f t="shared" ca="1" si="9"/>
        <v>0.39565359270486727</v>
      </c>
      <c r="E19" s="130">
        <f t="shared" ca="1" si="9"/>
        <v>0.43968526507826133</v>
      </c>
      <c r="F19" s="130">
        <f t="shared" ca="1" si="9"/>
        <v>0.43970572957079956</v>
      </c>
      <c r="G19" s="130">
        <f t="shared" ca="1" si="9"/>
        <v>0.43971607330560614</v>
      </c>
      <c r="H19" s="131">
        <f t="shared" ca="1" si="9"/>
        <v>0.43972214153314759</v>
      </c>
    </row>
    <row r="20" spans="1:8" x14ac:dyDescent="0.2">
      <c r="A20" s="110"/>
      <c r="B20" s="121"/>
      <c r="C20" s="121"/>
      <c r="D20" s="121"/>
      <c r="E20" s="121"/>
      <c r="F20" s="121"/>
      <c r="G20" s="121"/>
      <c r="H20" s="122"/>
    </row>
    <row r="21" spans="1:8" x14ac:dyDescent="0.2">
      <c r="A21" s="110" t="s">
        <v>235</v>
      </c>
      <c r="B21" s="132">
        <v>109</v>
      </c>
      <c r="C21" s="132">
        <v>83.412999999999997</v>
      </c>
      <c r="D21" s="127">
        <f ca="1">D22*D42</f>
        <v>115.55774205614388</v>
      </c>
      <c r="E21" s="127">
        <f ca="1">E22*E42</f>
        <v>159.74249995670564</v>
      </c>
      <c r="F21" s="127">
        <f ca="1">F22*F42</f>
        <v>107.03694355744886</v>
      </c>
      <c r="G21" s="127">
        <f ca="1">G22*G42</f>
        <v>131.09280237853108</v>
      </c>
      <c r="H21" s="128">
        <f ca="1">H22*H42</f>
        <v>151.00203108667884</v>
      </c>
    </row>
    <row r="22" spans="1:8" x14ac:dyDescent="0.2">
      <c r="A22" s="110" t="s">
        <v>36</v>
      </c>
      <c r="B22" s="133">
        <f>B21/B42</f>
        <v>1</v>
      </c>
      <c r="C22" s="133">
        <f>C21/C42</f>
        <v>1</v>
      </c>
      <c r="D22" s="134">
        <f>AVERAGE(B22:C22)</f>
        <v>1</v>
      </c>
      <c r="E22" s="134">
        <f>D22</f>
        <v>1</v>
      </c>
      <c r="F22" s="134">
        <f>E22</f>
        <v>1</v>
      </c>
      <c r="G22" s="134">
        <f t="shared" ref="G22:H22" si="10">F22</f>
        <v>1</v>
      </c>
      <c r="H22" s="135">
        <f t="shared" si="10"/>
        <v>1</v>
      </c>
    </row>
    <row r="23" spans="1:8" x14ac:dyDescent="0.2">
      <c r="A23" s="110"/>
      <c r="B23" s="121"/>
      <c r="C23" s="121"/>
      <c r="D23" s="121"/>
      <c r="E23" s="121"/>
      <c r="F23" s="121"/>
      <c r="G23" s="121"/>
      <c r="H23" s="122"/>
    </row>
    <row r="24" spans="1:8" x14ac:dyDescent="0.2">
      <c r="A24" s="109" t="s">
        <v>107</v>
      </c>
      <c r="B24" s="127">
        <f>SUM(-B16, B12:B14, B21)</f>
        <v>318.91912695699637</v>
      </c>
      <c r="C24" s="127">
        <f>SUM(-C16, C12:C14, C21)</f>
        <v>460.92495550887941</v>
      </c>
      <c r="D24" s="127">
        <f ca="1">SUM(-D16, D12:D14, D21)</f>
        <v>539.71131129942682</v>
      </c>
      <c r="E24" s="127">
        <f ca="1">SUM(-E16, E12:E14, E21)</f>
        <v>486.39750774582865</v>
      </c>
      <c r="F24" s="127">
        <f t="shared" ref="F24:H24" ca="1" si="11">SUM(-F16, F12:F14, F21)</f>
        <v>533.42235085645393</v>
      </c>
      <c r="G24" s="127">
        <f t="shared" ca="1" si="11"/>
        <v>653.26452399538084</v>
      </c>
      <c r="H24" s="128">
        <f t="shared" ca="1" si="11"/>
        <v>752.4488953225565</v>
      </c>
    </row>
    <row r="25" spans="1:8" x14ac:dyDescent="0.2">
      <c r="A25" s="110"/>
      <c r="B25" s="121"/>
      <c r="C25" s="121"/>
      <c r="D25" s="121"/>
      <c r="E25" s="121"/>
      <c r="F25" s="121"/>
      <c r="G25" s="121"/>
      <c r="H25" s="122"/>
    </row>
    <row r="26" spans="1:8" s="31" customFormat="1" x14ac:dyDescent="0.2">
      <c r="A26" s="109" t="s">
        <v>25</v>
      </c>
      <c r="B26" s="123">
        <f>B9-B24</f>
        <v>455.24987304300362</v>
      </c>
      <c r="C26" s="123">
        <f>C9-C24</f>
        <v>496.41704449112046</v>
      </c>
      <c r="D26" s="123">
        <f ca="1">D9-D24</f>
        <v>629.1421057610612</v>
      </c>
      <c r="E26" s="123">
        <f ca="1">E9-E24</f>
        <v>931.32281573544503</v>
      </c>
      <c r="F26" s="123">
        <f t="shared" ref="F26:H26" ca="1" si="12">F9-F24</f>
        <v>1317.4271172017102</v>
      </c>
      <c r="G26" s="123">
        <f t="shared" ca="1" si="12"/>
        <v>1613.5513573674148</v>
      </c>
      <c r="H26" s="124">
        <f t="shared" ca="1" si="12"/>
        <v>1858.6311638018738</v>
      </c>
    </row>
    <row r="27" spans="1:8" x14ac:dyDescent="0.2">
      <c r="A27" s="110"/>
      <c r="B27" s="121"/>
      <c r="C27" s="121"/>
      <c r="D27" s="121"/>
      <c r="E27" s="121"/>
      <c r="F27" s="121"/>
      <c r="G27" s="121"/>
      <c r="H27" s="122"/>
    </row>
    <row r="28" spans="1:8" x14ac:dyDescent="0.2">
      <c r="A28" s="110" t="s">
        <v>26</v>
      </c>
      <c r="B28" s="127">
        <v>-112.503</v>
      </c>
      <c r="C28" s="127">
        <v>-107.036</v>
      </c>
      <c r="D28" s="225">
        <v>-106.35874242691149</v>
      </c>
      <c r="E28" s="225">
        <v>-81.073903619688608</v>
      </c>
      <c r="F28" s="225">
        <v>-77.489103174405045</v>
      </c>
      <c r="G28" s="225">
        <v>-72.166153294213643</v>
      </c>
      <c r="H28" s="226">
        <v>-66.089171610070849</v>
      </c>
    </row>
    <row r="29" spans="1:8" x14ac:dyDescent="0.2">
      <c r="A29" s="110"/>
      <c r="B29" s="121"/>
      <c r="C29" s="121"/>
      <c r="D29" s="121"/>
      <c r="E29" s="121"/>
      <c r="F29" s="121"/>
      <c r="G29" s="121"/>
      <c r="H29" s="122"/>
    </row>
    <row r="30" spans="1:8" x14ac:dyDescent="0.2">
      <c r="A30" s="109" t="s">
        <v>27</v>
      </c>
      <c r="B30" s="127">
        <f>B26+B28</f>
        <v>342.74687304300363</v>
      </c>
      <c r="C30" s="127">
        <f t="shared" ref="C30:H30" si="13">C26+C28</f>
        <v>389.38104449112046</v>
      </c>
      <c r="D30" s="127">
        <f t="shared" ca="1" si="13"/>
        <v>522.78336333414973</v>
      </c>
      <c r="E30" s="127">
        <f t="shared" ca="1" si="13"/>
        <v>850.24891211575641</v>
      </c>
      <c r="F30" s="127">
        <f t="shared" ca="1" si="13"/>
        <v>1239.9380140273051</v>
      </c>
      <c r="G30" s="127">
        <f t="shared" ca="1" si="13"/>
        <v>1541.3852040732011</v>
      </c>
      <c r="H30" s="128">
        <f t="shared" ca="1" si="13"/>
        <v>1792.5419921918028</v>
      </c>
    </row>
    <row r="31" spans="1:8" x14ac:dyDescent="0.2">
      <c r="A31" s="110"/>
      <c r="B31" s="121"/>
      <c r="C31" s="121"/>
      <c r="D31" s="121"/>
      <c r="E31" s="121"/>
      <c r="F31" s="121"/>
      <c r="G31" s="121"/>
      <c r="H31" s="122"/>
    </row>
    <row r="32" spans="1:8" x14ac:dyDescent="0.2">
      <c r="A32" s="110" t="s">
        <v>28</v>
      </c>
      <c r="B32" s="127">
        <v>46.006500000000003</v>
      </c>
      <c r="C32" s="127">
        <v>86.977999999999994</v>
      </c>
      <c r="D32" s="127">
        <f ca="1">D34*D30</f>
        <v>166.64424011128227</v>
      </c>
      <c r="E32" s="127">
        <f t="shared" ref="E32:H32" ca="1" si="14">E34*E30</f>
        <v>262.70872953936362</v>
      </c>
      <c r="F32" s="127">
        <f t="shared" ca="1" si="14"/>
        <v>383.11432773503748</v>
      </c>
      <c r="G32" s="127">
        <f t="shared" ca="1" si="14"/>
        <v>476.25506239720278</v>
      </c>
      <c r="H32" s="128">
        <f t="shared" ca="1" si="14"/>
        <v>553.85713842648931</v>
      </c>
    </row>
    <row r="33" spans="1:8" x14ac:dyDescent="0.2">
      <c r="A33" s="109" t="s">
        <v>29</v>
      </c>
      <c r="B33" s="127">
        <f>B30-B32</f>
        <v>296.74037304300361</v>
      </c>
      <c r="C33" s="121">
        <v>76.995000000000005</v>
      </c>
      <c r="D33" s="127">
        <f ca="1">D30-D32</f>
        <v>356.13912322286745</v>
      </c>
      <c r="E33" s="127">
        <f t="shared" ref="E33:H33" ca="1" si="15">E30-E32</f>
        <v>587.54018257639279</v>
      </c>
      <c r="F33" s="127">
        <f t="shared" ca="1" si="15"/>
        <v>856.82368629226767</v>
      </c>
      <c r="G33" s="127">
        <f t="shared" ca="1" si="15"/>
        <v>1065.1301416759984</v>
      </c>
      <c r="H33" s="128">
        <f t="shared" ca="1" si="15"/>
        <v>1238.6848537653136</v>
      </c>
    </row>
    <row r="34" spans="1:8" x14ac:dyDescent="0.2">
      <c r="A34" s="109" t="s">
        <v>30</v>
      </c>
      <c r="B34" s="136">
        <f>B32/B30</f>
        <v>0.13422879570436716</v>
      </c>
      <c r="C34" s="136">
        <f>C32/C30</f>
        <v>0.22337502359333125</v>
      </c>
      <c r="D34" s="227">
        <v>0.31876347221242302</v>
      </c>
      <c r="E34" s="227">
        <v>0.30897861296363222</v>
      </c>
      <c r="F34" s="227">
        <v>0.30897861296363222</v>
      </c>
      <c r="G34" s="227">
        <v>0.30897861296363216</v>
      </c>
      <c r="H34" s="228">
        <v>0.30897861296363222</v>
      </c>
    </row>
    <row r="35" spans="1:8" x14ac:dyDescent="0.2">
      <c r="A35" s="110"/>
      <c r="B35" s="121"/>
      <c r="C35" s="121"/>
      <c r="D35" s="121"/>
      <c r="E35" s="121"/>
      <c r="F35" s="121"/>
      <c r="G35" s="121"/>
      <c r="H35" s="122"/>
    </row>
    <row r="36" spans="1:8" x14ac:dyDescent="0.2">
      <c r="A36" s="109" t="s">
        <v>31</v>
      </c>
      <c r="B36" s="127">
        <f>B33</f>
        <v>296.74037304300361</v>
      </c>
      <c r="C36" s="127">
        <f t="shared" ref="C36:H36" si="16">C33</f>
        <v>76.995000000000005</v>
      </c>
      <c r="D36" s="127">
        <f t="shared" ca="1" si="16"/>
        <v>356.13912322286745</v>
      </c>
      <c r="E36" s="127">
        <f t="shared" ca="1" si="16"/>
        <v>587.54018257639279</v>
      </c>
      <c r="F36" s="127">
        <f t="shared" ca="1" si="16"/>
        <v>856.82368629226767</v>
      </c>
      <c r="G36" s="127">
        <f t="shared" ca="1" si="16"/>
        <v>1065.1301416759984</v>
      </c>
      <c r="H36" s="128">
        <f t="shared" ca="1" si="16"/>
        <v>1238.6848537653136</v>
      </c>
    </row>
    <row r="37" spans="1:8" x14ac:dyDescent="0.2">
      <c r="A37" s="137" t="s">
        <v>40</v>
      </c>
      <c r="B37" s="127">
        <f>B26-B32</f>
        <v>409.2433730430036</v>
      </c>
      <c r="C37" s="127">
        <f t="shared" ref="C37:H37" si="17">C26-C32</f>
        <v>409.43904449112046</v>
      </c>
      <c r="D37" s="127">
        <f t="shared" ca="1" si="17"/>
        <v>462.49786564977893</v>
      </c>
      <c r="E37" s="127">
        <f t="shared" ca="1" si="17"/>
        <v>668.61408619608142</v>
      </c>
      <c r="F37" s="127">
        <f t="shared" ca="1" si="17"/>
        <v>934.31278946667271</v>
      </c>
      <c r="G37" s="127">
        <f t="shared" ca="1" si="17"/>
        <v>1137.2962949702119</v>
      </c>
      <c r="H37" s="128">
        <f t="shared" ca="1" si="17"/>
        <v>1304.7740253753846</v>
      </c>
    </row>
    <row r="38" spans="1:8" x14ac:dyDescent="0.2">
      <c r="A38" s="137"/>
      <c r="B38" s="121"/>
      <c r="C38" s="121"/>
      <c r="D38" s="121"/>
      <c r="E38" s="121"/>
      <c r="F38" s="121"/>
      <c r="G38" s="121"/>
      <c r="H38" s="122"/>
    </row>
    <row r="39" spans="1:8" x14ac:dyDescent="0.2">
      <c r="A39" s="138" t="s">
        <v>32</v>
      </c>
      <c r="B39" s="139"/>
      <c r="C39" s="139"/>
      <c r="D39" s="139"/>
      <c r="E39" s="139"/>
      <c r="F39" s="139"/>
      <c r="G39" s="139"/>
      <c r="H39" s="140"/>
    </row>
    <row r="40" spans="1:8" x14ac:dyDescent="0.2">
      <c r="A40" s="137"/>
      <c r="B40" s="121"/>
      <c r="C40" s="121"/>
      <c r="D40" s="121"/>
      <c r="E40" s="121"/>
      <c r="F40" s="121"/>
      <c r="G40" s="121"/>
      <c r="H40" s="122"/>
    </row>
    <row r="41" spans="1:8" x14ac:dyDescent="0.2">
      <c r="A41" s="291" t="s">
        <v>33</v>
      </c>
      <c r="B41" s="292">
        <f>B36</f>
        <v>296.74037304300361</v>
      </c>
      <c r="C41" s="161">
        <f t="shared" ref="C41:H41" si="18">C36</f>
        <v>76.995000000000005</v>
      </c>
      <c r="D41" s="161">
        <f t="shared" ca="1" si="18"/>
        <v>356.13912322286745</v>
      </c>
      <c r="E41" s="161">
        <f t="shared" ca="1" si="18"/>
        <v>587.54018257639279</v>
      </c>
      <c r="F41" s="161">
        <f t="shared" ca="1" si="18"/>
        <v>856.82368629226767</v>
      </c>
      <c r="G41" s="161">
        <f t="shared" ca="1" si="18"/>
        <v>1065.1301416759984</v>
      </c>
      <c r="H41" s="162">
        <f t="shared" ca="1" si="18"/>
        <v>1238.6848537653136</v>
      </c>
    </row>
    <row r="42" spans="1:8" x14ac:dyDescent="0.2">
      <c r="A42" s="293" t="s">
        <v>34</v>
      </c>
      <c r="B42" s="294">
        <f>B21</f>
        <v>109</v>
      </c>
      <c r="C42" s="295">
        <f>C21</f>
        <v>83.412999999999997</v>
      </c>
      <c r="D42" s="295">
        <f ca="1">D43*D55</f>
        <v>115.55774205614388</v>
      </c>
      <c r="E42" s="295">
        <f t="shared" ref="E42:H42" ca="1" si="19">E43*E55</f>
        <v>159.74249995670564</v>
      </c>
      <c r="F42" s="295">
        <f t="shared" ca="1" si="19"/>
        <v>107.03694355744886</v>
      </c>
      <c r="G42" s="295">
        <f t="shared" ca="1" si="19"/>
        <v>131.09280237853108</v>
      </c>
      <c r="H42" s="302">
        <f t="shared" ca="1" si="19"/>
        <v>151.00203108667884</v>
      </c>
    </row>
    <row r="43" spans="1:8" x14ac:dyDescent="0.2">
      <c r="A43" s="293" t="s">
        <v>36</v>
      </c>
      <c r="B43" s="296">
        <f>B42/B55</f>
        <v>-1.52136895290735</v>
      </c>
      <c r="C43" s="296">
        <f>C42/C55</f>
        <v>-0.82806031787001277</v>
      </c>
      <c r="D43" s="297">
        <v>-1</v>
      </c>
      <c r="E43" s="297">
        <v>-1</v>
      </c>
      <c r="F43" s="297">
        <v>-1</v>
      </c>
      <c r="G43" s="297">
        <v>-1</v>
      </c>
      <c r="H43" s="303">
        <v>-1</v>
      </c>
    </row>
    <row r="44" spans="1:8" s="290" customFormat="1" x14ac:dyDescent="0.2">
      <c r="A44" s="300" t="s">
        <v>331</v>
      </c>
      <c r="B44" s="301">
        <v>6.1020000000000003</v>
      </c>
      <c r="C44" s="301">
        <v>6.15</v>
      </c>
      <c r="D44" s="301">
        <v>6.15</v>
      </c>
      <c r="E44" s="304">
        <f>AVERAGE(B44:D44)</f>
        <v>6.1340000000000003</v>
      </c>
      <c r="F44" s="304">
        <f t="shared" ref="F44:H44" si="20">AVERAGE(C44:E44)</f>
        <v>6.1446666666666667</v>
      </c>
      <c r="G44" s="304">
        <f t="shared" si="20"/>
        <v>6.1428888888888897</v>
      </c>
      <c r="H44" s="328">
        <f t="shared" si="20"/>
        <v>6.1405185185185189</v>
      </c>
    </row>
    <row r="45" spans="1:8" s="290" customFormat="1" ht="17" x14ac:dyDescent="0.2">
      <c r="A45" s="300" t="s">
        <v>332</v>
      </c>
      <c r="B45" s="301">
        <v>9.7000000000000003E-2</v>
      </c>
      <c r="C45" s="301" t="s">
        <v>21</v>
      </c>
      <c r="D45" s="301" t="s">
        <v>21</v>
      </c>
      <c r="E45" s="305">
        <f>0</f>
        <v>0</v>
      </c>
      <c r="F45" s="304">
        <f t="shared" ref="F45:H45" si="21">E45</f>
        <v>0</v>
      </c>
      <c r="G45" s="304">
        <f t="shared" si="21"/>
        <v>0</v>
      </c>
      <c r="H45" s="328">
        <f t="shared" si="21"/>
        <v>0</v>
      </c>
    </row>
    <row r="46" spans="1:8" s="290" customFormat="1" ht="17" x14ac:dyDescent="0.2">
      <c r="A46" s="300" t="s">
        <v>333</v>
      </c>
      <c r="B46" s="301">
        <v>0.20699999999999999</v>
      </c>
      <c r="C46" s="301" t="s">
        <v>21</v>
      </c>
      <c r="D46" s="301">
        <v>-1.6</v>
      </c>
      <c r="E46" s="305">
        <f>0</f>
        <v>0</v>
      </c>
      <c r="F46" s="305">
        <f>0</f>
        <v>0</v>
      </c>
      <c r="G46" s="305">
        <f>0</f>
        <v>0</v>
      </c>
      <c r="H46" s="329">
        <f>0</f>
        <v>0</v>
      </c>
    </row>
    <row r="47" spans="1:8" s="290" customFormat="1" x14ac:dyDescent="0.2">
      <c r="A47" s="300" t="s">
        <v>334</v>
      </c>
      <c r="B47" s="301">
        <v>76.631</v>
      </c>
      <c r="C47" s="301">
        <v>274.60000000000002</v>
      </c>
      <c r="D47" s="301">
        <f>263.096*1.05</f>
        <v>276.25080000000003</v>
      </c>
      <c r="E47" s="306">
        <f>D47*1.05</f>
        <v>290.06334000000004</v>
      </c>
      <c r="F47" s="306">
        <f t="shared" ref="F47:H47" si="22">E47*1.05</f>
        <v>304.56650700000006</v>
      </c>
      <c r="G47" s="306">
        <f t="shared" si="22"/>
        <v>319.79483235000009</v>
      </c>
      <c r="H47" s="330">
        <f t="shared" si="22"/>
        <v>335.78457396750014</v>
      </c>
    </row>
    <row r="48" spans="1:8" s="290" customFormat="1" x14ac:dyDescent="0.2">
      <c r="A48" s="300" t="s">
        <v>335</v>
      </c>
      <c r="B48" s="301">
        <v>-5.3</v>
      </c>
      <c r="C48" s="301">
        <v>-26.7</v>
      </c>
      <c r="D48" s="301">
        <v>-32.700000000000003</v>
      </c>
      <c r="E48" s="306">
        <f>AVERAGE(B48:D48)</f>
        <v>-21.566666666666666</v>
      </c>
      <c r="F48" s="306">
        <f>E48</f>
        <v>-21.566666666666666</v>
      </c>
      <c r="G48" s="306">
        <f t="shared" ref="G48:H48" si="23">F48</f>
        <v>-21.566666666666666</v>
      </c>
      <c r="H48" s="330">
        <f t="shared" si="23"/>
        <v>-21.566666666666666</v>
      </c>
    </row>
    <row r="49" spans="1:10" s="290" customFormat="1" x14ac:dyDescent="0.2">
      <c r="A49" s="300" t="s">
        <v>336</v>
      </c>
      <c r="B49" s="301">
        <v>-159.1</v>
      </c>
      <c r="C49" s="301">
        <v>-95.6</v>
      </c>
      <c r="D49" s="301">
        <v>-56.6</v>
      </c>
      <c r="E49" s="306">
        <f>AVERAGE(C49:D49)*1.2</f>
        <v>-91.32</v>
      </c>
      <c r="F49" s="306">
        <f t="shared" ref="F49:G49" si="24">AVERAGE(D49:E49)*1.2</f>
        <v>-88.751999999999995</v>
      </c>
      <c r="G49" s="306">
        <f t="shared" si="24"/>
        <v>-108.0432</v>
      </c>
      <c r="H49" s="306">
        <f>AVERAGE(F49:G49)*1.2</f>
        <v>-118.07711999999999</v>
      </c>
    </row>
    <row r="50" spans="1:10" s="290" customFormat="1" x14ac:dyDescent="0.2">
      <c r="A50" s="300" t="s">
        <v>337</v>
      </c>
      <c r="B50" s="301">
        <v>11.201000000000001</v>
      </c>
      <c r="C50" s="301">
        <v>10.648</v>
      </c>
      <c r="D50" s="301">
        <v>5.8079999999999998</v>
      </c>
      <c r="E50" s="304">
        <f>AVERAGE(B50:D50)</f>
        <v>9.2189999999999994</v>
      </c>
      <c r="F50" s="304">
        <f t="shared" ref="F50:H50" si="25">AVERAGE(C50:E50)</f>
        <v>8.5583333333333318</v>
      </c>
      <c r="G50" s="304">
        <f t="shared" si="25"/>
        <v>7.8617777777777773</v>
      </c>
      <c r="H50" s="328">
        <f t="shared" si="25"/>
        <v>8.5463703703703704</v>
      </c>
    </row>
    <row r="51" spans="1:10" s="290" customFormat="1" x14ac:dyDescent="0.2">
      <c r="A51" s="300" t="s">
        <v>338</v>
      </c>
      <c r="B51" s="301">
        <v>-0.4</v>
      </c>
      <c r="C51" s="301">
        <v>5.085</v>
      </c>
      <c r="D51" s="301">
        <v>-2.7</v>
      </c>
      <c r="E51" s="305">
        <v>0</v>
      </c>
      <c r="F51" s="305">
        <v>0</v>
      </c>
      <c r="G51" s="305">
        <v>0</v>
      </c>
      <c r="H51" s="329">
        <v>0</v>
      </c>
    </row>
    <row r="52" spans="1:10" s="290" customFormat="1" x14ac:dyDescent="0.2">
      <c r="A52" s="300" t="s">
        <v>339</v>
      </c>
      <c r="B52" s="301">
        <v>8.5749999999999993</v>
      </c>
      <c r="C52" s="301">
        <v>26.097999999999999</v>
      </c>
      <c r="D52" s="301">
        <v>17.736000000000001</v>
      </c>
      <c r="E52" s="304">
        <f>AVERAGE(B52:D52)</f>
        <v>17.469666666666669</v>
      </c>
      <c r="F52" s="304">
        <f>E52</f>
        <v>17.469666666666669</v>
      </c>
      <c r="G52" s="304">
        <f t="shared" ref="G52:H52" si="26">F52</f>
        <v>17.469666666666669</v>
      </c>
      <c r="H52" s="328">
        <f t="shared" si="26"/>
        <v>17.469666666666669</v>
      </c>
    </row>
    <row r="53" spans="1:10" x14ac:dyDescent="0.2">
      <c r="A53" s="291" t="s">
        <v>340</v>
      </c>
      <c r="B53" s="316">
        <f>SUM(B42, B44:B52)</f>
        <v>47.012999999999977</v>
      </c>
      <c r="C53" s="316">
        <f>SUM(C42, C44:C52)</f>
        <v>283.69400000000002</v>
      </c>
      <c r="D53" s="316">
        <f t="shared" ref="D53:H53" ca="1" si="27">SUM(D42, D44:D52)</f>
        <v>327.90254205614389</v>
      </c>
      <c r="E53" s="316">
        <f t="shared" ca="1" si="27"/>
        <v>369.74183995670569</v>
      </c>
      <c r="F53" s="316">
        <f t="shared" ca="1" si="27"/>
        <v>333.45745055744896</v>
      </c>
      <c r="G53" s="316">
        <f t="shared" ca="1" si="27"/>
        <v>352.75210139519783</v>
      </c>
      <c r="H53" s="331">
        <f t="shared" ca="1" si="27"/>
        <v>379.29937394306791</v>
      </c>
    </row>
    <row r="54" spans="1:10" x14ac:dyDescent="0.2">
      <c r="A54" s="293"/>
      <c r="B54" s="298"/>
      <c r="C54" s="298"/>
      <c r="D54" s="299"/>
      <c r="E54" s="134"/>
      <c r="F54" s="134"/>
      <c r="G54" s="142"/>
      <c r="H54" s="135"/>
    </row>
    <row r="55" spans="1:10" x14ac:dyDescent="0.2">
      <c r="A55" s="110" t="s">
        <v>35</v>
      </c>
      <c r="B55" s="141">
        <v>-71.646000000000001</v>
      </c>
      <c r="C55" s="142">
        <v>-100.733</v>
      </c>
      <c r="D55" s="142">
        <f ca="1">D56*D5</f>
        <v>-115.55774205614388</v>
      </c>
      <c r="E55" s="142">
        <f ca="1">E56*E5</f>
        <v>-159.74249995670564</v>
      </c>
      <c r="F55" s="142">
        <f ca="1">F56*F5</f>
        <v>-107.03694355744886</v>
      </c>
      <c r="G55" s="142">
        <f ca="1">G56*G5</f>
        <v>-131.09280237853108</v>
      </c>
      <c r="H55" s="229">
        <f ca="1">H56*H5</f>
        <v>-151.00203108667884</v>
      </c>
    </row>
    <row r="56" spans="1:10" x14ac:dyDescent="0.2">
      <c r="A56" s="293" t="s">
        <v>108</v>
      </c>
      <c r="B56" s="296">
        <f>B55/B5</f>
        <v>-5.7647326712438433E-2</v>
      </c>
      <c r="C56" s="296">
        <f>C55/C5</f>
        <v>-6.5142642812567708E-2</v>
      </c>
      <c r="D56" s="296">
        <f>AVERAGE(B56:C56)</f>
        <v>-6.1394984762503074E-2</v>
      </c>
      <c r="E56" s="296">
        <v>-6.4374169380658611E-2</v>
      </c>
      <c r="F56" s="296">
        <v>-3.3040326291471113E-2</v>
      </c>
      <c r="G56" s="125">
        <v>-3.3040326291471113E-2</v>
      </c>
      <c r="H56" s="126">
        <v>-3.3040326291471113E-2</v>
      </c>
    </row>
    <row r="57" spans="1:10" s="314" customFormat="1" x14ac:dyDescent="0.15">
      <c r="A57" s="300" t="s">
        <v>341</v>
      </c>
      <c r="B57" s="301">
        <v>1.9770000000000001</v>
      </c>
      <c r="C57" s="301">
        <v>0.33900000000000002</v>
      </c>
      <c r="D57" s="301">
        <v>-0.6</v>
      </c>
      <c r="E57" s="301">
        <v>0</v>
      </c>
      <c r="F57" s="301">
        <v>0</v>
      </c>
      <c r="G57" s="301">
        <v>0</v>
      </c>
      <c r="H57" s="332">
        <v>0</v>
      </c>
    </row>
    <row r="58" spans="1:10" s="314" customFormat="1" ht="17" x14ac:dyDescent="0.15">
      <c r="A58" s="300" t="s">
        <v>342</v>
      </c>
      <c r="B58" s="301">
        <v>-1</v>
      </c>
      <c r="C58" s="301" t="s">
        <v>21</v>
      </c>
      <c r="D58" s="301" t="s">
        <v>21</v>
      </c>
      <c r="E58" s="301">
        <v>0</v>
      </c>
      <c r="F58" s="301">
        <v>0</v>
      </c>
      <c r="G58" s="301">
        <v>0</v>
      </c>
      <c r="H58" s="332">
        <v>0</v>
      </c>
    </row>
    <row r="59" spans="1:10" s="314" customFormat="1" ht="17" x14ac:dyDescent="0.15">
      <c r="A59" s="300" t="s">
        <v>343</v>
      </c>
      <c r="B59" s="301" t="s">
        <v>21</v>
      </c>
      <c r="C59" s="301" t="s">
        <v>21</v>
      </c>
      <c r="D59" s="301" t="s">
        <v>21</v>
      </c>
      <c r="E59" s="301">
        <v>0</v>
      </c>
      <c r="F59" s="301">
        <v>0</v>
      </c>
      <c r="G59" s="301">
        <v>0</v>
      </c>
      <c r="H59" s="332">
        <v>0</v>
      </c>
    </row>
    <row r="60" spans="1:10" s="314" customFormat="1" x14ac:dyDescent="0.15">
      <c r="A60" s="300" t="s">
        <v>344</v>
      </c>
      <c r="B60" s="301">
        <v>-1.8</v>
      </c>
      <c r="C60" s="301">
        <v>-0.8</v>
      </c>
      <c r="D60" s="301">
        <v>-4.2</v>
      </c>
      <c r="E60" s="301">
        <v>0</v>
      </c>
      <c r="F60" s="301">
        <v>0</v>
      </c>
      <c r="G60" s="301">
        <v>0</v>
      </c>
      <c r="H60" s="332">
        <v>0</v>
      </c>
    </row>
    <row r="61" spans="1:10" s="314" customFormat="1" ht="17" x14ac:dyDescent="0.15">
      <c r="A61" s="300" t="s">
        <v>345</v>
      </c>
      <c r="B61" s="301" t="s">
        <v>21</v>
      </c>
      <c r="C61" s="301" t="s">
        <v>21</v>
      </c>
      <c r="D61" s="301" t="s">
        <v>21</v>
      </c>
      <c r="E61" s="301">
        <v>0</v>
      </c>
      <c r="F61" s="301">
        <v>0</v>
      </c>
      <c r="G61" s="301">
        <v>0</v>
      </c>
      <c r="H61" s="332">
        <v>0</v>
      </c>
    </row>
    <row r="62" spans="1:10" s="314" customFormat="1" ht="17" x14ac:dyDescent="0.15">
      <c r="A62" s="300" t="s">
        <v>346</v>
      </c>
      <c r="B62" s="301" t="s">
        <v>21</v>
      </c>
      <c r="C62" s="301" t="s">
        <v>21</v>
      </c>
      <c r="D62" s="301" t="s">
        <v>21</v>
      </c>
      <c r="E62" s="301">
        <v>0</v>
      </c>
      <c r="F62" s="301">
        <v>0</v>
      </c>
      <c r="G62" s="301">
        <v>0</v>
      </c>
      <c r="H62" s="332">
        <v>0</v>
      </c>
    </row>
    <row r="63" spans="1:10" s="314" customFormat="1" ht="17" x14ac:dyDescent="0.2">
      <c r="A63" s="300" t="s">
        <v>347</v>
      </c>
      <c r="B63" s="301" t="s">
        <v>21</v>
      </c>
      <c r="C63" s="301">
        <v>1.847</v>
      </c>
      <c r="D63" s="301">
        <v>14.087</v>
      </c>
      <c r="E63" s="304">
        <f>D63</f>
        <v>14.087</v>
      </c>
      <c r="F63" s="304">
        <f t="shared" ref="F63:H63" si="28">E63</f>
        <v>14.087</v>
      </c>
      <c r="G63" s="304">
        <f t="shared" si="28"/>
        <v>14.087</v>
      </c>
      <c r="H63" s="328">
        <f t="shared" si="28"/>
        <v>14.087</v>
      </c>
    </row>
    <row r="64" spans="1:10" s="314" customFormat="1" x14ac:dyDescent="0.2">
      <c r="A64" s="315" t="s">
        <v>348</v>
      </c>
      <c r="B64" s="307">
        <f>SUM(B55, B57:B63)</f>
        <v>-72.468999999999994</v>
      </c>
      <c r="C64" s="307">
        <f t="shared" ref="C64:D64" si="29">SUM(C55, C57:C63)</f>
        <v>-99.347000000000008</v>
      </c>
      <c r="D64" s="307">
        <f t="shared" ca="1" si="29"/>
        <v>-106.27074205614387</v>
      </c>
      <c r="E64" s="307">
        <f t="shared" ref="E64" ca="1" si="30">SUM(E55, E57:E63)</f>
        <v>-145.65549995670565</v>
      </c>
      <c r="F64" s="307">
        <f t="shared" ref="F64" ca="1" si="31">SUM(F55, F57:F63)</f>
        <v>-92.949943557448861</v>
      </c>
      <c r="G64" s="307">
        <f t="shared" ref="G64" ca="1" si="32">SUM(G55, G57:G63)</f>
        <v>-117.00580237853107</v>
      </c>
      <c r="H64" s="333">
        <f t="shared" ref="H64" ca="1" si="33">SUM(H55, H57:H63)</f>
        <v>-136.91503108667885</v>
      </c>
      <c r="I64" s="305"/>
      <c r="J64" s="305"/>
    </row>
    <row r="65" spans="1:10" s="314" customFormat="1" x14ac:dyDescent="0.2">
      <c r="A65" s="315"/>
      <c r="B65" s="317"/>
      <c r="C65" s="317"/>
      <c r="D65" s="317"/>
      <c r="E65" s="317"/>
      <c r="F65" s="317"/>
      <c r="G65" s="317"/>
      <c r="H65" s="334"/>
      <c r="I65" s="305"/>
      <c r="J65" s="305"/>
    </row>
    <row r="66" spans="1:10" s="314" customFormat="1" ht="17" x14ac:dyDescent="0.2">
      <c r="A66" s="300" t="s">
        <v>349</v>
      </c>
      <c r="B66" s="301" t="s">
        <v>21</v>
      </c>
      <c r="C66" s="301" t="s">
        <v>21</v>
      </c>
      <c r="D66" s="301" t="s">
        <v>21</v>
      </c>
      <c r="E66" s="301">
        <v>0</v>
      </c>
      <c r="F66" s="301">
        <v>0</v>
      </c>
      <c r="G66" s="301">
        <v>0</v>
      </c>
      <c r="H66" s="332">
        <v>0</v>
      </c>
      <c r="I66" s="305"/>
      <c r="J66" s="305"/>
    </row>
    <row r="67" spans="1:10" s="314" customFormat="1" ht="17" x14ac:dyDescent="0.2">
      <c r="A67" s="300" t="s">
        <v>350</v>
      </c>
      <c r="B67" s="301" t="s">
        <v>21</v>
      </c>
      <c r="C67" s="301" t="s">
        <v>21</v>
      </c>
      <c r="D67" s="301" t="s">
        <v>21</v>
      </c>
      <c r="E67" s="301">
        <v>0</v>
      </c>
      <c r="F67" s="301">
        <v>0</v>
      </c>
      <c r="G67" s="301">
        <v>0</v>
      </c>
      <c r="H67" s="332">
        <v>0</v>
      </c>
      <c r="I67" s="305"/>
      <c r="J67" s="305"/>
    </row>
    <row r="68" spans="1:10" s="314" customFormat="1" ht="17" x14ac:dyDescent="0.2">
      <c r="A68" s="315" t="s">
        <v>351</v>
      </c>
      <c r="B68" s="307" t="s">
        <v>21</v>
      </c>
      <c r="C68" s="307" t="s">
        <v>21</v>
      </c>
      <c r="D68" s="307" t="s">
        <v>21</v>
      </c>
      <c r="E68" s="335">
        <v>0</v>
      </c>
      <c r="F68" s="335">
        <v>0</v>
      </c>
      <c r="G68" s="335">
        <v>0</v>
      </c>
      <c r="H68" s="336">
        <v>0</v>
      </c>
      <c r="I68" s="305"/>
      <c r="J68" s="305"/>
    </row>
    <row r="69" spans="1:10" s="314" customFormat="1" ht="17" x14ac:dyDescent="0.2">
      <c r="A69" s="300" t="s">
        <v>352</v>
      </c>
      <c r="B69" s="301" t="s">
        <v>21</v>
      </c>
      <c r="C69" s="301" t="s">
        <v>21</v>
      </c>
      <c r="D69" s="301" t="s">
        <v>21</v>
      </c>
      <c r="E69" s="301">
        <v>0</v>
      </c>
      <c r="F69" s="301">
        <v>0</v>
      </c>
      <c r="G69" s="301">
        <v>0</v>
      </c>
      <c r="H69" s="332">
        <v>0</v>
      </c>
      <c r="I69" s="305"/>
      <c r="J69" s="305"/>
    </row>
    <row r="70" spans="1:10" s="314" customFormat="1" x14ac:dyDescent="0.2">
      <c r="A70" s="300" t="s">
        <v>353</v>
      </c>
      <c r="B70" s="301">
        <v>-34.9</v>
      </c>
      <c r="C70" s="301">
        <v>-81.599999999999994</v>
      </c>
      <c r="D70" s="301">
        <f>C70</f>
        <v>-81.599999999999994</v>
      </c>
      <c r="E70" s="301">
        <f t="shared" ref="E70:H70" si="34">D70</f>
        <v>-81.599999999999994</v>
      </c>
      <c r="F70" s="301">
        <f t="shared" si="34"/>
        <v>-81.599999999999994</v>
      </c>
      <c r="G70" s="301">
        <f t="shared" si="34"/>
        <v>-81.599999999999994</v>
      </c>
      <c r="H70" s="332">
        <f t="shared" si="34"/>
        <v>-81.599999999999994</v>
      </c>
      <c r="I70" s="305"/>
      <c r="J70" s="305"/>
    </row>
    <row r="71" spans="1:10" s="314" customFormat="1" x14ac:dyDescent="0.2">
      <c r="A71" s="315" t="s">
        <v>354</v>
      </c>
      <c r="B71" s="307">
        <v>-34.9</v>
      </c>
      <c r="C71" s="307">
        <v>-81.599999999999994</v>
      </c>
      <c r="D71" s="307">
        <f>D70</f>
        <v>-81.599999999999994</v>
      </c>
      <c r="E71" s="307">
        <f t="shared" ref="E71:H71" si="35">E70</f>
        <v>-81.599999999999994</v>
      </c>
      <c r="F71" s="307">
        <f t="shared" si="35"/>
        <v>-81.599999999999994</v>
      </c>
      <c r="G71" s="307">
        <f t="shared" si="35"/>
        <v>-81.599999999999994</v>
      </c>
      <c r="H71" s="333">
        <f t="shared" si="35"/>
        <v>-81.599999999999994</v>
      </c>
      <c r="I71" s="305"/>
      <c r="J71" s="305"/>
    </row>
    <row r="72" spans="1:10" s="314" customFormat="1" x14ac:dyDescent="0.2">
      <c r="A72" s="300"/>
      <c r="B72" s="300"/>
      <c r="C72" s="300"/>
      <c r="D72" s="300"/>
      <c r="E72" s="305"/>
      <c r="F72" s="305"/>
      <c r="G72" s="305"/>
      <c r="H72" s="329"/>
      <c r="I72" s="305"/>
      <c r="J72" s="305"/>
    </row>
    <row r="73" spans="1:10" s="314" customFormat="1" ht="17" x14ac:dyDescent="0.2">
      <c r="A73" s="300" t="s">
        <v>355</v>
      </c>
      <c r="B73" s="301" t="s">
        <v>21</v>
      </c>
      <c r="C73" s="301" t="s">
        <v>21</v>
      </c>
      <c r="D73" s="301">
        <v>449.214</v>
      </c>
      <c r="E73" s="301">
        <v>0</v>
      </c>
      <c r="F73" s="301">
        <v>0</v>
      </c>
      <c r="G73" s="301">
        <v>0</v>
      </c>
      <c r="H73" s="332">
        <v>0</v>
      </c>
      <c r="I73" s="305"/>
      <c r="J73" s="305"/>
    </row>
    <row r="74" spans="1:10" s="314" customFormat="1" x14ac:dyDescent="0.2">
      <c r="A74" s="300"/>
      <c r="B74" s="300"/>
      <c r="C74" s="300"/>
      <c r="D74" s="300"/>
      <c r="E74" s="305"/>
      <c r="F74" s="305"/>
      <c r="G74" s="305"/>
      <c r="H74" s="329"/>
      <c r="I74" s="305"/>
      <c r="J74" s="305"/>
    </row>
    <row r="75" spans="1:10" s="314" customFormat="1" ht="17" x14ac:dyDescent="0.2">
      <c r="A75" s="315" t="s">
        <v>356</v>
      </c>
      <c r="B75" s="307" t="s">
        <v>21</v>
      </c>
      <c r="C75" s="307" t="s">
        <v>21</v>
      </c>
      <c r="D75" s="307" t="s">
        <v>21</v>
      </c>
      <c r="E75" s="335">
        <v>0</v>
      </c>
      <c r="F75" s="335">
        <v>0</v>
      </c>
      <c r="G75" s="335">
        <v>0</v>
      </c>
      <c r="H75" s="336">
        <v>0</v>
      </c>
      <c r="I75" s="305"/>
      <c r="J75" s="305"/>
    </row>
    <row r="76" spans="1:10" s="314" customFormat="1" x14ac:dyDescent="0.2">
      <c r="A76" s="300"/>
      <c r="B76" s="300"/>
      <c r="C76" s="300"/>
      <c r="D76" s="300"/>
      <c r="E76" s="305"/>
      <c r="F76" s="305"/>
      <c r="G76" s="305"/>
      <c r="H76" s="329"/>
      <c r="I76" s="305"/>
      <c r="J76" s="305"/>
    </row>
    <row r="77" spans="1:10" s="314" customFormat="1" ht="17" x14ac:dyDescent="0.2">
      <c r="A77" s="300" t="s">
        <v>357</v>
      </c>
      <c r="B77" s="301" t="s">
        <v>21</v>
      </c>
      <c r="C77" s="301" t="s">
        <v>21</v>
      </c>
      <c r="D77" s="301" t="s">
        <v>21</v>
      </c>
      <c r="E77" s="301">
        <v>0</v>
      </c>
      <c r="F77" s="301">
        <v>0</v>
      </c>
      <c r="G77" s="301">
        <v>0</v>
      </c>
      <c r="H77" s="332">
        <v>0</v>
      </c>
      <c r="I77" s="305"/>
      <c r="J77" s="305"/>
    </row>
    <row r="78" spans="1:10" s="314" customFormat="1" x14ac:dyDescent="0.2">
      <c r="A78" s="300" t="s">
        <v>358</v>
      </c>
      <c r="B78" s="301">
        <v>-70.400000000000006</v>
      </c>
      <c r="C78" s="301">
        <v>-117.7</v>
      </c>
      <c r="D78" s="301">
        <v>-102.8</v>
      </c>
      <c r="E78" s="304">
        <f>AVERAGE(C78:D78)</f>
        <v>-110.25</v>
      </c>
      <c r="F78" s="304">
        <f>E78</f>
        <v>-110.25</v>
      </c>
      <c r="G78" s="304">
        <f t="shared" ref="G78:H78" si="36">F78</f>
        <v>-110.25</v>
      </c>
      <c r="H78" s="328">
        <f t="shared" si="36"/>
        <v>-110.25</v>
      </c>
      <c r="I78" s="305"/>
      <c r="J78" s="305"/>
    </row>
    <row r="79" spans="1:10" s="314" customFormat="1" x14ac:dyDescent="0.2">
      <c r="A79" s="315" t="s">
        <v>359</v>
      </c>
      <c r="B79" s="307">
        <v>-105.3</v>
      </c>
      <c r="C79" s="307">
        <v>-199.3</v>
      </c>
      <c r="D79" s="307">
        <v>-214</v>
      </c>
      <c r="E79" s="337">
        <f>E78+E71</f>
        <v>-191.85</v>
      </c>
      <c r="F79" s="337">
        <f t="shared" ref="F79:H79" si="37">F78+F71</f>
        <v>-191.85</v>
      </c>
      <c r="G79" s="337">
        <f t="shared" si="37"/>
        <v>-191.85</v>
      </c>
      <c r="H79" s="338">
        <f t="shared" si="37"/>
        <v>-191.85</v>
      </c>
      <c r="I79" s="305"/>
      <c r="J79" s="305"/>
    </row>
    <row r="80" spans="1:10" s="314" customFormat="1" x14ac:dyDescent="0.2">
      <c r="A80" s="300"/>
      <c r="B80" s="300"/>
      <c r="C80" s="300"/>
      <c r="D80" s="300"/>
      <c r="E80" s="305"/>
      <c r="F80" s="305"/>
      <c r="G80" s="305"/>
      <c r="H80" s="329"/>
      <c r="I80" s="305"/>
      <c r="J80" s="305"/>
    </row>
    <row r="81" spans="1:10" s="314" customFormat="1" x14ac:dyDescent="0.2">
      <c r="A81" s="300" t="s">
        <v>360</v>
      </c>
      <c r="B81" s="301">
        <v>14.561999999999999</v>
      </c>
      <c r="C81" s="301">
        <v>-21.4</v>
      </c>
      <c r="D81" s="301">
        <v>-11</v>
      </c>
      <c r="E81" s="305">
        <v>0</v>
      </c>
      <c r="F81" s="305">
        <v>0</v>
      </c>
      <c r="G81" s="305">
        <v>0</v>
      </c>
      <c r="H81" s="329">
        <v>0</v>
      </c>
      <c r="I81" s="305"/>
      <c r="J81" s="305"/>
    </row>
    <row r="82" spans="1:10" s="314" customFormat="1" ht="17" thickBot="1" x14ac:dyDescent="0.25">
      <c r="A82" s="315" t="s">
        <v>361</v>
      </c>
      <c r="B82" s="339">
        <v>71.734999999999999</v>
      </c>
      <c r="C82" s="339">
        <v>37.33</v>
      </c>
      <c r="D82" s="339">
        <v>114.738</v>
      </c>
      <c r="E82" s="340">
        <f ca="1">E79+E64+E53</f>
        <v>32.236340000000041</v>
      </c>
      <c r="F82" s="340">
        <f t="shared" ref="F82:H82" ca="1" si="38">F79+F64+F53</f>
        <v>48.657507000000123</v>
      </c>
      <c r="G82" s="340">
        <f t="shared" ca="1" si="38"/>
        <v>43.896299016666774</v>
      </c>
      <c r="H82" s="341">
        <f t="shared" ca="1" si="38"/>
        <v>50.53434285638906</v>
      </c>
      <c r="I82" s="305"/>
      <c r="J82" s="305"/>
    </row>
    <row r="83" spans="1:10" ht="15.5" customHeight="1" thickTop="1" x14ac:dyDescent="0.2">
      <c r="A83" s="293"/>
      <c r="B83" s="163"/>
      <c r="C83" s="163"/>
      <c r="D83" s="163"/>
      <c r="E83" s="163"/>
      <c r="F83" s="163"/>
      <c r="G83" s="163"/>
      <c r="H83" s="164"/>
      <c r="I83"/>
      <c r="J83"/>
    </row>
    <row r="84" spans="1:10" x14ac:dyDescent="0.2">
      <c r="A84" s="293" t="s">
        <v>37</v>
      </c>
      <c r="B84" s="163">
        <v>0</v>
      </c>
      <c r="C84" s="161">
        <f>SUM('Balance Sheet'!D16:D16)</f>
        <v>-28.000999999999976</v>
      </c>
      <c r="D84" s="161">
        <f>'Balance Sheet'!E16</f>
        <v>-25.834999999999923</v>
      </c>
      <c r="E84" s="161">
        <f ca="1">'Balance Sheet'!F16</f>
        <v>151.40599999999961</v>
      </c>
      <c r="F84" s="161">
        <f ca="1">'Balance Sheet'!G16</f>
        <v>123.48911111111124</v>
      </c>
      <c r="G84" s="161">
        <f ca="1">'Balance Sheet'!H16</f>
        <v>107.98979259259283</v>
      </c>
      <c r="H84" s="162">
        <f ca="1">'Balance Sheet'!I16</f>
        <v>149.66702123456798</v>
      </c>
      <c r="I84"/>
      <c r="J84"/>
    </row>
    <row r="85" spans="1:10" x14ac:dyDescent="0.2">
      <c r="A85" s="293" t="s">
        <v>38</v>
      </c>
      <c r="B85" s="318">
        <v>0</v>
      </c>
      <c r="C85" s="318">
        <v>-1.9584892116571641E-2</v>
      </c>
      <c r="D85" s="318">
        <f ca="1">D84/D5</f>
        <v>-1.3725946899937126E-2</v>
      </c>
      <c r="E85" s="318">
        <f t="shared" ref="E85:H85" ca="1" si="39">E84/E5</f>
        <v>6.1014667304502952E-2</v>
      </c>
      <c r="F85" s="318">
        <f t="shared" ca="1" si="39"/>
        <v>3.8118806357404666E-2</v>
      </c>
      <c r="G85" s="318">
        <f t="shared" ca="1" si="39"/>
        <v>2.7217497213194733E-2</v>
      </c>
      <c r="H85" s="352">
        <f t="shared" ca="1" si="39"/>
        <v>3.2748216570835958E-2</v>
      </c>
      <c r="I85"/>
      <c r="J85"/>
    </row>
    <row r="86" spans="1:10" x14ac:dyDescent="0.2">
      <c r="A86" s="110"/>
      <c r="B86" s="121"/>
      <c r="C86" s="121"/>
      <c r="D86" s="121"/>
      <c r="E86" s="121"/>
      <c r="F86" s="121"/>
      <c r="G86" s="121"/>
      <c r="H86" s="122"/>
    </row>
    <row r="87" spans="1:10" x14ac:dyDescent="0.2">
      <c r="A87" s="111" t="s">
        <v>39</v>
      </c>
      <c r="B87" s="218">
        <v>0</v>
      </c>
      <c r="C87" s="145">
        <v>116.57799999999996</v>
      </c>
      <c r="D87" s="146">
        <f ca="1">D37-D84+D42 +D55</f>
        <v>488.33286564977891</v>
      </c>
      <c r="E87" s="146">
        <f ca="1">E37-E84+E42 +E55</f>
        <v>517.20808619608181</v>
      </c>
      <c r="F87" s="146">
        <f ca="1">F37-F84+F42 +F55</f>
        <v>810.82367835556147</v>
      </c>
      <c r="G87" s="146">
        <f ca="1">G37-G84+G42 +G55</f>
        <v>1029.3065023776189</v>
      </c>
      <c r="H87" s="147">
        <f ca="1">H37-H84+H42 +H55</f>
        <v>1155.1070041408166</v>
      </c>
    </row>
    <row r="88" spans="1:10" x14ac:dyDescent="0.2">
      <c r="A88" s="270" t="s">
        <v>330</v>
      </c>
      <c r="B88" s="89"/>
    </row>
    <row r="89" spans="1:10" x14ac:dyDescent="0.2">
      <c r="A89" s="112"/>
    </row>
    <row r="90" spans="1:10" x14ac:dyDescent="0.2">
      <c r="A90" s="112"/>
    </row>
    <row r="91" spans="1:10" x14ac:dyDescent="0.2">
      <c r="A91" s="112"/>
    </row>
    <row r="92" spans="1:10" x14ac:dyDescent="0.2">
      <c r="A92" s="113"/>
    </row>
    <row r="93" spans="1:10" x14ac:dyDescent="0.2">
      <c r="A93" s="112"/>
    </row>
    <row r="94" spans="1:10" x14ac:dyDescent="0.2">
      <c r="A94" s="112"/>
    </row>
    <row r="95" spans="1:10" x14ac:dyDescent="0.2">
      <c r="A95" s="112"/>
    </row>
    <row r="96" spans="1:10" x14ac:dyDescent="0.2">
      <c r="A96" s="112"/>
    </row>
    <row r="97" spans="1:1" x14ac:dyDescent="0.2">
      <c r="A97" s="112"/>
    </row>
    <row r="98" spans="1:1" x14ac:dyDescent="0.2">
      <c r="A98" s="112"/>
    </row>
    <row r="99" spans="1:1" x14ac:dyDescent="0.2">
      <c r="A99" s="112"/>
    </row>
    <row r="100" spans="1:1" x14ac:dyDescent="0.2">
      <c r="A100" s="112"/>
    </row>
    <row r="101" spans="1:1" x14ac:dyDescent="0.2">
      <c r="A101" s="112"/>
    </row>
    <row r="102" spans="1:1" x14ac:dyDescent="0.2">
      <c r="A102" s="112"/>
    </row>
    <row r="103" spans="1:1" x14ac:dyDescent="0.2">
      <c r="A103" s="113"/>
    </row>
    <row r="114" spans="1:1" x14ac:dyDescent="0.2">
      <c r="A114" s="31"/>
    </row>
    <row r="121" spans="1:1" x14ac:dyDescent="0.2">
      <c r="A121" s="31"/>
    </row>
    <row r="128" spans="1:1" x14ac:dyDescent="0.2">
      <c r="A128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5550-A920-F141-A95B-BB6A8409FDC9}">
  <dimension ref="B2:I54"/>
  <sheetViews>
    <sheetView showGridLines="0" topLeftCell="A5" zoomScaleNormal="100" workbookViewId="0">
      <selection activeCell="D11" sqref="D11"/>
    </sheetView>
  </sheetViews>
  <sheetFormatPr baseColWidth="10" defaultColWidth="10.5" defaultRowHeight="16" x14ac:dyDescent="0.2"/>
  <cols>
    <col min="2" max="2" width="35.33203125" customWidth="1"/>
  </cols>
  <sheetData>
    <row r="2" spans="2:9" ht="34" x14ac:dyDescent="0.2">
      <c r="B2" s="45" t="s">
        <v>43</v>
      </c>
      <c r="C2" s="320">
        <v>2022</v>
      </c>
      <c r="D2" s="320">
        <v>2023</v>
      </c>
      <c r="E2" s="320">
        <v>2024</v>
      </c>
      <c r="F2" s="320">
        <v>2025</v>
      </c>
      <c r="G2" s="320">
        <v>2026</v>
      </c>
      <c r="H2" s="320">
        <v>2027</v>
      </c>
      <c r="I2" s="342">
        <v>2028</v>
      </c>
    </row>
    <row r="3" spans="2:9" ht="17" x14ac:dyDescent="0.2">
      <c r="B3" s="46" t="s">
        <v>302</v>
      </c>
      <c r="C3" s="47" t="s">
        <v>362</v>
      </c>
      <c r="D3" s="47" t="s">
        <v>362</v>
      </c>
      <c r="E3" s="47" t="s">
        <v>362</v>
      </c>
      <c r="F3" s="47" t="s">
        <v>362</v>
      </c>
      <c r="G3" s="47" t="s">
        <v>362</v>
      </c>
      <c r="H3" s="47" t="s">
        <v>362</v>
      </c>
      <c r="I3" s="343" t="s">
        <v>362</v>
      </c>
    </row>
    <row r="4" spans="2:9" x14ac:dyDescent="0.2">
      <c r="B4" s="348" t="s">
        <v>44</v>
      </c>
      <c r="C4" s="349"/>
      <c r="D4" s="349"/>
      <c r="E4" s="349"/>
      <c r="F4" s="350"/>
      <c r="G4" s="350"/>
      <c r="H4" s="350"/>
      <c r="I4" s="351"/>
    </row>
    <row r="5" spans="2:9" x14ac:dyDescent="0.2">
      <c r="B5" s="291" t="s">
        <v>45</v>
      </c>
      <c r="C5" s="317">
        <v>171.66300000000001</v>
      </c>
      <c r="D5" s="317">
        <v>169.37899999999999</v>
      </c>
      <c r="E5" s="317">
        <v>404.34699999999998</v>
      </c>
      <c r="F5" s="23">
        <f ca="1">E5+'Income Statement - FCF'!E82</f>
        <v>436.58334000000002</v>
      </c>
      <c r="G5" s="23">
        <f ca="1">F5+'Income Statement - FCF'!F82</f>
        <v>485.24084700000014</v>
      </c>
      <c r="H5" s="23">
        <f ca="1">G5+'Income Statement - FCF'!G82</f>
        <v>529.13714601666697</v>
      </c>
      <c r="I5" s="86">
        <f ca="1">H5+'Income Statement - FCF'!H82</f>
        <v>579.67148887305598</v>
      </c>
    </row>
    <row r="6" spans="2:9" x14ac:dyDescent="0.2">
      <c r="B6" s="293"/>
      <c r="C6" s="300"/>
      <c r="D6" s="300"/>
      <c r="E6" s="300"/>
      <c r="I6" s="1"/>
    </row>
    <row r="7" spans="2:9" x14ac:dyDescent="0.2">
      <c r="B7" s="293" t="s">
        <v>46</v>
      </c>
      <c r="C7" s="301">
        <v>171.56100000000001</v>
      </c>
      <c r="D7" s="301">
        <v>79.497</v>
      </c>
      <c r="E7" s="301">
        <v>201.488</v>
      </c>
      <c r="F7" s="23">
        <f>E7-'Income Statement - FCF'!E48</f>
        <v>223.05466666666666</v>
      </c>
      <c r="G7" s="23">
        <f>F7-'Income Statement - FCF'!F48</f>
        <v>244.62133333333333</v>
      </c>
      <c r="H7" s="23">
        <f>G7-'Income Statement - FCF'!G48</f>
        <v>266.18799999999999</v>
      </c>
      <c r="I7" s="86">
        <f>H7-'Income Statement - FCF'!H48</f>
        <v>287.75466666666665</v>
      </c>
    </row>
    <row r="8" spans="2:9" x14ac:dyDescent="0.2">
      <c r="B8" s="293" t="s">
        <v>47</v>
      </c>
      <c r="C8" s="301">
        <v>13.657999999999999</v>
      </c>
      <c r="D8" s="301">
        <v>10.108000000000001</v>
      </c>
      <c r="E8" s="301">
        <v>8.968</v>
      </c>
      <c r="F8" s="325">
        <f>E8</f>
        <v>8.968</v>
      </c>
      <c r="G8" s="325">
        <f t="shared" ref="G8:I8" si="0">F8</f>
        <v>8.968</v>
      </c>
      <c r="H8" s="325">
        <f t="shared" si="0"/>
        <v>8.968</v>
      </c>
      <c r="I8" s="344">
        <f t="shared" si="0"/>
        <v>8.968</v>
      </c>
    </row>
    <row r="9" spans="2:9" x14ac:dyDescent="0.2">
      <c r="B9" s="291" t="s">
        <v>48</v>
      </c>
      <c r="C9" s="317">
        <v>185.21899999999999</v>
      </c>
      <c r="D9" s="317">
        <v>89.605000000000004</v>
      </c>
      <c r="E9" s="317">
        <v>210.45599999999999</v>
      </c>
      <c r="F9" s="23">
        <f>SUM(F7:F8)</f>
        <v>232.02266666666665</v>
      </c>
      <c r="G9" s="23">
        <f t="shared" ref="G9:I9" si="1">SUM(G7:G8)</f>
        <v>253.58933333333331</v>
      </c>
      <c r="H9" s="23">
        <f t="shared" si="1"/>
        <v>275.15600000000001</v>
      </c>
      <c r="I9" s="86">
        <f t="shared" si="1"/>
        <v>296.72266666666667</v>
      </c>
    </row>
    <row r="10" spans="2:9" x14ac:dyDescent="0.2">
      <c r="B10" s="293"/>
      <c r="C10" s="300"/>
      <c r="D10" s="300"/>
      <c r="E10" s="300"/>
      <c r="I10" s="1"/>
    </row>
    <row r="11" spans="2:9" x14ac:dyDescent="0.2">
      <c r="B11" s="293" t="s">
        <v>49</v>
      </c>
      <c r="C11" s="301">
        <v>588.40599999999995</v>
      </c>
      <c r="D11" s="301">
        <v>644.36699999999996</v>
      </c>
      <c r="E11" s="301">
        <v>619.125</v>
      </c>
      <c r="F11" s="23">
        <f>E11-'Income Statement - FCF'!E49</f>
        <v>710.44499999999994</v>
      </c>
      <c r="G11" s="23">
        <f>F11-'Income Statement - FCF'!F49</f>
        <v>799.19699999999989</v>
      </c>
      <c r="H11" s="23">
        <f>G11-'Income Statement - FCF'!G49</f>
        <v>907.24019999999985</v>
      </c>
      <c r="I11" s="86">
        <f>H11-'Income Statement - FCF'!H49</f>
        <v>1025.3173199999999</v>
      </c>
    </row>
    <row r="12" spans="2:9" ht="17" x14ac:dyDescent="0.2">
      <c r="B12" s="293" t="s">
        <v>50</v>
      </c>
      <c r="C12" s="301" t="s">
        <v>21</v>
      </c>
      <c r="D12" s="301" t="s">
        <v>21</v>
      </c>
      <c r="E12" s="301" t="s">
        <v>21</v>
      </c>
      <c r="I12" s="1"/>
    </row>
    <row r="13" spans="2:9" x14ac:dyDescent="0.2">
      <c r="B13" s="293" t="s">
        <v>51</v>
      </c>
      <c r="C13" s="301">
        <v>33.304000000000002</v>
      </c>
      <c r="D13" s="301">
        <v>37.987000000000002</v>
      </c>
      <c r="E13" s="301">
        <v>33.093000000000004</v>
      </c>
      <c r="F13" s="325">
        <f>E13</f>
        <v>33.093000000000004</v>
      </c>
      <c r="G13" s="325">
        <f t="shared" ref="G13:I13" si="2">F13</f>
        <v>33.093000000000004</v>
      </c>
      <c r="H13" s="325">
        <f t="shared" si="2"/>
        <v>33.093000000000004</v>
      </c>
      <c r="I13" s="344">
        <f t="shared" si="2"/>
        <v>33.093000000000004</v>
      </c>
    </row>
    <row r="14" spans="2:9" x14ac:dyDescent="0.2">
      <c r="B14" s="291" t="s">
        <v>52</v>
      </c>
      <c r="C14" s="317">
        <v>978.59199999999998</v>
      </c>
      <c r="D14" s="317">
        <v>941.33799999999997</v>
      </c>
      <c r="E14" s="317">
        <v>1267.021</v>
      </c>
      <c r="F14" s="23">
        <f ca="1">SUM(F9:F13, F5)</f>
        <v>1412.1440066666664</v>
      </c>
      <c r="G14" s="23">
        <f t="shared" ref="G14:I14" ca="1" si="3">SUM(G9:G13, G5)</f>
        <v>1571.1201803333333</v>
      </c>
      <c r="H14" s="23">
        <f t="shared" ca="1" si="3"/>
        <v>1744.626346016667</v>
      </c>
      <c r="I14" s="86">
        <f t="shared" ca="1" si="3"/>
        <v>1934.8044755397227</v>
      </c>
    </row>
    <row r="15" spans="2:9" x14ac:dyDescent="0.2">
      <c r="B15" s="291" t="s">
        <v>53</v>
      </c>
      <c r="C15" s="317">
        <f>C14-C34-C5</f>
        <v>481.33399999999995</v>
      </c>
      <c r="D15" s="317">
        <f>D14-D34-D5</f>
        <v>453.33299999999997</v>
      </c>
      <c r="E15" s="317">
        <f>E14-E34-E5</f>
        <v>427.49800000000005</v>
      </c>
      <c r="F15" s="317">
        <f ca="1">F14-F34-F5</f>
        <v>578.90399999999966</v>
      </c>
      <c r="G15" s="317">
        <f t="shared" ref="G15:I15" ca="1" si="4">G14-G34-G5</f>
        <v>702.3931111111109</v>
      </c>
      <c r="H15" s="317">
        <f t="shared" ca="1" si="4"/>
        <v>810.38290370370373</v>
      </c>
      <c r="I15" s="334">
        <f t="shared" ca="1" si="4"/>
        <v>960.04992493827172</v>
      </c>
    </row>
    <row r="16" spans="2:9" x14ac:dyDescent="0.2">
      <c r="B16" s="291" t="s">
        <v>37</v>
      </c>
      <c r="C16" s="317"/>
      <c r="D16" s="317">
        <f>D15-C15</f>
        <v>-28.000999999999976</v>
      </c>
      <c r="E16" s="317">
        <f t="shared" ref="E16" si="5">E15-D15</f>
        <v>-25.834999999999923</v>
      </c>
      <c r="F16" s="317">
        <f ca="1">F15-E15</f>
        <v>151.40599999999961</v>
      </c>
      <c r="G16" s="317">
        <f t="shared" ref="G16" ca="1" si="6">G15-F15</f>
        <v>123.48911111111124</v>
      </c>
      <c r="H16" s="317">
        <f t="shared" ref="H16" ca="1" si="7">H15-G15</f>
        <v>107.98979259259283</v>
      </c>
      <c r="I16" s="334">
        <f t="shared" ref="I16" ca="1" si="8">I15-H15</f>
        <v>149.66702123456798</v>
      </c>
    </row>
    <row r="17" spans="2:9" x14ac:dyDescent="0.2">
      <c r="B17" s="293"/>
      <c r="C17" s="300"/>
      <c r="D17" s="300"/>
      <c r="E17" s="300"/>
      <c r="I17" s="1"/>
    </row>
    <row r="18" spans="2:9" x14ac:dyDescent="0.2">
      <c r="B18" s="291" t="s">
        <v>54</v>
      </c>
      <c r="C18" s="317">
        <v>349.334</v>
      </c>
      <c r="D18" s="317">
        <v>443.548</v>
      </c>
      <c r="E18" s="317">
        <v>475.38099999999997</v>
      </c>
      <c r="F18" s="23">
        <f ca="1">E18-'Income Statement - FCF'!E42 -'Income Statement - FCF'!E55</f>
        <v>475.38099999999997</v>
      </c>
      <c r="G18" s="23">
        <f ca="1">F18-'Income Statement - FCF'!F42 -'Income Statement - FCF'!F55</f>
        <v>475.38099999999997</v>
      </c>
      <c r="H18" s="23">
        <f ca="1">G18-'Income Statement - FCF'!G42 -'Income Statement - FCF'!G55</f>
        <v>475.38099999999997</v>
      </c>
      <c r="I18" s="86">
        <f ca="1">H18-'Income Statement - FCF'!H42 -'Income Statement - FCF'!H55</f>
        <v>475.38099999999997</v>
      </c>
    </row>
    <row r="19" spans="2:9" x14ac:dyDescent="0.2">
      <c r="B19" s="293"/>
      <c r="C19" s="300"/>
      <c r="D19" s="300"/>
      <c r="E19" s="300"/>
      <c r="I19" s="1"/>
    </row>
    <row r="20" spans="2:9" x14ac:dyDescent="0.2">
      <c r="B20" s="293" t="s">
        <v>55</v>
      </c>
      <c r="C20" s="301">
        <v>1586.299</v>
      </c>
      <c r="D20" s="301">
        <v>1564.7909999999999</v>
      </c>
      <c r="E20" s="301">
        <v>1581.085</v>
      </c>
      <c r="F20" s="325">
        <f>E20</f>
        <v>1581.085</v>
      </c>
      <c r="G20" s="325">
        <f t="shared" ref="G20:I20" si="9">F20</f>
        <v>1581.085</v>
      </c>
      <c r="H20" s="325">
        <f t="shared" si="9"/>
        <v>1581.085</v>
      </c>
      <c r="I20" s="344">
        <f t="shared" si="9"/>
        <v>1581.085</v>
      </c>
    </row>
    <row r="21" spans="2:9" x14ac:dyDescent="0.2">
      <c r="B21" s="293" t="s">
        <v>56</v>
      </c>
      <c r="C21" s="301">
        <v>1695.875</v>
      </c>
      <c r="D21" s="301">
        <v>1661.2239999999999</v>
      </c>
      <c r="E21" s="301">
        <v>1681.432</v>
      </c>
      <c r="F21" s="325">
        <f>E21</f>
        <v>1681.432</v>
      </c>
      <c r="G21" s="325">
        <f t="shared" ref="G21:I21" si="10">F21</f>
        <v>1681.432</v>
      </c>
      <c r="H21" s="325">
        <f t="shared" si="10"/>
        <v>1681.432</v>
      </c>
      <c r="I21" s="344">
        <f t="shared" si="10"/>
        <v>1681.432</v>
      </c>
    </row>
    <row r="22" spans="2:9" ht="17" x14ac:dyDescent="0.2">
      <c r="B22" s="293" t="s">
        <v>57</v>
      </c>
      <c r="C22" s="301">
        <v>2.992</v>
      </c>
      <c r="D22" s="301" t="s">
        <v>21</v>
      </c>
      <c r="E22" s="301" t="s">
        <v>21</v>
      </c>
      <c r="I22" s="1"/>
    </row>
    <row r="23" spans="2:9" x14ac:dyDescent="0.2">
      <c r="B23" s="293" t="s">
        <v>58</v>
      </c>
      <c r="C23" s="301">
        <v>22.056999999999999</v>
      </c>
      <c r="D23" s="301">
        <v>52.045000000000002</v>
      </c>
      <c r="E23" s="301">
        <v>37.284999999999997</v>
      </c>
      <c r="F23" s="325">
        <f>E23</f>
        <v>37.284999999999997</v>
      </c>
      <c r="G23" s="325">
        <f t="shared" ref="G23:I23" si="11">F23</f>
        <v>37.284999999999997</v>
      </c>
      <c r="H23" s="325">
        <f t="shared" si="11"/>
        <v>37.284999999999997</v>
      </c>
      <c r="I23" s="344">
        <f t="shared" si="11"/>
        <v>37.284999999999997</v>
      </c>
    </row>
    <row r="24" spans="2:9" x14ac:dyDescent="0.2">
      <c r="B24" s="291" t="s">
        <v>59</v>
      </c>
      <c r="C24" s="321">
        <v>4635.1490000000003</v>
      </c>
      <c r="D24" s="321">
        <v>4662.9459999999999</v>
      </c>
      <c r="E24" s="321">
        <v>5042.2039999999997</v>
      </c>
      <c r="F24" s="23">
        <f ca="1">SUM(F14:F23)</f>
        <v>5917.637006666665</v>
      </c>
      <c r="G24" s="23">
        <f t="shared" ref="G24:I24" ca="1" si="12">SUM(G14:G23)</f>
        <v>6172.1854025555558</v>
      </c>
      <c r="H24" s="23">
        <f t="shared" ca="1" si="12"/>
        <v>6438.1820423129629</v>
      </c>
      <c r="I24" s="86">
        <f t="shared" ca="1" si="12"/>
        <v>6819.7044217125613</v>
      </c>
    </row>
    <row r="25" spans="2:9" x14ac:dyDescent="0.2">
      <c r="B25" s="293"/>
      <c r="C25" s="300"/>
      <c r="D25" s="300"/>
      <c r="E25" s="300"/>
      <c r="I25" s="1"/>
    </row>
    <row r="26" spans="2:9" x14ac:dyDescent="0.2">
      <c r="B26" s="348" t="s">
        <v>60</v>
      </c>
      <c r="C26" s="349"/>
      <c r="D26" s="349"/>
      <c r="E26" s="349"/>
      <c r="F26" s="350"/>
      <c r="G26" s="350"/>
      <c r="H26" s="350"/>
      <c r="I26" s="351"/>
    </row>
    <row r="27" spans="2:9" x14ac:dyDescent="0.2">
      <c r="B27" s="293" t="s">
        <v>61</v>
      </c>
      <c r="C27" s="301">
        <v>106.389</v>
      </c>
      <c r="D27" s="301">
        <v>104.21899999999999</v>
      </c>
      <c r="E27" s="301">
        <v>146.762</v>
      </c>
      <c r="F27" s="23">
        <f>E27+'Income Statement - FCF'!E50</f>
        <v>155.98099999999999</v>
      </c>
      <c r="G27" s="23">
        <f>F27+'Income Statement - FCF'!F50</f>
        <v>164.53933333333333</v>
      </c>
      <c r="H27" s="23">
        <f>G27+'Income Statement - FCF'!G50</f>
        <v>172.40111111111111</v>
      </c>
      <c r="I27" s="86">
        <f>H27+'Income Statement - FCF'!H50</f>
        <v>180.94748148148147</v>
      </c>
    </row>
    <row r="28" spans="2:9" x14ac:dyDescent="0.2">
      <c r="B28" s="293" t="s">
        <v>62</v>
      </c>
      <c r="C28" s="301">
        <v>27.553999999999998</v>
      </c>
      <c r="D28" s="301">
        <v>23.056999999999999</v>
      </c>
      <c r="E28" s="301">
        <v>35.012999999999998</v>
      </c>
      <c r="F28" s="325">
        <f>AVERAGE(C28:E28)</f>
        <v>28.541333333333331</v>
      </c>
      <c r="G28" s="325">
        <f t="shared" ref="G28:I34" si="13">AVERAGE(D28:F28)</f>
        <v>28.870444444444441</v>
      </c>
      <c r="H28" s="325">
        <f t="shared" si="13"/>
        <v>30.808259259259259</v>
      </c>
      <c r="I28" s="344">
        <f t="shared" si="13"/>
        <v>29.406679012345677</v>
      </c>
    </row>
    <row r="29" spans="2:9" x14ac:dyDescent="0.2">
      <c r="B29" s="293" t="s">
        <v>63</v>
      </c>
      <c r="C29" s="301">
        <v>42.093000000000004</v>
      </c>
      <c r="D29" s="301">
        <v>23.888000000000002</v>
      </c>
      <c r="E29" s="301">
        <v>22.414999999999999</v>
      </c>
      <c r="F29" s="325">
        <f t="shared" ref="F29:F33" si="14">AVERAGE(C29:E29)</f>
        <v>29.465333333333337</v>
      </c>
      <c r="G29" s="325">
        <f t="shared" si="13"/>
        <v>25.25611111111111</v>
      </c>
      <c r="H29" s="325">
        <f t="shared" si="13"/>
        <v>25.712148148148149</v>
      </c>
      <c r="I29" s="344">
        <f t="shared" si="13"/>
        <v>26.811197530864195</v>
      </c>
    </row>
    <row r="30" spans="2:9" x14ac:dyDescent="0.2">
      <c r="B30" s="293" t="s">
        <v>64</v>
      </c>
      <c r="C30" s="301">
        <v>26.077999999999999</v>
      </c>
      <c r="D30" s="301">
        <v>31.780999999999999</v>
      </c>
      <c r="E30" s="301">
        <v>34.732999999999997</v>
      </c>
      <c r="F30" s="325">
        <f t="shared" si="14"/>
        <v>30.863999999999994</v>
      </c>
      <c r="G30" s="325">
        <f t="shared" si="13"/>
        <v>32.459333333333326</v>
      </c>
      <c r="H30" s="325">
        <f t="shared" si="13"/>
        <v>32.685444444444443</v>
      </c>
      <c r="I30" s="344">
        <f t="shared" si="13"/>
        <v>32.002925925925922</v>
      </c>
    </row>
    <row r="31" spans="2:9" x14ac:dyDescent="0.2">
      <c r="B31" s="293" t="s">
        <v>65</v>
      </c>
      <c r="C31" s="301">
        <v>67.438000000000002</v>
      </c>
      <c r="D31" s="301">
        <v>83.659000000000006</v>
      </c>
      <c r="E31" s="301">
        <v>132.309</v>
      </c>
      <c r="F31" s="325">
        <f t="shared" si="14"/>
        <v>94.468666666666664</v>
      </c>
      <c r="G31" s="325">
        <f t="shared" si="13"/>
        <v>103.47888888888889</v>
      </c>
      <c r="H31" s="325">
        <f t="shared" si="13"/>
        <v>110.08551851851853</v>
      </c>
      <c r="I31" s="344">
        <f t="shared" si="13"/>
        <v>102.67769135802469</v>
      </c>
    </row>
    <row r="32" spans="2:9" x14ac:dyDescent="0.2">
      <c r="B32" s="293" t="s">
        <v>66</v>
      </c>
      <c r="C32" s="301">
        <v>4.0250000000000004</v>
      </c>
      <c r="D32" s="301">
        <v>14.994999999999999</v>
      </c>
      <c r="E32" s="301">
        <v>10.374000000000001</v>
      </c>
      <c r="F32" s="325">
        <f t="shared" si="14"/>
        <v>9.798</v>
      </c>
      <c r="G32" s="325">
        <f t="shared" si="13"/>
        <v>11.722333333333333</v>
      </c>
      <c r="H32" s="325">
        <f t="shared" si="13"/>
        <v>10.631444444444446</v>
      </c>
      <c r="I32" s="344">
        <f t="shared" si="13"/>
        <v>10.71725925925926</v>
      </c>
    </row>
    <row r="33" spans="2:9" x14ac:dyDescent="0.2">
      <c r="B33" s="293" t="s">
        <v>67</v>
      </c>
      <c r="C33" s="301">
        <v>52.018000000000001</v>
      </c>
      <c r="D33" s="301">
        <v>37.027000000000001</v>
      </c>
      <c r="E33" s="301">
        <v>53.57</v>
      </c>
      <c r="F33" s="325">
        <f t="shared" si="14"/>
        <v>47.538333333333334</v>
      </c>
      <c r="G33" s="325">
        <f t="shared" si="13"/>
        <v>46.045111111111112</v>
      </c>
      <c r="H33" s="325">
        <f t="shared" si="13"/>
        <v>49.051148148148151</v>
      </c>
      <c r="I33" s="344">
        <f t="shared" si="13"/>
        <v>47.544864197530863</v>
      </c>
    </row>
    <row r="34" spans="2:9" x14ac:dyDescent="0.2">
      <c r="B34" s="291" t="s">
        <v>68</v>
      </c>
      <c r="C34" s="317">
        <v>325.59500000000003</v>
      </c>
      <c r="D34" s="317">
        <v>318.62599999999998</v>
      </c>
      <c r="E34" s="317">
        <v>435.17599999999999</v>
      </c>
      <c r="F34" s="326">
        <f>SUM(F27:F33)</f>
        <v>396.65666666666669</v>
      </c>
      <c r="G34" s="327">
        <f t="shared" si="13"/>
        <v>383.48622222222224</v>
      </c>
      <c r="H34" s="327">
        <f t="shared" si="13"/>
        <v>405.10629629629631</v>
      </c>
      <c r="I34" s="345">
        <f t="shared" si="13"/>
        <v>395.08306172839508</v>
      </c>
    </row>
    <row r="35" spans="2:9" x14ac:dyDescent="0.2">
      <c r="B35" s="293"/>
      <c r="C35" s="300"/>
      <c r="D35" s="300"/>
      <c r="E35" s="300"/>
      <c r="I35" s="1"/>
    </row>
    <row r="36" spans="2:9" x14ac:dyDescent="0.2">
      <c r="B36" s="293" t="s">
        <v>69</v>
      </c>
      <c r="C36" s="301">
        <v>1831.91</v>
      </c>
      <c r="D36" s="301">
        <v>1292.7850000000001</v>
      </c>
      <c r="E36" s="301">
        <v>1325.221</v>
      </c>
      <c r="F36" s="23">
        <f>E36*1.4</f>
        <v>1855.3093999999999</v>
      </c>
      <c r="G36" s="23">
        <f t="shared" ref="G36:I36" si="15">F36*1.1</f>
        <v>2040.84034</v>
      </c>
      <c r="H36" s="23">
        <f t="shared" si="15"/>
        <v>2244.9243740000002</v>
      </c>
      <c r="I36" s="86">
        <f t="shared" si="15"/>
        <v>2469.4168114000004</v>
      </c>
    </row>
    <row r="37" spans="2:9" x14ac:dyDescent="0.2">
      <c r="B37" s="293" t="s">
        <v>70</v>
      </c>
      <c r="C37" s="301">
        <v>84.998999999999995</v>
      </c>
      <c r="D37" s="301">
        <v>124.319</v>
      </c>
      <c r="E37" s="301">
        <v>138.56100000000001</v>
      </c>
      <c r="F37" s="325">
        <f>E37*1.3</f>
        <v>180.12930000000003</v>
      </c>
      <c r="G37" s="325">
        <f>F37</f>
        <v>180.12930000000003</v>
      </c>
      <c r="H37" s="325">
        <f t="shared" ref="H37:I37" si="16">G37</f>
        <v>180.12930000000003</v>
      </c>
      <c r="I37" s="344">
        <f t="shared" si="16"/>
        <v>180.12930000000003</v>
      </c>
    </row>
    <row r="38" spans="2:9" ht="17" x14ac:dyDescent="0.2">
      <c r="B38" s="293" t="s">
        <v>71</v>
      </c>
      <c r="C38" s="301" t="s">
        <v>21</v>
      </c>
      <c r="D38" s="301">
        <v>13.298999999999999</v>
      </c>
      <c r="E38" s="301">
        <v>13.672000000000001</v>
      </c>
      <c r="F38" s="325">
        <f>E38</f>
        <v>13.672000000000001</v>
      </c>
      <c r="G38" s="325">
        <f t="shared" ref="G38:G40" si="17">AVERAGE(D38:F38)</f>
        <v>13.547666666666666</v>
      </c>
      <c r="H38" s="325">
        <f t="shared" ref="H38:H40" si="18">AVERAGE(E38:G38)</f>
        <v>13.630555555555555</v>
      </c>
      <c r="I38" s="344">
        <f t="shared" ref="I38:I40" si="19">AVERAGE(F38:H38)</f>
        <v>13.61674074074074</v>
      </c>
    </row>
    <row r="39" spans="2:9" x14ac:dyDescent="0.2">
      <c r="B39" s="293" t="s">
        <v>72</v>
      </c>
      <c r="C39" s="301">
        <v>2.2799999999999998</v>
      </c>
      <c r="D39" s="301">
        <v>2.7450000000000001</v>
      </c>
      <c r="E39" s="301">
        <v>2.9329999999999998</v>
      </c>
      <c r="F39" s="325">
        <f t="shared" ref="F39:F40" si="20">AVERAGE(C39:E39)</f>
        <v>2.6526666666666667</v>
      </c>
      <c r="G39" s="325">
        <f t="shared" si="17"/>
        <v>2.7768888888888887</v>
      </c>
      <c r="H39" s="325">
        <f t="shared" si="18"/>
        <v>2.7875185185185187</v>
      </c>
      <c r="I39" s="344">
        <f t="shared" si="19"/>
        <v>2.7390246913580252</v>
      </c>
    </row>
    <row r="40" spans="2:9" x14ac:dyDescent="0.2">
      <c r="B40" s="293" t="s">
        <v>73</v>
      </c>
      <c r="C40" s="301">
        <v>83.054000000000002</v>
      </c>
      <c r="D40" s="301">
        <v>109.54300000000001</v>
      </c>
      <c r="E40" s="301">
        <v>124.84099999999999</v>
      </c>
      <c r="F40" s="325">
        <f t="shared" si="20"/>
        <v>105.81266666666666</v>
      </c>
      <c r="G40" s="325">
        <f t="shared" si="17"/>
        <v>113.39888888888889</v>
      </c>
      <c r="H40" s="325">
        <f t="shared" si="18"/>
        <v>114.68418518518519</v>
      </c>
      <c r="I40" s="344">
        <f t="shared" si="19"/>
        <v>111.29858024691357</v>
      </c>
    </row>
    <row r="41" spans="2:9" x14ac:dyDescent="0.2">
      <c r="B41" s="293" t="s">
        <v>74</v>
      </c>
      <c r="C41" s="301">
        <v>5.6840000000000002</v>
      </c>
      <c r="D41" s="301">
        <v>339.69900000000001</v>
      </c>
      <c r="E41" s="301">
        <v>360.57799999999997</v>
      </c>
      <c r="F41" s="325">
        <f>AVERAGE(D41:E41)</f>
        <v>350.13850000000002</v>
      </c>
      <c r="G41" s="325">
        <f t="shared" ref="G41:I41" si="21">AVERAGE(E41:F41)</f>
        <v>355.35825</v>
      </c>
      <c r="H41" s="325">
        <f t="shared" si="21"/>
        <v>352.74837500000001</v>
      </c>
      <c r="I41" s="344">
        <f t="shared" si="21"/>
        <v>354.0533125</v>
      </c>
    </row>
    <row r="42" spans="2:9" x14ac:dyDescent="0.2">
      <c r="B42" s="291" t="s">
        <v>75</v>
      </c>
      <c r="C42" s="317">
        <v>2333.5219999999999</v>
      </c>
      <c r="D42" s="317">
        <v>2201.0160000000001</v>
      </c>
      <c r="E42" s="317">
        <v>2400.982</v>
      </c>
      <c r="F42" s="325">
        <f>SUM(F36:F41)+F34</f>
        <v>2904.3712</v>
      </c>
      <c r="G42" s="325">
        <f t="shared" ref="G42:I42" si="22">SUM(G36:G41)+G34</f>
        <v>3089.5375566666667</v>
      </c>
      <c r="H42" s="325">
        <f t="shared" si="22"/>
        <v>3314.0106045555558</v>
      </c>
      <c r="I42" s="344">
        <f t="shared" si="22"/>
        <v>3526.3368313074075</v>
      </c>
    </row>
    <row r="43" spans="2:9" x14ac:dyDescent="0.2">
      <c r="B43" s="293"/>
      <c r="C43" s="300"/>
      <c r="D43" s="300"/>
      <c r="E43" s="300"/>
      <c r="I43" s="1"/>
    </row>
    <row r="44" spans="2:9" ht="17" x14ac:dyDescent="0.2">
      <c r="B44" s="293" t="s">
        <v>76</v>
      </c>
      <c r="C44" s="301">
        <v>182.721</v>
      </c>
      <c r="D44" s="301" t="s">
        <v>21</v>
      </c>
      <c r="E44" s="301" t="s">
        <v>21</v>
      </c>
      <c r="I44" s="1"/>
    </row>
    <row r="45" spans="2:9" x14ac:dyDescent="0.2">
      <c r="B45" s="293" t="s">
        <v>77</v>
      </c>
      <c r="C45" s="301">
        <v>1894.384</v>
      </c>
      <c r="D45" s="301">
        <v>2524.2310000000002</v>
      </c>
      <c r="E45" s="301">
        <v>2524.27</v>
      </c>
      <c r="F45" s="325">
        <f>E45</f>
        <v>2524.27</v>
      </c>
      <c r="G45" s="325">
        <f t="shared" ref="G45:I45" si="23">F45</f>
        <v>2524.27</v>
      </c>
      <c r="H45" s="325">
        <f t="shared" si="23"/>
        <v>2524.27</v>
      </c>
      <c r="I45" s="344">
        <f t="shared" si="23"/>
        <v>2524.27</v>
      </c>
    </row>
    <row r="46" spans="2:9" x14ac:dyDescent="0.2">
      <c r="B46" s="293" t="s">
        <v>78</v>
      </c>
      <c r="C46" s="301">
        <v>191.161</v>
      </c>
      <c r="D46" s="301">
        <v>218.822</v>
      </c>
      <c r="E46" s="301">
        <v>365.113</v>
      </c>
      <c r="F46" s="23">
        <f ca="1">'Income Statement - FCF'!E82+'Balance Sheet'!E46</f>
        <v>397.34934000000004</v>
      </c>
      <c r="G46" s="23">
        <f ca="1">'Income Statement - FCF'!F82+'Balance Sheet'!F46</f>
        <v>446.00684700000016</v>
      </c>
      <c r="H46" s="23">
        <f ca="1">'Income Statement - FCF'!G82+'Balance Sheet'!G46</f>
        <v>489.90314601666694</v>
      </c>
      <c r="I46" s="86">
        <f ca="1">'Income Statement - FCF'!H82+'Balance Sheet'!H46</f>
        <v>540.43748887305605</v>
      </c>
    </row>
    <row r="47" spans="2:9" ht="17" x14ac:dyDescent="0.2">
      <c r="B47" s="293" t="s">
        <v>79</v>
      </c>
      <c r="C47" s="301" t="s">
        <v>21</v>
      </c>
      <c r="D47" s="301">
        <v>-343.6</v>
      </c>
      <c r="E47" s="301">
        <v>-343.6</v>
      </c>
      <c r="F47" s="325">
        <f>E47</f>
        <v>-343.6</v>
      </c>
      <c r="G47" s="325">
        <f t="shared" ref="G47:I47" si="24">F47</f>
        <v>-343.6</v>
      </c>
      <c r="H47" s="325">
        <f t="shared" si="24"/>
        <v>-343.6</v>
      </c>
      <c r="I47" s="344">
        <f t="shared" si="24"/>
        <v>-343.6</v>
      </c>
    </row>
    <row r="48" spans="2:9" x14ac:dyDescent="0.2">
      <c r="B48" s="293" t="s">
        <v>80</v>
      </c>
      <c r="C48" s="301">
        <v>33.360999999999997</v>
      </c>
      <c r="D48" s="301">
        <v>62.521999999999998</v>
      </c>
      <c r="E48" s="301">
        <v>95.483999999999995</v>
      </c>
      <c r="F48" s="325">
        <v>283.84046666666563</v>
      </c>
      <c r="G48" s="325">
        <v>332.48188777777705</v>
      </c>
      <c r="H48" s="325">
        <v>345.60849914814662</v>
      </c>
      <c r="I48" s="344">
        <v>422.59308029753083</v>
      </c>
    </row>
    <row r="49" spans="2:9" x14ac:dyDescent="0.2">
      <c r="B49" s="291" t="s">
        <v>81</v>
      </c>
      <c r="C49" s="317">
        <v>2301.627</v>
      </c>
      <c r="D49" s="317">
        <v>2461.9299999999998</v>
      </c>
      <c r="E49" s="317">
        <v>2641.2220000000002</v>
      </c>
      <c r="F49" s="325">
        <f ca="1">SUM(F45:F48)</f>
        <v>2861.8598066666659</v>
      </c>
      <c r="G49" s="325">
        <f t="shared" ref="G49:I49" ca="1" si="25">SUM(G45:G48)</f>
        <v>2959.1587347777772</v>
      </c>
      <c r="H49" s="325">
        <f t="shared" ca="1" si="25"/>
        <v>3016.1816451648137</v>
      </c>
      <c r="I49" s="344">
        <f t="shared" ca="1" si="25"/>
        <v>3143.7005691705867</v>
      </c>
    </row>
    <row r="50" spans="2:9" x14ac:dyDescent="0.2">
      <c r="B50" s="293"/>
      <c r="C50" s="300"/>
      <c r="D50" s="300"/>
      <c r="E50" s="300"/>
      <c r="I50" s="1"/>
    </row>
    <row r="51" spans="2:9" x14ac:dyDescent="0.2">
      <c r="B51" s="291" t="s">
        <v>82</v>
      </c>
      <c r="C51" s="322">
        <v>2301.627</v>
      </c>
      <c r="D51" s="322">
        <v>2461.9299999999998</v>
      </c>
      <c r="E51" s="322">
        <v>2641.2220000000002</v>
      </c>
      <c r="F51" s="325">
        <f ca="1">F49</f>
        <v>2861.8598066666659</v>
      </c>
      <c r="G51" s="325">
        <f t="shared" ref="G51:I51" ca="1" si="26">G49</f>
        <v>2959.1587347777772</v>
      </c>
      <c r="H51" s="325">
        <f t="shared" ca="1" si="26"/>
        <v>3016.1816451648137</v>
      </c>
      <c r="I51" s="344">
        <f t="shared" ca="1" si="26"/>
        <v>3143.7005691705867</v>
      </c>
    </row>
    <row r="52" spans="2:9" x14ac:dyDescent="0.2">
      <c r="B52" s="293"/>
      <c r="C52" s="300"/>
      <c r="D52" s="300"/>
      <c r="E52" s="300"/>
      <c r="I52" s="1"/>
    </row>
    <row r="53" spans="2:9" x14ac:dyDescent="0.2">
      <c r="B53" s="323" t="s">
        <v>83</v>
      </c>
      <c r="C53" s="324">
        <v>4635.1490000000003</v>
      </c>
      <c r="D53" s="324">
        <v>4662.9459999999999</v>
      </c>
      <c r="E53" s="324">
        <v>5042.2039999999997</v>
      </c>
      <c r="F53" s="346">
        <f ca="1">F51+F42</f>
        <v>5766.231006666666</v>
      </c>
      <c r="G53" s="346">
        <f t="shared" ref="G53:I53" ca="1" si="27">G51+G42</f>
        <v>6048.6962914444439</v>
      </c>
      <c r="H53" s="346">
        <f t="shared" ca="1" si="27"/>
        <v>6330.1922497203695</v>
      </c>
      <c r="I53" s="347">
        <f t="shared" ca="1" si="27"/>
        <v>6670.0374004779942</v>
      </c>
    </row>
    <row r="54" spans="2:9" x14ac:dyDescent="0.2">
      <c r="B54" s="319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3E72-7EAF-46EE-A3CD-28E60AA59C7D}">
  <dimension ref="B3:K17"/>
  <sheetViews>
    <sheetView showGridLines="0" topLeftCell="AK1" zoomScale="125" workbookViewId="0">
      <selection activeCell="E27" sqref="E27"/>
    </sheetView>
  </sheetViews>
  <sheetFormatPr baseColWidth="10" defaultColWidth="8.6640625" defaultRowHeight="16" x14ac:dyDescent="0.2"/>
  <cols>
    <col min="1" max="1" width="8.83203125" style="30" customWidth="1"/>
    <col min="2" max="2" width="26.33203125" style="30" bestFit="1" customWidth="1"/>
    <col min="3" max="3" width="3.5" style="30" customWidth="1"/>
    <col min="4" max="4" width="9.1640625" style="30" customWidth="1"/>
    <col min="5" max="8" width="9.1640625" style="30" bestFit="1" customWidth="1"/>
    <col min="9" max="9" width="8.6640625" style="30"/>
    <col min="10" max="10" width="3.6640625" style="30" customWidth="1"/>
    <col min="11" max="11" width="64.5" style="30" bestFit="1" customWidth="1"/>
    <col min="12" max="16384" width="8.6640625" style="30"/>
  </cols>
  <sheetData>
    <row r="3" spans="2:11" x14ac:dyDescent="0.2">
      <c r="B3" s="261" t="s">
        <v>249</v>
      </c>
      <c r="C3" s="262"/>
      <c r="D3" s="262"/>
      <c r="E3" s="262" t="s">
        <v>166</v>
      </c>
      <c r="F3" s="262" t="s">
        <v>165</v>
      </c>
      <c r="G3" s="262" t="s">
        <v>164</v>
      </c>
      <c r="H3" s="262" t="s">
        <v>162</v>
      </c>
      <c r="I3" s="263" t="s">
        <v>163</v>
      </c>
    </row>
    <row r="4" spans="2:11" x14ac:dyDescent="0.2">
      <c r="B4" s="269" t="s">
        <v>245</v>
      </c>
      <c r="C4" s="68" t="s">
        <v>20</v>
      </c>
      <c r="D4" s="68"/>
      <c r="E4" s="69">
        <f ca="1">'Income Statement - FCF'!D5</f>
        <v>1882.2016570760786</v>
      </c>
      <c r="F4" s="69">
        <f ca="1">'Income Statement - FCF'!E5</f>
        <v>2481.4689104897516</v>
      </c>
      <c r="G4" s="69">
        <f ca="1">'Income Statement - FCF'!F5</f>
        <v>3239.5849427515768</v>
      </c>
      <c r="H4" s="69">
        <f ca="1">'Income Statement - FCF'!G5</f>
        <v>3967.6606466314106</v>
      </c>
      <c r="I4" s="70">
        <f ca="1">'Income Statement - FCF'!H5</f>
        <v>4570.2342572100397</v>
      </c>
      <c r="K4" s="271" t="s">
        <v>327</v>
      </c>
    </row>
    <row r="5" spans="2:11" x14ac:dyDescent="0.2">
      <c r="B5" s="71" t="s">
        <v>243</v>
      </c>
      <c r="C5" s="30" t="s">
        <v>20</v>
      </c>
      <c r="E5" s="274">
        <v>1788.2408695342131</v>
      </c>
      <c r="F5" s="274">
        <v>2093.366666066921</v>
      </c>
      <c r="G5" s="274">
        <v>2463.1377597351739</v>
      </c>
      <c r="H5" s="274">
        <v>2873.3637777975659</v>
      </c>
      <c r="I5" s="72">
        <v>3289.7771529979318</v>
      </c>
      <c r="K5" s="271" t="s">
        <v>250</v>
      </c>
    </row>
    <row r="6" spans="2:11" x14ac:dyDescent="0.2">
      <c r="B6" s="73"/>
      <c r="C6" s="74" t="s">
        <v>244</v>
      </c>
      <c r="D6" s="74"/>
      <c r="E6" s="75">
        <f ca="1">E4/E5 - 1</f>
        <v>5.2543697631930231E-2</v>
      </c>
      <c r="F6" s="75">
        <f ca="1">F4/F5 - 1</f>
        <v>0.18539620923266575</v>
      </c>
      <c r="G6" s="75">
        <f t="shared" ref="G6:I6" ca="1" si="0">G4/G5 - 1</f>
        <v>0.31522686051464821</v>
      </c>
      <c r="H6" s="75">
        <f t="shared" ca="1" si="0"/>
        <v>0.38084174279966154</v>
      </c>
      <c r="I6" s="76">
        <f t="shared" ca="1" si="0"/>
        <v>0.38922305209799513</v>
      </c>
    </row>
    <row r="7" spans="2:11" x14ac:dyDescent="0.2">
      <c r="B7" s="71"/>
      <c r="C7" s="275"/>
      <c r="D7" s="275"/>
      <c r="E7" s="276"/>
      <c r="F7" s="276"/>
      <c r="G7" s="276"/>
      <c r="H7" s="276"/>
      <c r="I7" s="277"/>
    </row>
    <row r="8" spans="2:11" x14ac:dyDescent="0.2">
      <c r="B8" s="269" t="s">
        <v>245</v>
      </c>
      <c r="C8" s="77" t="s">
        <v>248</v>
      </c>
      <c r="D8" s="77"/>
      <c r="E8" s="78" t="s">
        <v>21</v>
      </c>
      <c r="F8" s="78">
        <f ca="1">F4/E4 - 1</f>
        <v>0.31838631698189523</v>
      </c>
      <c r="G8" s="78">
        <f t="shared" ref="G8:I8" ca="1" si="1">G4/F4 - 1</f>
        <v>0.30551099353173061</v>
      </c>
      <c r="H8" s="78">
        <f t="shared" ca="1" si="1"/>
        <v>0.22474351398282355</v>
      </c>
      <c r="I8" s="79">
        <f t="shared" ca="1" si="1"/>
        <v>0.15187125720800276</v>
      </c>
    </row>
    <row r="9" spans="2:11" x14ac:dyDescent="0.2">
      <c r="B9" s="71" t="s">
        <v>243</v>
      </c>
      <c r="C9" s="278" t="s">
        <v>248</v>
      </c>
      <c r="D9" s="278"/>
      <c r="E9" s="80" t="s">
        <v>21</v>
      </c>
      <c r="F9" s="80">
        <f>F5/E5 - 1</f>
        <v>0.1706290252790077</v>
      </c>
      <c r="G9" s="80">
        <f t="shared" ref="G9:I9" si="2">G5/F5 - 1</f>
        <v>0.17663942951904832</v>
      </c>
      <c r="H9" s="80">
        <f t="shared" si="2"/>
        <v>0.16654611234838024</v>
      </c>
      <c r="I9" s="81">
        <f t="shared" si="2"/>
        <v>0.14492191292240308</v>
      </c>
    </row>
    <row r="10" spans="2:11" x14ac:dyDescent="0.2">
      <c r="B10" s="73"/>
      <c r="C10" s="74" t="s">
        <v>244</v>
      </c>
      <c r="D10" s="74"/>
      <c r="E10" s="75" t="s">
        <v>21</v>
      </c>
      <c r="F10" s="75">
        <f t="shared" ref="F10:I10" ca="1" si="3">F8/F9 - 1</f>
        <v>0.86595637208428666</v>
      </c>
      <c r="G10" s="75">
        <f t="shared" ca="1" si="3"/>
        <v>0.72957416338793779</v>
      </c>
      <c r="H10" s="75">
        <f t="shared" ca="1" si="3"/>
        <v>0.34943716676319836</v>
      </c>
      <c r="I10" s="76">
        <f t="shared" ca="1" si="3"/>
        <v>4.7952336161341202E-2</v>
      </c>
    </row>
    <row r="11" spans="2:11" x14ac:dyDescent="0.2">
      <c r="B11" s="71"/>
      <c r="I11" s="273"/>
    </row>
    <row r="12" spans="2:11" x14ac:dyDescent="0.2">
      <c r="B12" s="269" t="s">
        <v>245</v>
      </c>
      <c r="C12" s="68" t="s">
        <v>236</v>
      </c>
      <c r="D12" s="68"/>
      <c r="E12" s="69">
        <f ca="1">'Income Statement - FCF'!D18</f>
        <v>744.69984781720507</v>
      </c>
      <c r="F12" s="69">
        <f ca="1">'Income Statement - FCF'!E18</f>
        <v>1091.0653156921508</v>
      </c>
      <c r="G12" s="69">
        <f ca="1">'Income Statement - FCF'!F18</f>
        <v>1424.4640607591591</v>
      </c>
      <c r="H12" s="69">
        <f ca="1">'Income Statement - FCF'!G18</f>
        <v>1744.6441597459459</v>
      </c>
      <c r="I12" s="70">
        <f ca="1">'Income Statement - FCF'!H18</f>
        <v>2009.6331948885527</v>
      </c>
    </row>
    <row r="13" spans="2:11" x14ac:dyDescent="0.2">
      <c r="B13" s="71" t="s">
        <v>243</v>
      </c>
      <c r="C13" s="30" t="s">
        <v>236</v>
      </c>
      <c r="E13" s="279">
        <v>545.79999999999995</v>
      </c>
      <c r="F13" s="279">
        <v>650.9</v>
      </c>
      <c r="G13" s="279">
        <v>777.7</v>
      </c>
      <c r="H13" s="279">
        <v>907.9</v>
      </c>
      <c r="I13" s="82">
        <v>1045.4000000000001</v>
      </c>
    </row>
    <row r="14" spans="2:11" x14ac:dyDescent="0.2">
      <c r="B14" s="280" t="s">
        <v>245</v>
      </c>
      <c r="C14" s="30" t="s">
        <v>246</v>
      </c>
      <c r="E14" s="230">
        <f t="shared" ref="E14:I15" ca="1" si="4">E12/E4</f>
        <v>0.39565359270486727</v>
      </c>
      <c r="F14" s="230">
        <f t="shared" ca="1" si="4"/>
        <v>0.43968526507826133</v>
      </c>
      <c r="G14" s="230">
        <f t="shared" ca="1" si="4"/>
        <v>0.43970572957079956</v>
      </c>
      <c r="H14" s="230">
        <f t="shared" ca="1" si="4"/>
        <v>0.43971607330560614</v>
      </c>
      <c r="I14" s="231">
        <f t="shared" ca="1" si="4"/>
        <v>0.43972214153314759</v>
      </c>
    </row>
    <row r="15" spans="2:11" x14ac:dyDescent="0.2">
      <c r="B15" s="71" t="s">
        <v>243</v>
      </c>
      <c r="C15" s="30" t="s">
        <v>246</v>
      </c>
      <c r="E15" s="230">
        <f t="shared" si="4"/>
        <v>0.3052161536505793</v>
      </c>
      <c r="F15" s="230">
        <f t="shared" si="4"/>
        <v>0.31093453934801119</v>
      </c>
      <c r="G15" s="230">
        <f t="shared" si="4"/>
        <v>0.31573548695206355</v>
      </c>
      <c r="H15" s="230">
        <f t="shared" si="4"/>
        <v>0.31597113007943101</v>
      </c>
      <c r="I15" s="231">
        <f t="shared" si="4"/>
        <v>0.31777228407320551</v>
      </c>
    </row>
    <row r="16" spans="2:11" x14ac:dyDescent="0.2">
      <c r="B16" s="73"/>
      <c r="C16" s="74" t="s">
        <v>322</v>
      </c>
      <c r="D16" s="74"/>
      <c r="E16" s="75">
        <f ca="1">E14/E15-1</f>
        <v>0.29630620126948948</v>
      </c>
      <c r="F16" s="75">
        <f t="shared" ref="F16:I16" ca="1" si="5">F14/F15-1</f>
        <v>0.41407662847692461</v>
      </c>
      <c r="G16" s="75">
        <f t="shared" ca="1" si="5"/>
        <v>0.39263955982736198</v>
      </c>
      <c r="H16" s="75">
        <f t="shared" ca="1" si="5"/>
        <v>0.3916337014557858</v>
      </c>
      <c r="I16" s="76">
        <f t="shared" ca="1" si="5"/>
        <v>0.3837649271887047</v>
      </c>
    </row>
    <row r="17" spans="2:2" x14ac:dyDescent="0.2">
      <c r="B17" s="270" t="s">
        <v>271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D3BC-E27A-A345-9D57-13EB8A238F17}">
  <dimension ref="A1:AJ77"/>
  <sheetViews>
    <sheetView showGridLines="0" tabSelected="1" zoomScale="119" zoomScaleNormal="119" workbookViewId="0">
      <pane xSplit="1" ySplit="2" topLeftCell="E56" activePane="bottomRight" state="frozen"/>
      <selection pane="topRight" activeCell="B1" sqref="B1"/>
      <selection pane="bottomLeft" activeCell="A3" sqref="A3"/>
      <selection pane="bottomRight" activeCell="I67" sqref="I67"/>
    </sheetView>
  </sheetViews>
  <sheetFormatPr baseColWidth="10" defaultColWidth="8.5" defaultRowHeight="16" x14ac:dyDescent="0.2"/>
  <cols>
    <col min="1" max="1" width="56.5" customWidth="1"/>
    <col min="2" max="12" width="8.33203125" bestFit="1" customWidth="1"/>
    <col min="36" max="36" width="34.1640625" bestFit="1" customWidth="1"/>
  </cols>
  <sheetData>
    <row r="1" spans="1:36" ht="80.25" customHeight="1" x14ac:dyDescent="0.2">
      <c r="A1" s="42" t="s">
        <v>42</v>
      </c>
      <c r="B1" s="103" t="s">
        <v>303</v>
      </c>
      <c r="C1" s="103" t="s">
        <v>306</v>
      </c>
      <c r="D1" s="103" t="s">
        <v>307</v>
      </c>
      <c r="E1" s="103" t="s">
        <v>308</v>
      </c>
      <c r="F1" s="103" t="s">
        <v>304</v>
      </c>
      <c r="G1" s="103" t="s">
        <v>309</v>
      </c>
      <c r="H1" s="103" t="s">
        <v>310</v>
      </c>
      <c r="I1" s="103" t="s">
        <v>311</v>
      </c>
      <c r="J1" s="103" t="s">
        <v>305</v>
      </c>
      <c r="K1" s="103" t="s">
        <v>312</v>
      </c>
      <c r="L1" s="103" t="s">
        <v>313</v>
      </c>
      <c r="M1" s="103" t="s">
        <v>1</v>
      </c>
      <c r="N1" s="103" t="s">
        <v>2</v>
      </c>
      <c r="O1" s="103" t="s">
        <v>3</v>
      </c>
      <c r="P1" s="103" t="s">
        <v>4</v>
      </c>
      <c r="Q1" s="103" t="s">
        <v>5</v>
      </c>
      <c r="R1" s="103" t="s">
        <v>6</v>
      </c>
      <c r="S1" s="103" t="s">
        <v>7</v>
      </c>
      <c r="T1" s="103" t="s">
        <v>8</v>
      </c>
      <c r="U1" s="103" t="s">
        <v>9</v>
      </c>
      <c r="V1" s="103" t="s">
        <v>10</v>
      </c>
      <c r="W1" s="103" t="s">
        <v>11</v>
      </c>
      <c r="X1" s="103" t="s">
        <v>12</v>
      </c>
      <c r="Y1" s="103" t="s">
        <v>13</v>
      </c>
      <c r="Z1" s="103" t="s">
        <v>14</v>
      </c>
      <c r="AA1" s="103" t="s">
        <v>15</v>
      </c>
      <c r="AB1" s="103" t="s">
        <v>16</v>
      </c>
      <c r="AC1" s="103" t="s">
        <v>17</v>
      </c>
      <c r="AD1" s="104" t="s">
        <v>18</v>
      </c>
    </row>
    <row r="2" spans="1:36" ht="17" x14ac:dyDescent="0.2">
      <c r="A2" s="46" t="s">
        <v>302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</row>
    <row r="3" spans="1:36" x14ac:dyDescent="0.2">
      <c r="A3" s="67" t="s">
        <v>84</v>
      </c>
      <c r="B3" s="16"/>
      <c r="C3" s="17"/>
      <c r="D3" s="17"/>
      <c r="E3" s="17"/>
      <c r="F3" s="17"/>
      <c r="G3" s="17">
        <v>222.48599999999999</v>
      </c>
      <c r="H3" s="17">
        <v>141.40600000000001</v>
      </c>
      <c r="I3" s="17">
        <f ca="1">I4*I15</f>
        <v>111.57760708287914</v>
      </c>
      <c r="J3" s="17">
        <f ca="1">J4*J15</f>
        <v>108.13082637518045</v>
      </c>
      <c r="K3" s="17">
        <f ca="1">K4*K15</f>
        <v>151.39018873928285</v>
      </c>
      <c r="L3" s="17">
        <f ca="1">L4*L15</f>
        <v>168.56390471700891</v>
      </c>
      <c r="M3" s="17">
        <f ca="1">M7*M5</f>
        <v>137.47075289296041</v>
      </c>
      <c r="N3" s="17">
        <f ca="1">N7*N5</f>
        <v>140.41782608419831</v>
      </c>
      <c r="O3" s="17">
        <f ca="1">O7*O5</f>
        <v>197.33361740191506</v>
      </c>
      <c r="P3" s="17">
        <f ca="1">P7*P5</f>
        <v>219.71915986235845</v>
      </c>
      <c r="Q3" s="17">
        <f ca="1">Q7*Q5</f>
        <v>170.82013924291931</v>
      </c>
      <c r="R3" s="17">
        <f ca="1">R7*R5</f>
        <v>169.44791146205</v>
      </c>
      <c r="S3" s="17">
        <f ca="1">S7*S5</f>
        <v>232.82443392427433</v>
      </c>
      <c r="T3" s="17">
        <f ca="1">T7*T5</f>
        <v>259.23605765093674</v>
      </c>
      <c r="U3" s="17">
        <f ca="1">U7*U5</f>
        <v>201.47583201352498</v>
      </c>
      <c r="V3" s="17">
        <f ca="1">V7*V5</f>
        <v>196.21353385206135</v>
      </c>
      <c r="W3" s="17">
        <f ca="1">W7*W5</f>
        <v>269.60087352636964</v>
      </c>
      <c r="X3" s="17">
        <f ca="1">X7*X5</f>
        <v>291.82250143594609</v>
      </c>
      <c r="Y3" s="17">
        <f ca="1">Y7*Y5</f>
        <v>226.7293884433345</v>
      </c>
      <c r="Z3" s="17">
        <f ca="1">Z7*Z5</f>
        <v>220.80749879517543</v>
      </c>
      <c r="AA3" s="17">
        <f ca="1">AA7*AA5</f>
        <v>294.69994456346456</v>
      </c>
      <c r="AB3" s="17">
        <f ca="1">AB7*AB5</f>
        <v>318.99034254105715</v>
      </c>
      <c r="AC3" s="17">
        <f ca="1">AC7*AC5</f>
        <v>247.76096562368099</v>
      </c>
      <c r="AD3" s="18">
        <f ca="1">AD7*AD5</f>
        <v>241.28975733604665</v>
      </c>
    </row>
    <row r="4" spans="1:36" x14ac:dyDescent="0.2">
      <c r="A4" s="43" t="s">
        <v>90</v>
      </c>
      <c r="C4" s="7"/>
      <c r="D4" s="7"/>
      <c r="E4" s="7"/>
      <c r="F4" s="7"/>
      <c r="G4" s="11">
        <f t="shared" ref="G4:AD4" si="0">G3/G15</f>
        <v>0.59591644323973947</v>
      </c>
      <c r="H4" s="11">
        <f t="shared" si="0"/>
        <v>0.5792906244111069</v>
      </c>
      <c r="I4" s="11">
        <f ca="1">I3/I15</f>
        <v>0.59591644323973947</v>
      </c>
      <c r="J4" s="11">
        <f ca="1">J3/J15</f>
        <v>0.59591644323973947</v>
      </c>
      <c r="K4" s="11">
        <f ca="1">K3/K15</f>
        <v>0.59591644323973947</v>
      </c>
      <c r="L4" s="11">
        <f ca="1">L3/L15</f>
        <v>0.59591644323973947</v>
      </c>
      <c r="M4" s="11">
        <f ca="1">M3/M15</f>
        <v>0.65844716008849469</v>
      </c>
      <c r="N4" s="11">
        <f ca="1">N3/N15</f>
        <v>0.62973507477373247</v>
      </c>
      <c r="O4" s="11">
        <f ca="1">O3/O15</f>
        <v>0.59639474724627561</v>
      </c>
      <c r="P4" s="11">
        <f ca="1">P3/P15</f>
        <v>0.58961345116407626</v>
      </c>
      <c r="Q4" s="11">
        <f ca="1">Q3/Q15</f>
        <v>0.64905108556898194</v>
      </c>
      <c r="R4" s="11">
        <f ca="1">R3/R15</f>
        <v>0.60349404502698156</v>
      </c>
      <c r="S4" s="11">
        <f ca="1">S3/S15</f>
        <v>0.54926283203436044</v>
      </c>
      <c r="T4" s="11">
        <f ca="1">T3/T15</f>
        <v>0.53559477602617955</v>
      </c>
      <c r="U4" s="11">
        <f ca="1">U3/U15</f>
        <v>0.60763940759773272</v>
      </c>
      <c r="V4" s="11">
        <f ca="1">V3/V15</f>
        <v>0.54795000990586196</v>
      </c>
      <c r="W4" s="11">
        <f ca="1">W3/W15</f>
        <v>0.51088321494788469</v>
      </c>
      <c r="X4" s="11">
        <f ca="1">X3/X15</f>
        <v>0.49331829201526778</v>
      </c>
      <c r="Y4" s="11">
        <f ca="1">Y3/Y15</f>
        <v>0.57303301604668611</v>
      </c>
      <c r="Z4" s="11">
        <f ca="1">Z3/Z15</f>
        <v>0.52216440260831998</v>
      </c>
      <c r="AA4" s="11">
        <f ca="1">AA3/AA15</f>
        <v>0.47771266113571531</v>
      </c>
      <c r="AB4" s="11">
        <f ca="1">AB3/AB15</f>
        <v>0.48027935818492945</v>
      </c>
      <c r="AC4" s="11">
        <f ca="1">AC3/AC15</f>
        <v>0.55622627477293507</v>
      </c>
      <c r="AD4" s="4">
        <f ca="1">AD3/AD15</f>
        <v>0.51528560434463211</v>
      </c>
      <c r="AH4" s="288" t="s">
        <v>247</v>
      </c>
      <c r="AI4" s="289">
        <v>1</v>
      </c>
      <c r="AJ4" s="287" t="s">
        <v>329</v>
      </c>
    </row>
    <row r="5" spans="1:36" x14ac:dyDescent="0.2">
      <c r="A5" s="43" t="s">
        <v>109</v>
      </c>
      <c r="G5" s="22">
        <f t="shared" ref="G5:L5" si="1">G3/G7</f>
        <v>4.9441333333333333</v>
      </c>
      <c r="H5" s="22">
        <f t="shared" si="1"/>
        <v>3.1423555555555556</v>
      </c>
      <c r="I5" s="22">
        <f ca="1">I3/I7</f>
        <v>2.2315521416575828</v>
      </c>
      <c r="J5" s="22">
        <f ca="1">J3/J7</f>
        <v>2.1626165275036091</v>
      </c>
      <c r="K5" s="22">
        <f ca="1">K3/K7</f>
        <v>2.9113497834477471</v>
      </c>
      <c r="L5" s="22">
        <f ca="1">L3/L7</f>
        <v>3.2416135522501714</v>
      </c>
      <c r="M5" s="21">
        <f ca="1">I5*(1+M6)</f>
        <v>2.5457546832029703</v>
      </c>
      <c r="N5" s="21">
        <f ca="1">J5*(1+N6)</f>
        <v>2.6003301126703393</v>
      </c>
      <c r="O5" s="21">
        <f ca="1">K5*(1+O6)</f>
        <v>3.6543262481836125</v>
      </c>
      <c r="P5" s="21">
        <f ca="1">L5*(1+P6)</f>
        <v>4.0688733307844158</v>
      </c>
      <c r="Q5" s="21">
        <f ca="1">M5*(1+Q6)</f>
        <v>3.1058207135076237</v>
      </c>
      <c r="R5" s="21">
        <f ca="1">N5*(1+R6)</f>
        <v>3.0808711174918182</v>
      </c>
      <c r="S5" s="21">
        <f ca="1">O5*(1+S6)</f>
        <v>4.2331715258958971</v>
      </c>
      <c r="T5" s="21">
        <f ca="1">P5*(1+T6)</f>
        <v>4.7133828663806678</v>
      </c>
      <c r="U5" s="21">
        <f ca="1">Q5*(1+U6)</f>
        <v>3.5977827145272316</v>
      </c>
      <c r="V5" s="21">
        <f ca="1">R5*(1+V6)</f>
        <v>3.5038131045010954</v>
      </c>
      <c r="W5" s="21">
        <f ca="1">S5*(1+W6)</f>
        <v>4.814301312970886</v>
      </c>
      <c r="X5" s="21">
        <f ca="1">T5*(1+X6)</f>
        <v>5.211116097070466</v>
      </c>
      <c r="Y5" s="21">
        <f ca="1">U5*(1+Y6)</f>
        <v>3.9777085691813072</v>
      </c>
      <c r="Z5" s="21">
        <f ca="1">V5*(1+Z6)</f>
        <v>3.8738157683364109</v>
      </c>
      <c r="AA5" s="21">
        <f ca="1">W5*(1+AA6)</f>
        <v>5.1701744660256939</v>
      </c>
      <c r="AB5" s="21">
        <f ca="1">X5*(1+AB6)</f>
        <v>5.5963217989659144</v>
      </c>
      <c r="AC5" s="21">
        <f ca="1">Y5*(1+AC6)</f>
        <v>4.2717407866151893</v>
      </c>
      <c r="AD5" s="49">
        <f ca="1">Z5*(1+AD6)</f>
        <v>4.1601682299318385</v>
      </c>
      <c r="AH5" s="283"/>
      <c r="AI5" s="203"/>
      <c r="AJ5" s="83"/>
    </row>
    <row r="6" spans="1:36" x14ac:dyDescent="0.2">
      <c r="A6" s="43" t="s">
        <v>172</v>
      </c>
      <c r="G6" s="22"/>
      <c r="H6" s="22"/>
      <c r="I6" s="22"/>
      <c r="J6" s="11"/>
      <c r="K6" s="11">
        <f ca="1">(K3-G3)/G3</f>
        <v>-0.31955184263601821</v>
      </c>
      <c r="L6" s="11">
        <f ca="1">(L3-H3)/H3</f>
        <v>0.19205624030811214</v>
      </c>
      <c r="M6" s="29">
        <f xml:space="preserve"> 1*'Revevnue Build Base'!M6 * (1 + ( $AI$4 * $AH$6 ) )</f>
        <v>0.14080000000000001</v>
      </c>
      <c r="N6" s="29">
        <f xml:space="preserve"> 1*'Revevnue Build Base'!N6 * (1 + ( $AI$4 * $AH$6 ) )</f>
        <v>0.20240000000000002</v>
      </c>
      <c r="O6" s="29">
        <f xml:space="preserve"> 1*'Revevnue Build Base'!O6 * (1 + ( $AI$4 * $AH$6 ) )</f>
        <v>0.25520000000000004</v>
      </c>
      <c r="P6" s="29">
        <f xml:space="preserve"> 1*'Revevnue Build Base'!P6 * (1 + ( $AI$4 * $AH$6 ) )</f>
        <v>0.25520000000000004</v>
      </c>
      <c r="Q6" s="29">
        <f xml:space="preserve"> 1*'Revevnue Build Base'!Q6 * (1 + ( $AI$4 * $AH$6 ) )</f>
        <v>0.22000000000000003</v>
      </c>
      <c r="R6" s="29">
        <f xml:space="preserve"> 1*'Revevnue Build Base'!R6 * (1 + ( $AI$4 * $AH$6 ) )</f>
        <v>0.18480000000000002</v>
      </c>
      <c r="S6" s="29">
        <f xml:space="preserve"> 1*'Revevnue Build Base'!S6 * (1 + ( $AI$4 * $AH$6 ) )</f>
        <v>0.15840000000000001</v>
      </c>
      <c r="T6" s="29">
        <f xml:space="preserve"> 1*'Revevnue Build Base'!T6 * (1 + ( $AI$4 * $AH$6 ) )</f>
        <v>0.15840000000000001</v>
      </c>
      <c r="U6" s="29">
        <f xml:space="preserve"> 1*'Revevnue Build Base'!U6 * (1 + ( $AI$4 * $AH$6 ) )</f>
        <v>0.15840000000000001</v>
      </c>
      <c r="V6" s="29">
        <f xml:space="preserve"> 1*'Revevnue Build Base'!V6 * (1 + ( $AI$4 * $AH$6 ) )</f>
        <v>0.13728000000000001</v>
      </c>
      <c r="W6" s="29">
        <f xml:space="preserve"> 1*'Revevnue Build Base'!W6 * (1 + ( $AI$4 * $AH$6 ) )</f>
        <v>0.13728000000000001</v>
      </c>
      <c r="X6" s="29">
        <f xml:space="preserve"> 1*'Revevnue Build Base'!X6 * (1 + ( $AI$4 * $AH$6 ) )</f>
        <v>0.10560000000000001</v>
      </c>
      <c r="Y6" s="29">
        <f xml:space="preserve"> 1*'Revevnue Build Base'!Y6 * (1 + ( $AI$4 * $AH$6 ) )</f>
        <v>0.10560000000000001</v>
      </c>
      <c r="Z6" s="29">
        <f xml:space="preserve"> 1*'Revevnue Build Base'!Z6 * (1 + ( $AI$4 * $AH$6 ) )</f>
        <v>0.10560000000000001</v>
      </c>
      <c r="AA6" s="29">
        <f xml:space="preserve"> 1*'Revevnue Build Base'!AA6 * (1 + ( $AI$4 * $AH$6 ) )</f>
        <v>7.3920000000000013E-2</v>
      </c>
      <c r="AB6" s="29">
        <f xml:space="preserve"> 1*'Revevnue Build Base'!AB6 * (1 + ( $AI$4 * $AH$6 ) )</f>
        <v>7.3920000000000013E-2</v>
      </c>
      <c r="AC6" s="29">
        <f xml:space="preserve"> 1*'Revevnue Build Base'!AC6 * (1 + ( $AI$4 * $AH$6 ) )</f>
        <v>7.3920000000000013E-2</v>
      </c>
      <c r="AD6" s="65">
        <f xml:space="preserve"> 1*'Revevnue Build Base'!AD6 * (1 + ( $AI$4 * $AH$6 ) )</f>
        <v>7.3920000000000013E-2</v>
      </c>
      <c r="AH6" s="284">
        <v>0.1</v>
      </c>
      <c r="AI6" s="285"/>
      <c r="AJ6" s="286"/>
    </row>
    <row r="7" spans="1:36" x14ac:dyDescent="0.2">
      <c r="A7" s="43" t="s">
        <v>110</v>
      </c>
      <c r="G7" s="21">
        <v>45</v>
      </c>
      <c r="H7" s="21">
        <v>45</v>
      </c>
      <c r="I7" s="21">
        <v>50</v>
      </c>
      <c r="J7" s="21">
        <v>50</v>
      </c>
      <c r="K7" s="21">
        <v>52</v>
      </c>
      <c r="L7" s="37">
        <v>52</v>
      </c>
      <c r="M7" s="21">
        <v>54</v>
      </c>
      <c r="N7" s="21">
        <v>54</v>
      </c>
      <c r="O7" s="21">
        <v>54</v>
      </c>
      <c r="P7" s="21">
        <v>54</v>
      </c>
      <c r="Q7" s="21">
        <v>55</v>
      </c>
      <c r="R7" s="21">
        <v>55</v>
      </c>
      <c r="S7" s="21">
        <v>55</v>
      </c>
      <c r="T7" s="21">
        <v>55</v>
      </c>
      <c r="U7" s="21">
        <v>56</v>
      </c>
      <c r="V7" s="21">
        <v>56</v>
      </c>
      <c r="W7" s="21">
        <v>56</v>
      </c>
      <c r="X7" s="21">
        <v>56</v>
      </c>
      <c r="Y7" s="21">
        <v>57</v>
      </c>
      <c r="Z7" s="21">
        <v>57</v>
      </c>
      <c r="AA7" s="21">
        <v>57</v>
      </c>
      <c r="AB7" s="21">
        <v>57</v>
      </c>
      <c r="AC7" s="21">
        <v>58</v>
      </c>
      <c r="AD7" s="49">
        <v>58</v>
      </c>
    </row>
    <row r="8" spans="1:36" x14ac:dyDescent="0.2">
      <c r="A8" s="43"/>
      <c r="C8" s="7"/>
      <c r="D8" s="7"/>
      <c r="E8" s="7"/>
      <c r="F8" s="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4"/>
    </row>
    <row r="9" spans="1:36" x14ac:dyDescent="0.2">
      <c r="A9" s="43" t="s">
        <v>85</v>
      </c>
      <c r="C9" s="7"/>
      <c r="D9" s="7"/>
      <c r="E9" s="7"/>
      <c r="F9" s="7"/>
      <c r="G9" s="7">
        <v>150.86500000000001</v>
      </c>
      <c r="H9" s="7">
        <v>102.696</v>
      </c>
      <c r="I9" s="7">
        <f ca="1">I10*I15</f>
        <v>75.65939291712094</v>
      </c>
      <c r="J9" s="7">
        <f ca="1">J10*J15</f>
        <v>73.322173624819555</v>
      </c>
      <c r="K9" s="7">
        <f ca="1">K10*K15</f>
        <v>102.65581126071714</v>
      </c>
      <c r="L9" s="7">
        <f ca="1">L10*L15</f>
        <v>114.3010952829911</v>
      </c>
      <c r="M9" s="7">
        <f ca="1">M13*M11</f>
        <v>71.309482220339262</v>
      </c>
      <c r="N9" s="7">
        <f ca="1">N13*N11</f>
        <v>82.561378519660352</v>
      </c>
      <c r="O9" s="7">
        <f ca="1">O13*O11</f>
        <v>133.5439067765935</v>
      </c>
      <c r="P9" s="7">
        <f ca="1">P13*P11</f>
        <v>152.93034368707046</v>
      </c>
      <c r="Q9" s="7">
        <f ca="1">Q13*Q11</f>
        <v>92.364289596256128</v>
      </c>
      <c r="R9" s="7">
        <f ca="1">R13*R11</f>
        <v>111.33018876671727</v>
      </c>
      <c r="S9" s="7">
        <f ca="1">S13*S11</f>
        <v>191.06085440288024</v>
      </c>
      <c r="T9" s="7">
        <f ca="1">T13*T11</f>
        <v>224.77922639332999</v>
      </c>
      <c r="U9" s="7">
        <f ca="1">U13*U11</f>
        <v>130.09553991254546</v>
      </c>
      <c r="V9" s="7">
        <f ca="1">V13*V11</f>
        <v>161.87302569699477</v>
      </c>
      <c r="W9" s="7">
        <f ca="1">W13*W11</f>
        <v>258.11439610501111</v>
      </c>
      <c r="X9" s="7">
        <f ca="1">X13*X11</f>
        <v>299.72763193497389</v>
      </c>
      <c r="Y9" s="7">
        <f ca="1">Y13*Y11</f>
        <v>168.93610044511445</v>
      </c>
      <c r="Z9" s="7">
        <f ca="1">Z13*Z11</f>
        <v>202.06219069762795</v>
      </c>
      <c r="AA9" s="7">
        <f ca="1">AA13*AA11</f>
        <v>322.1979703103932</v>
      </c>
      <c r="AB9" s="7">
        <f ca="1">AB13*AB11</f>
        <v>345.18632277844489</v>
      </c>
      <c r="AC9" s="7">
        <f ca="1">AC13*AC11</f>
        <v>197.6710048901588</v>
      </c>
      <c r="AD9" s="8">
        <f ca="1">AD13*AD11</f>
        <v>226.9743573638622</v>
      </c>
    </row>
    <row r="10" spans="1:36" x14ac:dyDescent="0.2">
      <c r="A10" s="43" t="s">
        <v>91</v>
      </c>
      <c r="C10" s="7"/>
      <c r="D10" s="7"/>
      <c r="E10" s="7"/>
      <c r="F10" s="7"/>
      <c r="G10" s="11">
        <f>G9/G15</f>
        <v>0.40408355676026048</v>
      </c>
      <c r="H10" s="11">
        <f>H9/H15</f>
        <v>0.42070937558889315</v>
      </c>
      <c r="I10" s="11">
        <f ca="1">1-I4</f>
        <v>0.40408355676026053</v>
      </c>
      <c r="J10" s="11">
        <f ca="1">1-J4</f>
        <v>0.40408355676026053</v>
      </c>
      <c r="K10" s="11">
        <f ca="1">1-K4</f>
        <v>0.40408355676026053</v>
      </c>
      <c r="L10" s="11">
        <f ca="1">1-L4</f>
        <v>0.40408355676026053</v>
      </c>
      <c r="M10" s="11">
        <f ca="1">1-M4</f>
        <v>0.34155283991150531</v>
      </c>
      <c r="N10" s="11">
        <f ca="1">1-N4</f>
        <v>0.37026492522626753</v>
      </c>
      <c r="O10" s="11">
        <f ca="1">1-O4</f>
        <v>0.40360525275372439</v>
      </c>
      <c r="P10" s="11">
        <f ca="1">1-P4</f>
        <v>0.41038654883592374</v>
      </c>
      <c r="Q10" s="11">
        <f ca="1">1-Q4</f>
        <v>0.35094891443101806</v>
      </c>
      <c r="R10" s="11">
        <f ca="1">1-R4</f>
        <v>0.39650595497301844</v>
      </c>
      <c r="S10" s="11">
        <f ca="1">1-S4</f>
        <v>0.45073716796563956</v>
      </c>
      <c r="T10" s="11">
        <f ca="1">1-T4</f>
        <v>0.46440522397382045</v>
      </c>
      <c r="U10" s="11">
        <f ca="1">1-U4</f>
        <v>0.39236059240226728</v>
      </c>
      <c r="V10" s="11">
        <f ca="1">1-V4</f>
        <v>0.45204999009413804</v>
      </c>
      <c r="W10" s="11">
        <f ca="1">1-W4</f>
        <v>0.48911678505211531</v>
      </c>
      <c r="X10" s="11">
        <f ca="1">1-X4</f>
        <v>0.50668170798473222</v>
      </c>
      <c r="Y10" s="11">
        <f ca="1">1-Y4</f>
        <v>0.42696698395331389</v>
      </c>
      <c r="Z10" s="11">
        <f ca="1">1-Z4</f>
        <v>0.47783559739168002</v>
      </c>
      <c r="AA10" s="11">
        <f ca="1">1-AA4</f>
        <v>0.52228733886428469</v>
      </c>
      <c r="AB10" s="11">
        <f ca="1">1-AB4</f>
        <v>0.51972064181507061</v>
      </c>
      <c r="AC10" s="11">
        <f ca="1">1-AC4</f>
        <v>0.44377372522706493</v>
      </c>
      <c r="AD10" s="4">
        <f ca="1">1-AD4</f>
        <v>0.48471439565536789</v>
      </c>
    </row>
    <row r="11" spans="1:36" x14ac:dyDescent="0.2">
      <c r="A11" s="43" t="s">
        <v>111</v>
      </c>
      <c r="G11" s="22">
        <f t="shared" ref="G11:L11" si="2">G9/G13</f>
        <v>1.7340804597701152</v>
      </c>
      <c r="H11" s="22">
        <f t="shared" si="2"/>
        <v>1.1804137931034482</v>
      </c>
      <c r="I11" s="22">
        <f ca="1">I9/I13</f>
        <v>0.72056564682972324</v>
      </c>
      <c r="J11" s="22">
        <f ca="1">J9/J13</f>
        <v>0.76377264192520367</v>
      </c>
      <c r="K11" s="22">
        <f ca="1">K9/K13</f>
        <v>1.1534360815810916</v>
      </c>
      <c r="L11" s="22">
        <f ca="1">L9/L13</f>
        <v>1.2560559921207812</v>
      </c>
      <c r="M11" s="21">
        <f ca="1">I11*(1+M12)</f>
        <v>0.75861151298233265</v>
      </c>
      <c r="N11" s="21">
        <f ca="1">J11*(1+N12)</f>
        <v>0.85114823216144697</v>
      </c>
      <c r="O11" s="21">
        <f ca="1">K11*(1+O12)</f>
        <v>1.3767413069751908</v>
      </c>
      <c r="P11" s="21">
        <f ca="1">L11*(1+P12)</f>
        <v>1.5766014813100047</v>
      </c>
      <c r="Q11" s="21">
        <f ca="1">M11*(1+Q12)</f>
        <v>0.95220917109542402</v>
      </c>
      <c r="R11" s="21">
        <f ca="1">N11*(1+R12)</f>
        <v>1.1133018876671728</v>
      </c>
      <c r="S11" s="21">
        <f ca="1">O11*(1+S12)</f>
        <v>1.8371236000276947</v>
      </c>
      <c r="T11" s="21">
        <f ca="1">P11*(1+T12)</f>
        <v>2.0621947375534861</v>
      </c>
      <c r="U11" s="21">
        <f ca="1">Q11*(1+U12)</f>
        <v>1.1935370634178484</v>
      </c>
      <c r="V11" s="21">
        <f ca="1">R11*(1+V12)</f>
        <v>1.395457118077541</v>
      </c>
      <c r="W11" s="21">
        <f ca="1">S11*(1+W12)</f>
        <v>2.2251241043535441</v>
      </c>
      <c r="X11" s="21">
        <f ca="1">T11*(1+X12)</f>
        <v>2.4977302661247824</v>
      </c>
      <c r="Y11" s="21">
        <f ca="1">U11*(1+Y12)</f>
        <v>1.4078008370426205</v>
      </c>
      <c r="Z11" s="21">
        <f ca="1">V11*(1+Z12)</f>
        <v>1.6164975255810237</v>
      </c>
      <c r="AA11" s="21">
        <f ca="1">W11*(1+AA12)</f>
        <v>2.5775837624831457</v>
      </c>
      <c r="AB11" s="21">
        <f ca="1">X11*(1+AB12)</f>
        <v>2.7614905822275593</v>
      </c>
      <c r="AC11" s="21">
        <f ca="1">Y11*(1+AC12)</f>
        <v>1.5564646054343212</v>
      </c>
      <c r="AD11" s="49">
        <f ca="1">Z11*(1+AD12)</f>
        <v>1.7871996642823795</v>
      </c>
    </row>
    <row r="12" spans="1:36" x14ac:dyDescent="0.2">
      <c r="A12" s="43" t="s">
        <v>171</v>
      </c>
      <c r="G12" s="22"/>
      <c r="H12" s="22"/>
      <c r="I12" s="22"/>
      <c r="J12" s="22"/>
      <c r="K12" s="11">
        <f ca="1">(K9-G9)/G9</f>
        <v>-0.31955184263601805</v>
      </c>
      <c r="L12" s="11">
        <f ca="1">(L9-H9)/H9</f>
        <v>0.11300435540810841</v>
      </c>
      <c r="M12" s="29">
        <f xml:space="preserve"> 1*'Revevnue Build Base'!M12 * (1 + ( $AI$4 * $AH$6 ) )</f>
        <v>5.2800000000000007E-2</v>
      </c>
      <c r="N12" s="29">
        <f xml:space="preserve"> 1*'Revevnue Build Base'!N12 * (1 + ( $AI$4 * $AH$6 ) )</f>
        <v>0.11440000000000002</v>
      </c>
      <c r="O12" s="29">
        <f xml:space="preserve"> 1*'Revevnue Build Base'!O12 * (1 + ( $AI$4 * $AH$6 ) )</f>
        <v>0.19360000000000002</v>
      </c>
      <c r="P12" s="29">
        <f xml:space="preserve"> 1*'Revevnue Build Base'!P12 * (1 + ( $AI$4 * $AH$6 ) )</f>
        <v>0.25520000000000004</v>
      </c>
      <c r="Q12" s="29">
        <f xml:space="preserve"> 1*'Revevnue Build Base'!Q12 * (1 + ( $AI$4 * $AH$6 ) )</f>
        <v>0.25520000000000004</v>
      </c>
      <c r="R12" s="29">
        <f xml:space="preserve"> 1*'Revevnue Build Base'!R12 * (1 + ( $AI$4 * $AH$6 ) )</f>
        <v>0.308</v>
      </c>
      <c r="S12" s="29">
        <f xml:space="preserve"> 1*'Revevnue Build Base'!S12 * (1 + ( $AI$4 * $AH$6 ) )</f>
        <v>0.33440000000000009</v>
      </c>
      <c r="T12" s="29">
        <f xml:space="preserve"> 1*'Revevnue Build Base'!T12 * (1 + ( $AI$4 * $AH$6 ) )</f>
        <v>0.30800000000000005</v>
      </c>
      <c r="U12" s="29">
        <f xml:space="preserve"> 1*'Revevnue Build Base'!U12 * (1 + ( $AI$4 * $AH$6 ) )</f>
        <v>0.25344000000000005</v>
      </c>
      <c r="V12" s="29">
        <f xml:space="preserve"> 1*'Revevnue Build Base'!V12 * (1 + ( $AI$4 * $AH$6 ) )</f>
        <v>0.25344000000000005</v>
      </c>
      <c r="W12" s="29">
        <f xml:space="preserve"> 1*'Revevnue Build Base'!W12 * (1 + ( $AI$4 * $AH$6 ) )</f>
        <v>0.2112</v>
      </c>
      <c r="X12" s="29">
        <f xml:space="preserve"> 1*'Revevnue Build Base'!X12 * (1 + ( $AI$4 * $AH$6 ) )</f>
        <v>0.2112</v>
      </c>
      <c r="Y12" s="29">
        <f xml:space="preserve"> 1*'Revevnue Build Base'!Y12 * (1 + ( $AI$4 * $AH$6 ) )</f>
        <v>0.17951999999999999</v>
      </c>
      <c r="Z12" s="29">
        <f xml:space="preserve"> 1*'Revevnue Build Base'!Z12 * (1 + ( $AI$4 * $AH$6 ) )</f>
        <v>0.15840000000000001</v>
      </c>
      <c r="AA12" s="29">
        <f xml:space="preserve"> 1*'Revevnue Build Base'!AA12 * (1 + ( $AI$4 * $AH$6 ) )</f>
        <v>0.15840000000000001</v>
      </c>
      <c r="AB12" s="29">
        <f xml:space="preserve"> 1*'Revevnue Build Base'!AB12 * (1 + ( $AI$4 * $AH$6 ) )</f>
        <v>0.10560000000000001</v>
      </c>
      <c r="AC12" s="29">
        <f xml:space="preserve"> 1*'Revevnue Build Base'!AC12 * (1 + ( $AI$4 * $AH$6 ) )</f>
        <v>0.10560000000000001</v>
      </c>
      <c r="AD12" s="65">
        <f xml:space="preserve"> 1*'Revevnue Build Base'!AD12 * (1 + ( $AI$4 * $AH$6 ) )</f>
        <v>0.10560000000000001</v>
      </c>
    </row>
    <row r="13" spans="1:36" x14ac:dyDescent="0.2">
      <c r="A13" s="43" t="s">
        <v>112</v>
      </c>
      <c r="G13" s="21">
        <v>87</v>
      </c>
      <c r="H13" s="21">
        <v>87</v>
      </c>
      <c r="I13" s="21">
        <v>105</v>
      </c>
      <c r="J13" s="21">
        <v>96</v>
      </c>
      <c r="K13" s="21">
        <v>89</v>
      </c>
      <c r="L13" s="37">
        <v>91</v>
      </c>
      <c r="M13" s="21">
        <v>94</v>
      </c>
      <c r="N13" s="21">
        <v>97</v>
      </c>
      <c r="O13" s="21">
        <v>97</v>
      </c>
      <c r="P13" s="21">
        <v>97</v>
      </c>
      <c r="Q13" s="21">
        <v>97</v>
      </c>
      <c r="R13" s="21">
        <v>100</v>
      </c>
      <c r="S13" s="21">
        <v>104</v>
      </c>
      <c r="T13" s="21">
        <v>109</v>
      </c>
      <c r="U13" s="21">
        <v>109</v>
      </c>
      <c r="V13" s="21">
        <v>116</v>
      </c>
      <c r="W13" s="21">
        <v>116</v>
      </c>
      <c r="X13" s="21">
        <v>120</v>
      </c>
      <c r="Y13" s="21">
        <v>120</v>
      </c>
      <c r="Z13" s="21">
        <v>125</v>
      </c>
      <c r="AA13" s="21">
        <v>125</v>
      </c>
      <c r="AB13" s="21">
        <v>125</v>
      </c>
      <c r="AC13" s="21">
        <v>127</v>
      </c>
      <c r="AD13" s="49">
        <v>127</v>
      </c>
    </row>
    <row r="14" spans="1:36" x14ac:dyDescent="0.2">
      <c r="A14" s="43"/>
      <c r="AD14" s="1"/>
    </row>
    <row r="15" spans="1:36" x14ac:dyDescent="0.2">
      <c r="A15" s="44" t="s">
        <v>100</v>
      </c>
      <c r="B15" s="5"/>
      <c r="C15" s="39">
        <v>322.25599999999997</v>
      </c>
      <c r="D15" s="39">
        <v>200.89099999999999</v>
      </c>
      <c r="E15" s="39">
        <v>144.24</v>
      </c>
      <c r="F15" s="39">
        <v>159.79900000000001</v>
      </c>
      <c r="G15" s="39">
        <v>373.351</v>
      </c>
      <c r="H15" s="39">
        <v>244.102</v>
      </c>
      <c r="I15" s="39">
        <v>187.23700000000008</v>
      </c>
      <c r="J15" s="39">
        <v>181.453</v>
      </c>
      <c r="K15" s="39">
        <v>254.04599999999999</v>
      </c>
      <c r="L15" s="39">
        <v>282.86500000000001</v>
      </c>
      <c r="M15" s="39">
        <f ca="1">M9+M3</f>
        <v>208.78023511329968</v>
      </c>
      <c r="N15" s="39">
        <f ca="1">N9+N3</f>
        <v>222.97920460385865</v>
      </c>
      <c r="O15" s="39">
        <f ca="1">O9+O3</f>
        <v>330.87752417850857</v>
      </c>
      <c r="P15" s="39">
        <f ca="1">P9+P3</f>
        <v>372.64950354942891</v>
      </c>
      <c r="Q15" s="39">
        <f ca="1">Q9+Q3</f>
        <v>263.18442883917544</v>
      </c>
      <c r="R15" s="39">
        <f ca="1">R9+R3</f>
        <v>280.77810022876724</v>
      </c>
      <c r="S15" s="39">
        <f ca="1">S9+S3</f>
        <v>423.88528832715457</v>
      </c>
      <c r="T15" s="39">
        <f ca="1">T9+T3</f>
        <v>484.01528404426676</v>
      </c>
      <c r="U15" s="39">
        <f ca="1">U9+U3</f>
        <v>331.57137192607047</v>
      </c>
      <c r="V15" s="39">
        <f ca="1">V9+V3</f>
        <v>358.08655954905612</v>
      </c>
      <c r="W15" s="39">
        <f ca="1">W9+W3</f>
        <v>527.71526963138081</v>
      </c>
      <c r="X15" s="39">
        <f ca="1">X9+X3</f>
        <v>591.55013337091998</v>
      </c>
      <c r="Y15" s="39">
        <f ca="1">Y9+Y3</f>
        <v>395.66548888844898</v>
      </c>
      <c r="Z15" s="39">
        <f ca="1">Z9+Z3</f>
        <v>422.86968949280339</v>
      </c>
      <c r="AA15" s="39">
        <f ca="1">AA9+AA3</f>
        <v>616.89791487385776</v>
      </c>
      <c r="AB15" s="39">
        <f ca="1">AB9+AB3</f>
        <v>664.17666531950204</v>
      </c>
      <c r="AC15" s="39">
        <f ca="1">AC9+AC3</f>
        <v>445.43197051383981</v>
      </c>
      <c r="AD15" s="9">
        <f ca="1">AD9+AD3</f>
        <v>468.26411469990887</v>
      </c>
    </row>
    <row r="16" spans="1:36" x14ac:dyDescent="0.2">
      <c r="A16" s="66" t="s">
        <v>92</v>
      </c>
      <c r="B16" s="12"/>
      <c r="C16" s="13"/>
      <c r="D16" s="13"/>
      <c r="E16" s="13"/>
      <c r="F16" s="13"/>
      <c r="G16" s="14">
        <f>G15/C15-1</f>
        <v>0.15855406881485545</v>
      </c>
      <c r="H16" s="14">
        <f t="shared" ref="H16:AD16" si="3">H15/D15-1</f>
        <v>0.21509674400545586</v>
      </c>
      <c r="I16" s="14">
        <f t="shared" si="3"/>
        <v>0.29809345535219123</v>
      </c>
      <c r="J16" s="14">
        <f t="shared" si="3"/>
        <v>0.13550773158780705</v>
      </c>
      <c r="K16" s="14">
        <f t="shared" si="3"/>
        <v>-0.3195518426360181</v>
      </c>
      <c r="L16" s="14">
        <f t="shared" si="3"/>
        <v>0.15879837117270656</v>
      </c>
      <c r="M16" s="14">
        <f ca="1">M15/I15-1</f>
        <v>0.11505864286065037</v>
      </c>
      <c r="N16" s="14">
        <f ca="1">N15/J15-1</f>
        <v>0.22885377813460583</v>
      </c>
      <c r="O16" s="14">
        <f ca="1">O15/K15-1</f>
        <v>0.30243154459628796</v>
      </c>
      <c r="P16" s="14">
        <f ca="1">P15/L15-1</f>
        <v>0.31741114506718371</v>
      </c>
      <c r="Q16" s="14">
        <f ca="1">Q15/M15-1</f>
        <v>0.26058114982173475</v>
      </c>
      <c r="R16" s="14">
        <f ca="1">R15/N15-1</f>
        <v>0.25921204503170236</v>
      </c>
      <c r="S16" s="14">
        <f ca="1">S15/O15-1</f>
        <v>0.28109423382432075</v>
      </c>
      <c r="T16" s="14">
        <f ca="1">T15/P15-1</f>
        <v>0.29884859481656623</v>
      </c>
      <c r="U16" s="14">
        <f ca="1">U15/Q15-1</f>
        <v>0.25984418374798435</v>
      </c>
      <c r="V16" s="14">
        <f ca="1">V15/R15-1</f>
        <v>0.27533649973876484</v>
      </c>
      <c r="W16" s="14">
        <f ca="1">W15/S15-1</f>
        <v>0.24494830125854783</v>
      </c>
      <c r="X16" s="14">
        <f ca="1">X15/T15-1</f>
        <v>0.2221724248625554</v>
      </c>
      <c r="Y16" s="14">
        <f ca="1">Y15/U15-1</f>
        <v>0.19330413415989778</v>
      </c>
      <c r="Z16" s="14">
        <f ca="1">Z15/V15-1</f>
        <v>0.18091472080194704</v>
      </c>
      <c r="AA16" s="14">
        <f ca="1">AA15/W15-1</f>
        <v>0.1689976591065343</v>
      </c>
      <c r="AB16" s="14">
        <f ca="1">AB15/X15-1</f>
        <v>0.12277324921680477</v>
      </c>
      <c r="AC16" s="14">
        <f ca="1">AC15/Y15-1</f>
        <v>0.12577918222082207</v>
      </c>
      <c r="AD16" s="15">
        <f ca="1">AD15/Z15-1</f>
        <v>0.10734849608528885</v>
      </c>
    </row>
    <row r="17" spans="1:31" x14ac:dyDescent="0.2">
      <c r="A17" s="43"/>
      <c r="C17" s="7"/>
      <c r="D17" s="7"/>
      <c r="E17" s="7"/>
      <c r="F17" s="7"/>
      <c r="G17" s="11"/>
      <c r="H17" s="11"/>
      <c r="I17" s="11"/>
      <c r="J17" s="11"/>
      <c r="K17" s="11"/>
      <c r="L17" s="11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52"/>
    </row>
    <row r="18" spans="1:31" x14ac:dyDescent="0.2">
      <c r="A18" s="4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1:31" x14ac:dyDescent="0.2">
      <c r="A19" s="67" t="s">
        <v>86</v>
      </c>
      <c r="B19" s="16"/>
      <c r="C19" s="17"/>
      <c r="D19" s="17"/>
      <c r="E19" s="17"/>
      <c r="F19" s="17"/>
      <c r="G19" s="17">
        <v>148.45699999999999</v>
      </c>
      <c r="H19" s="17">
        <v>101.48600000000002</v>
      </c>
      <c r="I19" s="17">
        <f ca="1">I20*I31</f>
        <v>104.00979924305315</v>
      </c>
      <c r="J19" s="17">
        <f ca="1">J20*J31</f>
        <v>58.096660829223033</v>
      </c>
      <c r="K19" s="17">
        <f ca="1">K20*K31</f>
        <v>127.26687841969039</v>
      </c>
      <c r="L19" s="17">
        <f ca="1">L20*L31</f>
        <v>157.61729787078187</v>
      </c>
      <c r="M19" s="17">
        <f ca="1">M23*M21</f>
        <v>128.14672929459303</v>
      </c>
      <c r="N19" s="17">
        <f ca="1">N23*N21</f>
        <v>75.443858979542384</v>
      </c>
      <c r="O19" s="17">
        <f ca="1">O23*O21</f>
        <v>165.88943909210292</v>
      </c>
      <c r="P19" s="17">
        <f ca="1">P23*P21</f>
        <v>205.45051045230565</v>
      </c>
      <c r="Q19" s="17">
        <f ca="1">Q23*Q21</f>
        <v>159.2341765864295</v>
      </c>
      <c r="R19" s="17">
        <f ca="1">R23*R21</f>
        <v>91.041178269312965</v>
      </c>
      <c r="S19" s="17">
        <f ca="1">S23*S21</f>
        <v>195.72496191548262</v>
      </c>
      <c r="T19" s="17">
        <f ca="1">T23*T21</f>
        <v>242.40116522106106</v>
      </c>
      <c r="U19" s="17">
        <f ca="1">U23*U21</f>
        <v>187.81063143331485</v>
      </c>
      <c r="V19" s="17">
        <f ca="1">V23*V21</f>
        <v>105.42184415343561</v>
      </c>
      <c r="W19" s="17">
        <f ca="1">W23*W21</f>
        <v>226.64124986337171</v>
      </c>
      <c r="X19" s="17">
        <f ca="1">X23*X21</f>
        <v>272.87143241873969</v>
      </c>
      <c r="Y19" s="17">
        <f ca="1">Y23*Y21</f>
        <v>211.35135257897062</v>
      </c>
      <c r="Z19" s="17">
        <f ca="1">Z23*Z21</f>
        <v>118.63571930489623</v>
      </c>
      <c r="AA19" s="17">
        <f ca="1">AA23*AA21</f>
        <v>247.74090267922344</v>
      </c>
      <c r="AB19" s="17">
        <f ca="1">AB23*AB21</f>
        <v>298.27498314426037</v>
      </c>
      <c r="AC19" s="17">
        <f ca="1">AC23*AC21</f>
        <v>230.95645236093458</v>
      </c>
      <c r="AD19" s="18">
        <f ca="1">AD23*AD21</f>
        <v>129.64045188075477</v>
      </c>
    </row>
    <row r="20" spans="1:31" x14ac:dyDescent="0.2">
      <c r="A20" s="43" t="s">
        <v>93</v>
      </c>
      <c r="C20" s="7"/>
      <c r="D20" s="7"/>
      <c r="E20" s="7"/>
      <c r="F20" s="7"/>
      <c r="G20" s="11">
        <f>G19/G31</f>
        <v>0.72499389559017435</v>
      </c>
      <c r="H20" s="11">
        <f t="shared" ref="H20:AD20" si="4">H19/H31</f>
        <v>0.5598486269404328</v>
      </c>
      <c r="I20" s="11">
        <f ca="1">I19/I31</f>
        <v>0.72499389559017435</v>
      </c>
      <c r="J20" s="11">
        <f ca="1">J19/J31</f>
        <v>0.72499389559017435</v>
      </c>
      <c r="K20" s="11">
        <f ca="1">K19/K31</f>
        <v>0.72499389559017435</v>
      </c>
      <c r="L20" s="11">
        <f ca="1">L19/L31</f>
        <v>0.72499389559017446</v>
      </c>
      <c r="M20" s="11">
        <f ca="1">M19/M31</f>
        <v>0.75145824065335842</v>
      </c>
      <c r="N20" s="11">
        <f ca="1">N19/N31</f>
        <v>0.73845739172744496</v>
      </c>
      <c r="O20" s="11">
        <f ca="1">O19/O31</f>
        <v>0.71609781887623802</v>
      </c>
      <c r="P20" s="11">
        <f ca="1">P19/P31</f>
        <v>0.72059404350604361</v>
      </c>
      <c r="Q20" s="11">
        <f ca="1">Q19/Q31</f>
        <v>0.72949934913306269</v>
      </c>
      <c r="R20" s="11">
        <f ca="1">R19/R31</f>
        <v>0.70244287858473886</v>
      </c>
      <c r="S20" s="11">
        <f ca="1">S19/S31</f>
        <v>0.65686001249370196</v>
      </c>
      <c r="T20" s="11">
        <f ca="1">T19/T31</f>
        <v>0.65919072709109938</v>
      </c>
      <c r="U20" s="11">
        <f ca="1">U19/U31</f>
        <v>0.67708347717146067</v>
      </c>
      <c r="V20" s="11">
        <f ca="1">V19/V31</f>
        <v>0.63577924013771658</v>
      </c>
      <c r="W20" s="11">
        <f ca="1">W19/W31</f>
        <v>0.60454206459549198</v>
      </c>
      <c r="X20" s="11">
        <f ca="1">X19/X31</f>
        <v>0.61273164146000492</v>
      </c>
      <c r="Y20" s="11">
        <f ca="1">Y19/Y31</f>
        <v>0.63162654495784565</v>
      </c>
      <c r="Z20" s="11">
        <f ca="1">Z19/Z31</f>
        <v>0.59907311553065767</v>
      </c>
      <c r="AA20" s="11">
        <f ca="1">AA19/AA31</f>
        <v>0.56787929483091304</v>
      </c>
      <c r="AB20" s="11">
        <f ca="1">AB19/AB31</f>
        <v>0.58455188807093827</v>
      </c>
      <c r="AC20" s="11">
        <f ca="1">AC19/AC31</f>
        <v>0.60005601959109955</v>
      </c>
      <c r="AD20" s="4">
        <f ca="1">AD19/AD31</f>
        <v>0.57662260885338279</v>
      </c>
    </row>
    <row r="21" spans="1:31" x14ac:dyDescent="0.2">
      <c r="A21" s="43" t="s">
        <v>154</v>
      </c>
      <c r="C21" s="7"/>
      <c r="D21" s="7"/>
      <c r="E21" s="7"/>
      <c r="F21" s="7"/>
      <c r="G21" s="22">
        <f>G19/G23</f>
        <v>3.2990444444444442</v>
      </c>
      <c r="H21" s="22">
        <f t="shared" ref="H21:L21" si="5">H19/H23</f>
        <v>2.2552444444444451</v>
      </c>
      <c r="I21" s="22">
        <f ca="1">I19/I23</f>
        <v>2.0801959848610632</v>
      </c>
      <c r="J21" s="22">
        <f ca="1">J19/J23</f>
        <v>1.1619332165844607</v>
      </c>
      <c r="K21" s="22">
        <f ca="1">K19/K23</f>
        <v>2.4474399696094307</v>
      </c>
      <c r="L21" s="22">
        <f ca="1">L19/L23</f>
        <v>3.0311018821304208</v>
      </c>
      <c r="M21" s="21">
        <f ca="1">I21*(1+M22)</f>
        <v>2.3730875795295008</v>
      </c>
      <c r="N21" s="21">
        <f ca="1">J21*(1+N22)</f>
        <v>1.3971084996211554</v>
      </c>
      <c r="O21" s="21">
        <f ca="1">K21*(1+O22)</f>
        <v>3.0720266498537576</v>
      </c>
      <c r="P21" s="21">
        <f ca="1">L21*(1+P22)</f>
        <v>3.8046390824501044</v>
      </c>
      <c r="Q21" s="21">
        <f ca="1">M21*(1+Q22)</f>
        <v>2.8951668470259908</v>
      </c>
      <c r="R21" s="21">
        <f ca="1">N21*(1+R22)</f>
        <v>1.6552941503511449</v>
      </c>
      <c r="S21" s="21">
        <f ca="1">O21*(1+S22)</f>
        <v>3.5586356711905931</v>
      </c>
      <c r="T21" s="21">
        <f ca="1">P21*(1+T22)</f>
        <v>4.4072939131102009</v>
      </c>
      <c r="U21" s="21">
        <f ca="1">Q21*(1+U22)</f>
        <v>3.3537612755949082</v>
      </c>
      <c r="V21" s="21">
        <f ca="1">R21*(1+V22)</f>
        <v>1.8825329313113501</v>
      </c>
      <c r="W21" s="21">
        <f ca="1">S21*(1+W22)</f>
        <v>4.0471651761316378</v>
      </c>
      <c r="X21" s="21">
        <f ca="1">T21*(1+X22)</f>
        <v>4.8727041503346378</v>
      </c>
      <c r="Y21" s="21">
        <f ca="1">U21*(1+Y22)</f>
        <v>3.70791846629773</v>
      </c>
      <c r="Z21" s="21">
        <f ca="1">V21*(1+Z22)</f>
        <v>2.0813284088578285</v>
      </c>
      <c r="AA21" s="21">
        <f ca="1">W21*(1+AA22)</f>
        <v>4.3463316259512883</v>
      </c>
      <c r="AB21" s="21">
        <f ca="1">X21*(1+AB22)</f>
        <v>5.2328944411273746</v>
      </c>
      <c r="AC21" s="21">
        <f ca="1">Y21*(1+AC22)</f>
        <v>3.9820077993264582</v>
      </c>
      <c r="AD21" s="49">
        <f ca="1">Z21*(1+AD22)</f>
        <v>2.2351802048405993</v>
      </c>
    </row>
    <row r="22" spans="1:31" x14ac:dyDescent="0.2">
      <c r="A22" s="43" t="s">
        <v>172</v>
      </c>
      <c r="G22" s="22"/>
      <c r="H22" s="22"/>
      <c r="I22" s="22"/>
      <c r="J22" s="11"/>
      <c r="K22" s="11">
        <f ca="1">(K19-G19)/G19</f>
        <v>-0.14273575230746688</v>
      </c>
      <c r="L22" s="11">
        <f ca="1">(L19-H19)/H19</f>
        <v>0.55309400184046908</v>
      </c>
      <c r="M22" s="29">
        <f xml:space="preserve"> 1*'Revevnue Build Base'!M22 * (1 + ( $AI$4 * $AH$6 ) )</f>
        <v>0.14080000000000001</v>
      </c>
      <c r="N22" s="29">
        <f xml:space="preserve"> 1*'Revevnue Build Base'!N22 * (1 + ( $AI$4 * $AH$6 ) )</f>
        <v>0.20240000000000002</v>
      </c>
      <c r="O22" s="29">
        <f xml:space="preserve"> 1*'Revevnue Build Base'!O22 * (1 + ( $AI$4 * $AH$6 ) )</f>
        <v>0.25520000000000004</v>
      </c>
      <c r="P22" s="29">
        <f xml:space="preserve"> 1*'Revevnue Build Base'!P22 * (1 + ( $AI$4 * $AH$6 ) )</f>
        <v>0.25520000000000004</v>
      </c>
      <c r="Q22" s="29">
        <f xml:space="preserve"> 1*'Revevnue Build Base'!Q22 * (1 + ( $AI$4 * $AH$6 ) )</f>
        <v>0.22000000000000003</v>
      </c>
      <c r="R22" s="29">
        <f xml:space="preserve"> 1*'Revevnue Build Base'!R22 * (1 + ( $AI$4 * $AH$6 ) )</f>
        <v>0.18480000000000002</v>
      </c>
      <c r="S22" s="29">
        <f xml:space="preserve"> 1*'Revevnue Build Base'!S22 * (1 + ( $AI$4 * $AH$6 ) )</f>
        <v>0.15840000000000001</v>
      </c>
      <c r="T22" s="29">
        <f xml:space="preserve"> 1*'Revevnue Build Base'!T22 * (1 + ( $AI$4 * $AH$6 ) )</f>
        <v>0.15840000000000001</v>
      </c>
      <c r="U22" s="29">
        <f xml:space="preserve"> 1*'Revevnue Build Base'!U22 * (1 + ( $AI$4 * $AH$6 ) )</f>
        <v>0.15840000000000001</v>
      </c>
      <c r="V22" s="29">
        <f xml:space="preserve"> 1*'Revevnue Build Base'!V22 * (1 + ( $AI$4 * $AH$6 ) )</f>
        <v>0.13728000000000001</v>
      </c>
      <c r="W22" s="29">
        <f xml:space="preserve"> 1*'Revevnue Build Base'!W22 * (1 + ( $AI$4 * $AH$6 ) )</f>
        <v>0.13728000000000001</v>
      </c>
      <c r="X22" s="29">
        <f xml:space="preserve"> 1*'Revevnue Build Base'!X22 * (1 + ( $AI$4 * $AH$6 ) )</f>
        <v>0.10560000000000001</v>
      </c>
      <c r="Y22" s="29">
        <f xml:space="preserve"> 1*'Revevnue Build Base'!Y22 * (1 + ( $AI$4 * $AH$6 ) )</f>
        <v>0.10560000000000001</v>
      </c>
      <c r="Z22" s="29">
        <f xml:space="preserve"> 1*'Revevnue Build Base'!Z22 * (1 + ( $AI$4 * $AH$6 ) )</f>
        <v>0.10560000000000001</v>
      </c>
      <c r="AA22" s="29">
        <f xml:space="preserve"> 1*'Revevnue Build Base'!AA22 * (1 + ( $AI$4 * $AH$6 ) )</f>
        <v>7.3920000000000013E-2</v>
      </c>
      <c r="AB22" s="29">
        <f xml:space="preserve"> 1*'Revevnue Build Base'!AB22 * (1 + ( $AI$4 * $AH$6 ) )</f>
        <v>7.3920000000000013E-2</v>
      </c>
      <c r="AC22" s="29">
        <f xml:space="preserve"> 1*'Revevnue Build Base'!AC22 * (1 + ( $AI$4 * $AH$6 ) )</f>
        <v>7.3920000000000013E-2</v>
      </c>
      <c r="AD22" s="65">
        <f xml:space="preserve"> 1*'Revevnue Build Base'!AD22 * (1 + ( $AI$4 * $AH$6 ) )</f>
        <v>7.3920000000000013E-2</v>
      </c>
    </row>
    <row r="23" spans="1:31" x14ac:dyDescent="0.2">
      <c r="A23" s="43" t="s">
        <v>155</v>
      </c>
      <c r="C23" s="7"/>
      <c r="D23" s="7"/>
      <c r="E23" s="7"/>
      <c r="F23" s="7"/>
      <c r="G23" s="21">
        <v>45</v>
      </c>
      <c r="H23" s="21">
        <v>45</v>
      </c>
      <c r="I23" s="21">
        <v>50</v>
      </c>
      <c r="J23" s="21">
        <v>50</v>
      </c>
      <c r="K23" s="21">
        <v>52</v>
      </c>
      <c r="L23" s="37">
        <v>52</v>
      </c>
      <c r="M23" s="21">
        <v>54</v>
      </c>
      <c r="N23" s="21">
        <v>54</v>
      </c>
      <c r="O23" s="21">
        <v>54</v>
      </c>
      <c r="P23" s="21">
        <v>54</v>
      </c>
      <c r="Q23" s="21">
        <v>55</v>
      </c>
      <c r="R23" s="21">
        <v>55</v>
      </c>
      <c r="S23" s="21">
        <v>55</v>
      </c>
      <c r="T23" s="21">
        <v>55</v>
      </c>
      <c r="U23" s="21">
        <v>56</v>
      </c>
      <c r="V23" s="21">
        <v>56</v>
      </c>
      <c r="W23" s="21">
        <v>56</v>
      </c>
      <c r="X23" s="21">
        <v>56</v>
      </c>
      <c r="Y23" s="21">
        <v>57</v>
      </c>
      <c r="Z23" s="21">
        <v>57</v>
      </c>
      <c r="AA23" s="21">
        <v>57</v>
      </c>
      <c r="AB23" s="21">
        <v>57</v>
      </c>
      <c r="AC23" s="21">
        <v>58</v>
      </c>
      <c r="AD23" s="49">
        <v>58</v>
      </c>
    </row>
    <row r="24" spans="1:31" x14ac:dyDescent="0.2">
      <c r="A24" s="43"/>
      <c r="C24" s="7"/>
      <c r="D24" s="7"/>
      <c r="E24" s="7"/>
      <c r="F24" s="7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4"/>
    </row>
    <row r="25" spans="1:31" x14ac:dyDescent="0.2">
      <c r="A25" s="43" t="s">
        <v>87</v>
      </c>
      <c r="C25" s="7"/>
      <c r="D25" s="7"/>
      <c r="E25" s="7"/>
      <c r="F25" s="7"/>
      <c r="G25" s="7">
        <v>56.313000000000002</v>
      </c>
      <c r="H25" s="7">
        <v>79.787999999999997</v>
      </c>
      <c r="I25" s="7">
        <f ca="1">I26*I31</f>
        <v>39.453200756946813</v>
      </c>
      <c r="J25" s="7">
        <f ca="1">J26*J31</f>
        <v>22.037339170776974</v>
      </c>
      <c r="K25" s="7">
        <f ca="1">K26*K31</f>
        <v>48.275121580309623</v>
      </c>
      <c r="L25" s="7">
        <f ca="1">L26*L31</f>
        <v>59.787702129218154</v>
      </c>
      <c r="M25" s="7">
        <f ca="1">M29*M27</f>
        <v>42.384009956034291</v>
      </c>
      <c r="N25" s="7">
        <f ca="1">N29*N27</f>
        <v>26.720273744567081</v>
      </c>
      <c r="O25" s="7">
        <f ca="1">O29*O27</f>
        <v>65.768072939466762</v>
      </c>
      <c r="P25" s="7">
        <f ca="1">P29*P27</f>
        <v>79.662185529315394</v>
      </c>
      <c r="Q25" s="7">
        <f ca="1">Q29*Q27</f>
        <v>59.044533018539262</v>
      </c>
      <c r="R25" s="7">
        <f ca="1">R29*R27</f>
        <v>38.565343548859701</v>
      </c>
      <c r="S25" s="7">
        <f ca="1">S29*S27</f>
        <v>102.24562267290298</v>
      </c>
      <c r="T25" s="7">
        <f ca="1">T29*T27</f>
        <v>125.32422177086112</v>
      </c>
      <c r="U25" s="7">
        <f ca="1">U29*U27</f>
        <v>89.571165295650033</v>
      </c>
      <c r="V25" s="7">
        <f ca="1">V29*V27</f>
        <v>60.393327997514305</v>
      </c>
      <c r="W25" s="7">
        <f ca="1">W29*W27</f>
        <v>148.25615287570932</v>
      </c>
      <c r="X25" s="7">
        <f ca="1">X29*X27</f>
        <v>172.46452537274465</v>
      </c>
      <c r="Y25" s="7">
        <f ca="1">Y29*Y27</f>
        <v>123.26307150777525</v>
      </c>
      <c r="Z25" s="7">
        <f ca="1">Z29*Z27</f>
        <v>79.396401031214921</v>
      </c>
      <c r="AA25" s="7">
        <f ca="1">AA29*AA27</f>
        <v>188.51536680316485</v>
      </c>
      <c r="AB25" s="7">
        <f ca="1">AB29*AB27</f>
        <v>211.9876457706653</v>
      </c>
      <c r="AC25" s="7">
        <f ca="1">AC29*AC27</f>
        <v>153.93503246795999</v>
      </c>
      <c r="AD25" s="8">
        <f ca="1">AD29*AD27</f>
        <v>95.186757268302941</v>
      </c>
    </row>
    <row r="26" spans="1:31" x14ac:dyDescent="0.2">
      <c r="A26" s="43" t="s">
        <v>94</v>
      </c>
      <c r="C26" s="7"/>
      <c r="D26" s="7"/>
      <c r="E26" s="7"/>
      <c r="F26" s="7"/>
      <c r="G26" s="11">
        <f>G25/G31</f>
        <v>0.2750061044098257</v>
      </c>
      <c r="H26" s="11">
        <f t="shared" ref="H26:AD26" si="6">H25/H31</f>
        <v>0.44015137305956725</v>
      </c>
      <c r="I26" s="11">
        <f ca="1">I25/I31</f>
        <v>0.2750061044098257</v>
      </c>
      <c r="J26" s="11">
        <f ca="1">J25/J31</f>
        <v>0.2750061044098257</v>
      </c>
      <c r="K26" s="11">
        <f ca="1">K25/K31</f>
        <v>0.2750061044098257</v>
      </c>
      <c r="L26" s="11">
        <f ca="1">L25/L31</f>
        <v>0.2750061044098257</v>
      </c>
      <c r="M26" s="11">
        <f ca="1">M25/M31</f>
        <v>0.24854175934664149</v>
      </c>
      <c r="N26" s="11">
        <f ca="1">N25/N31</f>
        <v>0.26154260827255499</v>
      </c>
      <c r="O26" s="11">
        <f ca="1">O25/O31</f>
        <v>0.28390218112376192</v>
      </c>
      <c r="P26" s="11">
        <f ca="1">P25/P31</f>
        <v>0.27940595649395628</v>
      </c>
      <c r="Q26" s="11">
        <f ca="1">Q25/Q31</f>
        <v>0.27050065086693736</v>
      </c>
      <c r="R26" s="11">
        <f ca="1">R25/R31</f>
        <v>0.29755712141526119</v>
      </c>
      <c r="S26" s="11">
        <f ca="1">S25/S31</f>
        <v>0.34313998750629815</v>
      </c>
      <c r="T26" s="11">
        <f ca="1">T25/T31</f>
        <v>0.34080927290890067</v>
      </c>
      <c r="U26" s="11">
        <f ca="1">U25/U31</f>
        <v>0.32291652282853928</v>
      </c>
      <c r="V26" s="11">
        <f ca="1">V25/V31</f>
        <v>0.36422075986228331</v>
      </c>
      <c r="W26" s="11">
        <f ca="1">W25/W31</f>
        <v>0.39545793540450797</v>
      </c>
      <c r="X26" s="11">
        <f ca="1">X25/X31</f>
        <v>0.38726835853999503</v>
      </c>
      <c r="Y26" s="11">
        <f ca="1">Y25/Y31</f>
        <v>0.36837345504215435</v>
      </c>
      <c r="Z26" s="11">
        <f ca="1">Z25/Z31</f>
        <v>0.40092688446934227</v>
      </c>
      <c r="AA26" s="11">
        <f ca="1">AA25/AA31</f>
        <v>0.43212070516908696</v>
      </c>
      <c r="AB26" s="11">
        <f ca="1">AB25/AB31</f>
        <v>0.41544811192906161</v>
      </c>
      <c r="AC26" s="11">
        <f ca="1">AC25/AC31</f>
        <v>0.39994398040890033</v>
      </c>
      <c r="AD26" s="4">
        <f ca="1">AD25/AD31</f>
        <v>0.42337739114661732</v>
      </c>
    </row>
    <row r="27" spans="1:31" x14ac:dyDescent="0.2">
      <c r="A27" s="43" t="s">
        <v>156</v>
      </c>
      <c r="C27" s="7"/>
      <c r="D27" s="7"/>
      <c r="E27" s="7"/>
      <c r="F27" s="7"/>
      <c r="G27" s="22">
        <f t="shared" ref="G27:L27" si="7">G25/G29</f>
        <v>0.64727586206896559</v>
      </c>
      <c r="H27" s="22">
        <f t="shared" si="7"/>
        <v>0.91710344827586199</v>
      </c>
      <c r="I27" s="22">
        <f ca="1">I25/I29</f>
        <v>0.37574476911377919</v>
      </c>
      <c r="J27" s="22">
        <f ca="1">J25/J29</f>
        <v>0.22955561636226016</v>
      </c>
      <c r="K27" s="22">
        <f ca="1">K25/K29</f>
        <v>0.54241709640797331</v>
      </c>
      <c r="L27" s="22">
        <f ca="1">L25/L29</f>
        <v>0.65700771570569405</v>
      </c>
      <c r="M27" s="22">
        <f ca="1">I27*1.2</f>
        <v>0.45089372293653501</v>
      </c>
      <c r="N27" s="22">
        <f ca="1">J27*1.2</f>
        <v>0.27546673963471219</v>
      </c>
      <c r="O27" s="22">
        <f ca="1">K27*1.25</f>
        <v>0.67802137050996669</v>
      </c>
      <c r="P27" s="22">
        <f ca="1">L27*1.25</f>
        <v>0.82125964463211754</v>
      </c>
      <c r="Q27" s="21">
        <f ca="1">M27*1.35</f>
        <v>0.60870652596432229</v>
      </c>
      <c r="R27" s="21">
        <f ca="1">N27*1.4</f>
        <v>0.38565343548859704</v>
      </c>
      <c r="S27" s="21">
        <f ca="1">O27*1.45</f>
        <v>0.98313098723945169</v>
      </c>
      <c r="T27" s="21">
        <f ca="1">P27*1.4</f>
        <v>1.1497635024849644</v>
      </c>
      <c r="U27" s="21">
        <f ca="1">Q27*1.35</f>
        <v>0.82175381005183512</v>
      </c>
      <c r="V27" s="21">
        <f ca="1">R27*1.35</f>
        <v>0.52063213790960605</v>
      </c>
      <c r="W27" s="21">
        <f ca="1">S27*1.3</f>
        <v>1.2780702834112871</v>
      </c>
      <c r="X27" s="21">
        <f ca="1">T27*1.25</f>
        <v>1.4372043781062054</v>
      </c>
      <c r="Y27" s="21">
        <f ca="1">U27*1.25</f>
        <v>1.0271922625647938</v>
      </c>
      <c r="Z27" s="21">
        <f ca="1">V27*1.22</f>
        <v>0.6351712082497194</v>
      </c>
      <c r="AA27" s="21">
        <f ca="1">W27*1.18</f>
        <v>1.5081229344253189</v>
      </c>
      <c r="AB27" s="21">
        <f ca="1">X27*1.18</f>
        <v>1.6959011661653223</v>
      </c>
      <c r="AC27" s="21">
        <f ca="1">Y27*1.18</f>
        <v>1.2120868698264566</v>
      </c>
      <c r="AD27" s="49">
        <f ca="1">Z27*1.18</f>
        <v>0.74950202573466884</v>
      </c>
    </row>
    <row r="28" spans="1:31" x14ac:dyDescent="0.2">
      <c r="A28" s="43" t="s">
        <v>171</v>
      </c>
      <c r="G28" s="22"/>
      <c r="H28" s="22"/>
      <c r="I28" s="22"/>
      <c r="J28" s="22"/>
      <c r="K28" s="11">
        <f ca="1">(K25-G25)/G25</f>
        <v>-0.14273575230746682</v>
      </c>
      <c r="L28" s="11">
        <f ca="1">(L25-H25)/H25</f>
        <v>-0.25066799356772751</v>
      </c>
      <c r="M28" s="29">
        <f xml:space="preserve"> 1*'Revevnue Build Base'!M28 * (1 + ( $AI$4 * $AH$6 ) )</f>
        <v>5.2800000000000007E-2</v>
      </c>
      <c r="N28" s="29">
        <f xml:space="preserve"> 1*'Revevnue Build Base'!N28 * (1 + ( $AI$4 * $AH$6 ) )</f>
        <v>0.11440000000000002</v>
      </c>
      <c r="O28" s="29">
        <f xml:space="preserve"> 1*'Revevnue Build Base'!O28 * (1 + ( $AI$4 * $AH$6 ) )</f>
        <v>0.19360000000000002</v>
      </c>
      <c r="P28" s="29">
        <f xml:space="preserve"> 1*'Revevnue Build Base'!P28 * (1 + ( $AI$4 * $AH$6 ) )</f>
        <v>0.25520000000000004</v>
      </c>
      <c r="Q28" s="29">
        <f xml:space="preserve"> 1*'Revevnue Build Base'!Q28 * (1 + ( $AI$4 * $AH$6 ) )</f>
        <v>0.28160000000000002</v>
      </c>
      <c r="R28" s="29">
        <f xml:space="preserve"> 1*'Revevnue Build Base'!R28 * (1 + ( $AI$4 * $AH$6 ) )</f>
        <v>0.308</v>
      </c>
      <c r="S28" s="29">
        <f xml:space="preserve"> 1*'Revevnue Build Base'!S28 * (1 + ( $AI$4 * $AH$6 ) )</f>
        <v>0.33440000000000009</v>
      </c>
      <c r="T28" s="29">
        <f xml:space="preserve"> 1*'Revevnue Build Base'!T28 * (1 + ( $AI$4 * $AH$6 ) )</f>
        <v>0.30800000000000005</v>
      </c>
      <c r="U28" s="29">
        <f xml:space="preserve"> 1*'Revevnue Build Base'!U28 * (1 + ( $AI$4 * $AH$6 ) )</f>
        <v>0.25344000000000005</v>
      </c>
      <c r="V28" s="29">
        <f xml:space="preserve"> 1*'Revevnue Build Base'!V28 * (1 + ( $AI$4 * $AH$6 ) )</f>
        <v>0.25344000000000005</v>
      </c>
      <c r="W28" s="29">
        <f xml:space="preserve"> 1*'Revevnue Build Base'!W28 * (1 + ( $AI$4 * $AH$6 ) )</f>
        <v>0.2112</v>
      </c>
      <c r="X28" s="29">
        <f xml:space="preserve"> 1*'Revevnue Build Base'!X28 * (1 + ( $AI$4 * $AH$6 ) )</f>
        <v>0.2112</v>
      </c>
      <c r="Y28" s="29">
        <f xml:space="preserve"> 1*'Revevnue Build Base'!Y28 * (1 + ( $AI$4 * $AH$6 ) )</f>
        <v>0.17951999999999999</v>
      </c>
      <c r="Z28" s="29">
        <f xml:space="preserve"> 1*'Revevnue Build Base'!Z28 * (1 + ( $AI$4 * $AH$6 ) )</f>
        <v>0.15840000000000001</v>
      </c>
      <c r="AA28" s="29">
        <f xml:space="preserve"> 1*'Revevnue Build Base'!AA28 * (1 + ( $AI$4 * $AH$6 ) )</f>
        <v>0.15840000000000001</v>
      </c>
      <c r="AB28" s="29">
        <f xml:space="preserve"> 1*'Revevnue Build Base'!AB28 * (1 + ( $AI$4 * $AH$6 ) )</f>
        <v>0.10560000000000001</v>
      </c>
      <c r="AC28" s="29">
        <f xml:space="preserve"> 1*'Revevnue Build Base'!AC28 * (1 + ( $AI$4 * $AH$6 ) )</f>
        <v>0.10560000000000001</v>
      </c>
      <c r="AD28" s="65">
        <f xml:space="preserve"> 1*'Revevnue Build Base'!AD28 * (1 + ( $AI$4 * $AH$6 ) )</f>
        <v>0.10560000000000001</v>
      </c>
    </row>
    <row r="29" spans="1:31" x14ac:dyDescent="0.2">
      <c r="A29" s="43" t="s">
        <v>157</v>
      </c>
      <c r="C29" s="7"/>
      <c r="D29" s="7"/>
      <c r="E29" s="7"/>
      <c r="F29" s="7"/>
      <c r="G29" s="21">
        <v>87</v>
      </c>
      <c r="H29" s="21">
        <v>87</v>
      </c>
      <c r="I29" s="21">
        <v>105</v>
      </c>
      <c r="J29" s="21">
        <v>96</v>
      </c>
      <c r="K29" s="21">
        <v>89</v>
      </c>
      <c r="L29" s="37">
        <v>91</v>
      </c>
      <c r="M29" s="21">
        <v>94</v>
      </c>
      <c r="N29" s="21">
        <v>97</v>
      </c>
      <c r="O29" s="21">
        <v>97</v>
      </c>
      <c r="P29" s="21">
        <v>97</v>
      </c>
      <c r="Q29" s="21">
        <v>97</v>
      </c>
      <c r="R29" s="21">
        <v>100</v>
      </c>
      <c r="S29" s="21">
        <v>104</v>
      </c>
      <c r="T29" s="21">
        <v>109</v>
      </c>
      <c r="U29" s="21">
        <v>109</v>
      </c>
      <c r="V29" s="21">
        <v>116</v>
      </c>
      <c r="W29" s="21">
        <v>116</v>
      </c>
      <c r="X29" s="21">
        <v>120</v>
      </c>
      <c r="Y29" s="21">
        <v>120</v>
      </c>
      <c r="Z29" s="21">
        <v>125</v>
      </c>
      <c r="AA29" s="21">
        <v>125</v>
      </c>
      <c r="AB29" s="21">
        <v>125</v>
      </c>
      <c r="AC29" s="21">
        <v>127</v>
      </c>
      <c r="AD29" s="49">
        <v>127</v>
      </c>
    </row>
    <row r="30" spans="1:31" x14ac:dyDescent="0.2">
      <c r="A30" s="43"/>
      <c r="C30" s="7"/>
      <c r="D30" s="7"/>
      <c r="E30" s="7"/>
      <c r="F30" s="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4"/>
    </row>
    <row r="31" spans="1:31" x14ac:dyDescent="0.2">
      <c r="A31" s="44" t="s">
        <v>101</v>
      </c>
      <c r="B31" s="5"/>
      <c r="C31" s="39">
        <v>170.18899999999999</v>
      </c>
      <c r="D31" s="39">
        <v>142.18200000000002</v>
      </c>
      <c r="E31" s="39">
        <v>136.76</v>
      </c>
      <c r="F31" s="39">
        <v>60.517000000000003</v>
      </c>
      <c r="G31" s="39">
        <v>204.76999999999998</v>
      </c>
      <c r="H31" s="39">
        <v>181.274</v>
      </c>
      <c r="I31" s="39">
        <v>143.46299999999997</v>
      </c>
      <c r="J31" s="39">
        <v>80.134</v>
      </c>
      <c r="K31" s="39">
        <v>175.542</v>
      </c>
      <c r="L31" s="39">
        <v>217.405</v>
      </c>
      <c r="M31" s="39">
        <f ca="1">M25+M19</f>
        <v>170.53073925062733</v>
      </c>
      <c r="N31" s="39">
        <f ca="1">N25+N19</f>
        <v>102.16413272410946</v>
      </c>
      <c r="O31" s="39">
        <f ca="1">O25+O19</f>
        <v>231.65751203156969</v>
      </c>
      <c r="P31" s="39">
        <f ca="1">P25+P19</f>
        <v>285.11269598162107</v>
      </c>
      <c r="Q31" s="39">
        <f ca="1">Q25+Q19</f>
        <v>218.27870960496875</v>
      </c>
      <c r="R31" s="39">
        <f ca="1">R25+R19</f>
        <v>129.60652181817267</v>
      </c>
      <c r="S31" s="39">
        <f ca="1">S25+S19</f>
        <v>297.97058458838558</v>
      </c>
      <c r="T31" s="39">
        <f ca="1">T25+T19</f>
        <v>367.72538699192216</v>
      </c>
      <c r="U31" s="39">
        <f ca="1">U25+U19</f>
        <v>277.3817967289649</v>
      </c>
      <c r="V31" s="39">
        <f ca="1">V25+V19</f>
        <v>165.81517215094993</v>
      </c>
      <c r="W31" s="39">
        <f ca="1">W25+W19</f>
        <v>374.89740273908103</v>
      </c>
      <c r="X31" s="39">
        <f ca="1">X25+X19</f>
        <v>445.33595779148436</v>
      </c>
      <c r="Y31" s="39">
        <f ca="1">Y25+Y19</f>
        <v>334.61442408674588</v>
      </c>
      <c r="Z31" s="39">
        <f ca="1">Z25+Z19</f>
        <v>198.03212033611115</v>
      </c>
      <c r="AA31" s="39">
        <f ca="1">AA25+AA19</f>
        <v>436.25626948238829</v>
      </c>
      <c r="AB31" s="39">
        <f ca="1">AB25+AB19</f>
        <v>510.2626289149257</v>
      </c>
      <c r="AC31" s="39">
        <f ca="1">AC25+AC19</f>
        <v>384.89148482889459</v>
      </c>
      <c r="AD31" s="9">
        <f ca="1">AD25+AD19</f>
        <v>224.82720914905769</v>
      </c>
      <c r="AE31" s="39"/>
    </row>
    <row r="32" spans="1:31" x14ac:dyDescent="0.2">
      <c r="A32" s="66" t="s">
        <v>97</v>
      </c>
      <c r="B32" s="12"/>
      <c r="C32" s="13"/>
      <c r="D32" s="13"/>
      <c r="E32" s="13"/>
      <c r="F32" s="13"/>
      <c r="G32" s="14">
        <f>G31/C31-1</f>
        <v>0.20319174564748588</v>
      </c>
      <c r="H32" s="14">
        <f t="shared" ref="H32:AD32" si="8">H31/D31-1</f>
        <v>0.274943382425342</v>
      </c>
      <c r="I32" s="14">
        <f t="shared" si="8"/>
        <v>4.9012869260017355E-2</v>
      </c>
      <c r="J32" s="14">
        <f t="shared" si="8"/>
        <v>0.3241568484888544</v>
      </c>
      <c r="K32" s="14">
        <f t="shared" si="8"/>
        <v>-0.14273575230746682</v>
      </c>
      <c r="L32" s="14">
        <f t="shared" si="8"/>
        <v>0.19931705594845361</v>
      </c>
      <c r="M32" s="14">
        <f ca="1">M31/I31-1</f>
        <v>0.18867400828525382</v>
      </c>
      <c r="N32" s="14">
        <f ca="1">N31/J31-1</f>
        <v>0.27491617445914929</v>
      </c>
      <c r="O32" s="14">
        <f ca="1">O31/K31-1</f>
        <v>0.31967000507895382</v>
      </c>
      <c r="P32" s="14">
        <f ca="1">P31/L31-1</f>
        <v>0.31143578106125003</v>
      </c>
      <c r="Q32" s="14">
        <f ca="1">Q31/M31-1</f>
        <v>0.27999626673855382</v>
      </c>
      <c r="R32" s="14">
        <f ca="1">R31/N31-1</f>
        <v>0.26861079678687605</v>
      </c>
      <c r="S32" s="14">
        <f ca="1">S31/O31-1</f>
        <v>0.28625479042431778</v>
      </c>
      <c r="T32" s="14">
        <f ca="1">T31/P31-1</f>
        <v>0.28975451523080009</v>
      </c>
      <c r="U32" s="14">
        <f ca="1">U31/Q31-1</f>
        <v>0.27076890472258297</v>
      </c>
      <c r="V32" s="14">
        <f ca="1">V31/R31-1</f>
        <v>0.27937367521963941</v>
      </c>
      <c r="W32" s="14">
        <f ca="1">W31/S31-1</f>
        <v>0.25816916880222118</v>
      </c>
      <c r="X32" s="14">
        <f ca="1">X31/T31-1</f>
        <v>0.21105578658692692</v>
      </c>
      <c r="Y32" s="14">
        <f ca="1">Y31/U31-1</f>
        <v>0.20633159072692897</v>
      </c>
      <c r="Z32" s="14">
        <f ca="1">Z31/V31-1</f>
        <v>0.19429433246212535</v>
      </c>
      <c r="AA32" s="14">
        <f ca="1">AA31/W31-1</f>
        <v>0.16366842313391938</v>
      </c>
      <c r="AB32" s="14">
        <f ca="1">AB31/X31-1</f>
        <v>0.14579256399017604</v>
      </c>
      <c r="AC32" s="14">
        <f ca="1">AC31/Y31-1</f>
        <v>0.15025371628664397</v>
      </c>
      <c r="AD32" s="15">
        <f ca="1">AD31/Z31-1</f>
        <v>0.13530678138207297</v>
      </c>
    </row>
    <row r="33" spans="1:31" x14ac:dyDescent="0.2">
      <c r="A33" s="4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</row>
    <row r="34" spans="1:31" x14ac:dyDescent="0.2">
      <c r="A34" s="67" t="s">
        <v>88</v>
      </c>
      <c r="B34" s="16"/>
      <c r="C34" s="17"/>
      <c r="D34" s="17"/>
      <c r="E34" s="17"/>
      <c r="F34" s="17"/>
      <c r="G34" s="17">
        <v>50.802</v>
      </c>
      <c r="H34" s="17">
        <v>32.762999999999998</v>
      </c>
      <c r="I34" s="17">
        <f ca="1">I35*I46</f>
        <v>34.003587530203255</v>
      </c>
      <c r="J34" s="17">
        <f ca="1">J35*J46</f>
        <v>31.672926138247973</v>
      </c>
      <c r="K34" s="17">
        <f ca="1">K35*K46</f>
        <v>40.683479698678163</v>
      </c>
      <c r="L34" s="17">
        <f ca="1">L35*L46</f>
        <v>51.09563926659402</v>
      </c>
      <c r="M34" s="17">
        <f ca="1">M36*M38</f>
        <v>58.758199252191233</v>
      </c>
      <c r="N34" s="17">
        <f ca="1">N36*N38</f>
        <v>54.730816366892512</v>
      </c>
      <c r="O34" s="17">
        <f ca="1">O36*O38</f>
        <v>63.372343376787136</v>
      </c>
      <c r="P34" s="17">
        <f ca="1">P36*P38</f>
        <v>79.591284242194533</v>
      </c>
      <c r="Q34" s="17">
        <f ca="1">Q36*Q38</f>
        <v>83.784839674420823</v>
      </c>
      <c r="R34" s="17">
        <f ca="1">R36*R38</f>
        <v>78.042090004643015</v>
      </c>
      <c r="S34" s="17">
        <f ca="1">S36*S38</f>
        <v>90.364267407640909</v>
      </c>
      <c r="T34" s="17">
        <f ca="1">T36*T38</f>
        <v>109.43801583301747</v>
      </c>
      <c r="U34" s="17">
        <f ca="1">U36*U38</f>
        <v>115.1660705342948</v>
      </c>
      <c r="V34" s="17">
        <f ca="1">V36*V38</f>
        <v>103.29934822432749</v>
      </c>
      <c r="W34" s="17">
        <f ca="1">W36*W38</f>
        <v>110.4087049053358</v>
      </c>
      <c r="X34" s="17">
        <f ca="1">X36*X38</f>
        <v>131.48480156810535</v>
      </c>
      <c r="Y34" s="17">
        <f ca="1">Y36*Y38</f>
        <v>138.32267685958334</v>
      </c>
      <c r="Z34" s="17">
        <f ca="1">Z36*Z38</f>
        <v>124.06989574229048</v>
      </c>
      <c r="AA34" s="17">
        <f ca="1">AA36*AA38</f>
        <v>132.60874092737296</v>
      </c>
      <c r="AB34" s="17">
        <f ca="1">AB36*AB38</f>
        <v>157.92263845483509</v>
      </c>
      <c r="AC34" s="17">
        <f ca="1">AC36*AC38</f>
        <v>166.08428077666463</v>
      </c>
      <c r="AD34" s="18">
        <f ca="1">AD36*AD38</f>
        <v>148.97094148425194</v>
      </c>
    </row>
    <row r="35" spans="1:31" x14ac:dyDescent="0.2">
      <c r="A35" s="43" t="s">
        <v>95</v>
      </c>
      <c r="C35" s="7"/>
      <c r="D35" s="7"/>
      <c r="E35" s="7"/>
      <c r="F35" s="7"/>
      <c r="G35" s="11">
        <f t="shared" ref="G35:AD35" si="9">G34/G46</f>
        <v>0.80229307812574024</v>
      </c>
      <c r="H35" s="11">
        <f t="shared" si="9"/>
        <v>0.70126284246575343</v>
      </c>
      <c r="I35" s="11">
        <f ca="1">I34/I46</f>
        <v>0.80229307812574024</v>
      </c>
      <c r="J35" s="11">
        <f ca="1">J34/J46</f>
        <v>0.80229307812574024</v>
      </c>
      <c r="K35" s="11">
        <f ca="1">K34/K46</f>
        <v>0.80229307812574024</v>
      </c>
      <c r="L35" s="11">
        <f ca="1">L34/L46</f>
        <v>0.80229307812574024</v>
      </c>
      <c r="M35" s="11">
        <f ca="1">M34/M46</f>
        <v>0.85765572945650004</v>
      </c>
      <c r="N35" s="11">
        <f ca="1">N34/N46</f>
        <v>0.84223146068577548</v>
      </c>
      <c r="O35" s="11">
        <f ca="1">O34/O46</f>
        <v>0.80554946914513514</v>
      </c>
      <c r="P35" s="11">
        <f ca="1">P34/P46</f>
        <v>0.80900687168721896</v>
      </c>
      <c r="Q35" s="11">
        <f ca="1">Q34/Q46</f>
        <v>0.85167457599359109</v>
      </c>
      <c r="R35" s="11">
        <f ca="1">R34/R46</f>
        <v>0.83115328041964098</v>
      </c>
      <c r="S35" s="11">
        <f ca="1">S34/S46</f>
        <v>0.78044017623855211</v>
      </c>
      <c r="T35" s="11">
        <f ca="1">T34/T46</f>
        <v>0.76411666832189384</v>
      </c>
      <c r="U35" s="11">
        <f ca="1">U34/U46</f>
        <v>0.81446356179580681</v>
      </c>
      <c r="V35" s="11">
        <f ca="1">V34/V46</f>
        <v>0.77829915631119873</v>
      </c>
      <c r="W35" s="11">
        <f ca="1">W34/W46</f>
        <v>0.72190063166156437</v>
      </c>
      <c r="X35" s="11">
        <f ca="1">X34/X46</f>
        <v>0.70913953998392842</v>
      </c>
      <c r="Y35" s="11">
        <f ca="1">Y34/Y46</f>
        <v>0.78650476811074488</v>
      </c>
      <c r="Z35" s="11">
        <f ca="1">Z34/Z46</f>
        <v>0.76231646219903482</v>
      </c>
      <c r="AA35" s="11">
        <f ca="1">AA34/AA46</f>
        <v>0.71030895724148146</v>
      </c>
      <c r="AB35" s="11">
        <f ca="1">AB34/AB46</f>
        <v>0.70434733437719055</v>
      </c>
      <c r="AC35" s="11">
        <f ca="1">AC34/AC46</f>
        <v>0.77983080913357961</v>
      </c>
      <c r="AD35" s="4">
        <f ca="1">AD34/AD46</f>
        <v>0.76259147045069409</v>
      </c>
    </row>
    <row r="36" spans="1:31" x14ac:dyDescent="0.2">
      <c r="A36" s="43" t="s">
        <v>158</v>
      </c>
      <c r="C36" s="7"/>
      <c r="D36" s="7"/>
      <c r="E36" s="7"/>
      <c r="F36" s="7"/>
      <c r="G36" s="22">
        <f t="shared" ref="G36:L36" si="10">G34/G38</f>
        <v>1.1289333333333333</v>
      </c>
      <c r="H36" s="22">
        <f t="shared" si="10"/>
        <v>0.72806666666666664</v>
      </c>
      <c r="I36" s="22">
        <f ca="1">I34/I38</f>
        <v>0.68007175060406511</v>
      </c>
      <c r="J36" s="22">
        <f ca="1">J34/J38</f>
        <v>0.63345852276495951</v>
      </c>
      <c r="K36" s="22">
        <f ca="1">K34/K38</f>
        <v>0.78237460958996463</v>
      </c>
      <c r="L36" s="22">
        <f ca="1">L34/L38</f>
        <v>0.98260844743450038</v>
      </c>
      <c r="M36" s="22">
        <f ca="1">I36*1.6</f>
        <v>1.0881148009665043</v>
      </c>
      <c r="N36" s="22">
        <f ca="1">J36*1.6</f>
        <v>1.0135336364239353</v>
      </c>
      <c r="O36" s="22">
        <f ca="1">K36*1.5</f>
        <v>1.1735619143849469</v>
      </c>
      <c r="P36" s="22">
        <f ca="1">L36*1.5</f>
        <v>1.4739126711517505</v>
      </c>
      <c r="Q36" s="21">
        <f ca="1">M36*1.4</f>
        <v>1.523360721353106</v>
      </c>
      <c r="R36" s="21">
        <f ca="1">N36*1.4</f>
        <v>1.4189470909935094</v>
      </c>
      <c r="S36" s="21">
        <f ca="1">O36*1.4</f>
        <v>1.6429866801389257</v>
      </c>
      <c r="T36" s="21">
        <f ca="1">P36*1.35</f>
        <v>1.9897821060548633</v>
      </c>
      <c r="U36" s="21">
        <f ca="1">Q36*1.35</f>
        <v>2.056536973826693</v>
      </c>
      <c r="V36" s="21">
        <f ca="1">R36*1.3</f>
        <v>1.8446312182915623</v>
      </c>
      <c r="W36" s="21">
        <f ca="1">S36*1.2</f>
        <v>1.9715840161667106</v>
      </c>
      <c r="X36" s="21">
        <f ca="1">T36*1.18</f>
        <v>2.3479428851447386</v>
      </c>
      <c r="Y36" s="21">
        <f ca="1">U36*1.18</f>
        <v>2.4267136291154974</v>
      </c>
      <c r="Z36" s="21">
        <f ca="1">V36*1.18</f>
        <v>2.1766648375840436</v>
      </c>
      <c r="AA36" s="21">
        <f ca="1">W36*1.18</f>
        <v>2.3264691390767185</v>
      </c>
      <c r="AB36" s="21">
        <f ca="1">X36*1.18</f>
        <v>2.7705726044707912</v>
      </c>
      <c r="AC36" s="21">
        <f ca="1">Y36*1.18</f>
        <v>2.8635220823562868</v>
      </c>
      <c r="AD36" s="49">
        <f ca="1">Z36*1.18</f>
        <v>2.5684645083491713</v>
      </c>
    </row>
    <row r="37" spans="1:31" x14ac:dyDescent="0.2">
      <c r="A37" s="43"/>
      <c r="C37" s="7"/>
      <c r="D37" s="7"/>
      <c r="E37" s="7"/>
      <c r="F37" s="7"/>
      <c r="G37" s="22"/>
      <c r="H37" s="22"/>
      <c r="I37" s="22"/>
      <c r="J37" s="22"/>
      <c r="K37" s="22"/>
      <c r="L37" s="22"/>
      <c r="M37" s="29">
        <f xml:space="preserve"> 1*'Revevnue Build Base'!M37 * (1 + ( $AI$4 * $AH$6 ) )</f>
        <v>0.49632000000000004</v>
      </c>
      <c r="N37" s="29">
        <f xml:space="preserve"> 1*'Revevnue Build Base'!N37 * (1 + ( $AI$4 * $AH$6 ) )</f>
        <v>0.59136000000000011</v>
      </c>
      <c r="O37" s="29">
        <f xml:space="preserve"> 1*'Revevnue Build Base'!O37 * (1 + ( $AI$4 * $AH$6 ) )</f>
        <v>0.51744000000000001</v>
      </c>
      <c r="P37" s="29">
        <f xml:space="preserve"> 1*'Revevnue Build Base'!P37 * (1 + ( $AI$4 * $AH$6 ) )</f>
        <v>0.48576000000000003</v>
      </c>
      <c r="Q37" s="29">
        <f xml:space="preserve"> 1*'Revevnue Build Base'!Q37 * (1 + ( $AI$4 * $AH$6 ) )</f>
        <v>0.43296000000000007</v>
      </c>
      <c r="R37" s="29">
        <f xml:space="preserve"> 1*'Revevnue Build Base'!R37 * (1 + ( $AI$4 * $AH$6 ) )</f>
        <v>0.39072000000000001</v>
      </c>
      <c r="S37" s="29">
        <f xml:space="preserve"> 1*'Revevnue Build Base'!S37 * (1 + ( $AI$4 * $AH$6 ) )</f>
        <v>0.34848000000000007</v>
      </c>
      <c r="T37" s="29">
        <f xml:space="preserve"> 1*'Revevnue Build Base'!T37 * (1 + ( $AI$4 * $AH$6 ) )</f>
        <v>0.30624000000000007</v>
      </c>
      <c r="U37" s="29">
        <f xml:space="preserve"> 1*'Revevnue Build Base'!U37 * (1 + ( $AI$4 * $AH$6 ) )</f>
        <v>0.30624000000000007</v>
      </c>
      <c r="V37" s="29">
        <f xml:space="preserve"> 1*'Revevnue Build Base'!V37 * (1 + ( $AI$4 * $AH$6 ) )</f>
        <v>0.26400000000000001</v>
      </c>
      <c r="W37" s="29">
        <f xml:space="preserve"> 1*'Revevnue Build Base'!W37 * (1 + ( $AI$4 * $AH$6 ) )</f>
        <v>0.26400000000000001</v>
      </c>
      <c r="X37" s="29">
        <f xml:space="preserve"> 1*'Revevnue Build Base'!X37 * (1 + ( $AI$4 * $AH$6 ) )</f>
        <v>0.22176000000000001</v>
      </c>
      <c r="Y37" s="29">
        <f xml:space="preserve"> 1*'Revevnue Build Base'!Y37 * (1 + ( $AI$4 * $AH$6 ) )</f>
        <v>0.22176000000000001</v>
      </c>
      <c r="Z37" s="29">
        <f xml:space="preserve"> 1*'Revevnue Build Base'!Z37 * (1 + ( $AI$4 * $AH$6 ) )</f>
        <v>0.20064000000000001</v>
      </c>
      <c r="AA37" s="29">
        <f xml:space="preserve"> 1*'Revevnue Build Base'!AA37 * (1 + ( $AI$4 * $AH$6 ) )</f>
        <v>0.20064000000000001</v>
      </c>
      <c r="AB37" s="29">
        <f xml:space="preserve"> 1*'Revevnue Build Base'!AB37 * (1 + ( $AI$4 * $AH$6 ) )</f>
        <v>0.15840000000000004</v>
      </c>
      <c r="AC37" s="29">
        <f xml:space="preserve"> 1*'Revevnue Build Base'!AC37 * (1 + ( $AI$4 * $AH$6 ) )</f>
        <v>0.15840000000000004</v>
      </c>
      <c r="AD37" s="65">
        <f xml:space="preserve"> 1*'Revevnue Build Base'!AD37 * (1 + ( $AI$4 * $AH$6 ) )</f>
        <v>0.15840000000000004</v>
      </c>
    </row>
    <row r="38" spans="1:31" x14ac:dyDescent="0.2">
      <c r="A38" s="43" t="s">
        <v>159</v>
      </c>
      <c r="C38" s="7"/>
      <c r="D38" s="7"/>
      <c r="E38" s="7"/>
      <c r="F38" s="7"/>
      <c r="G38" s="21">
        <v>45</v>
      </c>
      <c r="H38" s="21">
        <v>45</v>
      </c>
      <c r="I38" s="21">
        <v>50</v>
      </c>
      <c r="J38" s="21">
        <v>50</v>
      </c>
      <c r="K38" s="21">
        <v>52</v>
      </c>
      <c r="L38" s="37">
        <v>52</v>
      </c>
      <c r="M38" s="21">
        <v>54</v>
      </c>
      <c r="N38" s="21">
        <v>54</v>
      </c>
      <c r="O38" s="21">
        <v>54</v>
      </c>
      <c r="P38" s="21">
        <v>54</v>
      </c>
      <c r="Q38" s="21">
        <v>55</v>
      </c>
      <c r="R38" s="21">
        <v>55</v>
      </c>
      <c r="S38" s="21">
        <v>55</v>
      </c>
      <c r="T38" s="21">
        <v>55</v>
      </c>
      <c r="U38" s="21">
        <v>56</v>
      </c>
      <c r="V38" s="21">
        <v>56</v>
      </c>
      <c r="W38" s="21">
        <v>56</v>
      </c>
      <c r="X38" s="21">
        <v>56</v>
      </c>
      <c r="Y38" s="21">
        <v>57</v>
      </c>
      <c r="Z38" s="21">
        <v>57</v>
      </c>
      <c r="AA38" s="21">
        <v>57</v>
      </c>
      <c r="AB38" s="21">
        <v>57</v>
      </c>
      <c r="AC38" s="21">
        <v>58</v>
      </c>
      <c r="AD38" s="49">
        <v>58</v>
      </c>
    </row>
    <row r="39" spans="1:31" x14ac:dyDescent="0.2">
      <c r="A39" s="43"/>
      <c r="C39" s="7"/>
      <c r="D39" s="7"/>
      <c r="E39" s="7"/>
      <c r="F39" s="7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4"/>
    </row>
    <row r="40" spans="1:31" x14ac:dyDescent="0.2">
      <c r="A40" s="43" t="s">
        <v>89</v>
      </c>
      <c r="C40" s="7"/>
      <c r="D40" s="7"/>
      <c r="E40" s="7"/>
      <c r="F40" s="7"/>
      <c r="G40" s="7">
        <v>12.519</v>
      </c>
      <c r="H40" s="7">
        <v>13.956999999999999</v>
      </c>
      <c r="I40" s="7">
        <f ca="1">I41*I46</f>
        <v>8.3794124697967511</v>
      </c>
      <c r="J40" s="7">
        <f ca="1">J41*J46</f>
        <v>7.8050738617520254</v>
      </c>
      <c r="K40" s="7">
        <f ca="1">K41*K46</f>
        <v>10.025520301321837</v>
      </c>
      <c r="L40" s="7">
        <f ca="1">L41*L46</f>
        <v>12.591360733405979</v>
      </c>
      <c r="M40" s="7">
        <f ca="1">M44*M42</f>
        <v>9.7520400362777426</v>
      </c>
      <c r="N40" s="7">
        <f ca="1">N44*N42</f>
        <v>10.252289728822191</v>
      </c>
      <c r="O40" s="7">
        <f ca="1">O44*O42</f>
        <v>15.297366931679836</v>
      </c>
      <c r="P40" s="7">
        <f ca="1">P44*P42</f>
        <v>18.790184479082768</v>
      </c>
      <c r="Q40" s="7">
        <f ca="1">Q44*Q42</f>
        <v>14.591749267047494</v>
      </c>
      <c r="R40" s="7">
        <f ca="1">R44*R42</f>
        <v>15.854056281683802</v>
      </c>
      <c r="S40" s="7">
        <f ca="1">S44*S42</f>
        <v>25.422015973059686</v>
      </c>
      <c r="T40" s="7">
        <f ca="1">T44*T42</f>
        <v>33.783589413938508</v>
      </c>
      <c r="U40" s="7">
        <f ca="1">U44*U42</f>
        <v>26.235062599722507</v>
      </c>
      <c r="V40" s="7">
        <f ca="1">V44*V42</f>
        <v>29.425128458805137</v>
      </c>
      <c r="W40" s="7">
        <f ca="1">W44*W42</f>
        <v>42.532988262619092</v>
      </c>
      <c r="X40" s="7">
        <f ca="1">X44*X42</f>
        <v>53.92976658738808</v>
      </c>
      <c r="Y40" s="7">
        <f ca="1">Y44*Y42</f>
        <v>37.547429041804691</v>
      </c>
      <c r="Z40" s="7">
        <f ca="1">Z44*Z42</f>
        <v>38.683897327308479</v>
      </c>
      <c r="AA40" s="7">
        <f ca="1">AA44*AA42</f>
        <v>54.082894558071693</v>
      </c>
      <c r="AB40" s="7">
        <f ca="1">AB44*AB42</f>
        <v>66.288671430331178</v>
      </c>
      <c r="AC40" s="7">
        <f ca="1">AC44*AC42</f>
        <v>46.890480968373758</v>
      </c>
      <c r="AD40" s="8">
        <f ca="1">AD44*AD42</f>
        <v>46.377350827763586</v>
      </c>
    </row>
    <row r="41" spans="1:31" x14ac:dyDescent="0.2">
      <c r="A41" s="43" t="s">
        <v>96</v>
      </c>
      <c r="C41" s="7"/>
      <c r="D41" s="7"/>
      <c r="E41" s="7"/>
      <c r="F41" s="7"/>
      <c r="G41" s="11">
        <f>G40/G46</f>
        <v>0.19770692187425973</v>
      </c>
      <c r="H41" s="11">
        <f t="shared" ref="H41:AD41" si="11">H40/H46</f>
        <v>0.29873715753424657</v>
      </c>
      <c r="I41" s="11">
        <f ca="1">I40/I46</f>
        <v>0.1977069218742597</v>
      </c>
      <c r="J41" s="11">
        <f ca="1">J40/J46</f>
        <v>0.19770692187425973</v>
      </c>
      <c r="K41" s="11">
        <f ca="1">K40/K46</f>
        <v>0.19770692187425973</v>
      </c>
      <c r="L41" s="11">
        <f ca="1">L40/L46</f>
        <v>0.19770692187425973</v>
      </c>
      <c r="M41" s="11">
        <f ca="1">M40/M46</f>
        <v>0.14234427054349988</v>
      </c>
      <c r="N41" s="11">
        <f ca="1">N40/N46</f>
        <v>0.15776853931422458</v>
      </c>
      <c r="O41" s="11">
        <f ca="1">O40/O46</f>
        <v>0.19445053085486483</v>
      </c>
      <c r="P41" s="11">
        <f ca="1">P40/P46</f>
        <v>0.19099312831278101</v>
      </c>
      <c r="Q41" s="11">
        <f ca="1">Q40/Q46</f>
        <v>0.148325424006409</v>
      </c>
      <c r="R41" s="11">
        <f ca="1">R40/R46</f>
        <v>0.16884671958035913</v>
      </c>
      <c r="S41" s="11">
        <f ca="1">S40/S46</f>
        <v>0.21955982376144789</v>
      </c>
      <c r="T41" s="11">
        <f ca="1">T40/T46</f>
        <v>0.23588333167810616</v>
      </c>
      <c r="U41" s="11">
        <f ca="1">U40/U46</f>
        <v>0.18553643820419327</v>
      </c>
      <c r="V41" s="11">
        <f ca="1">V40/V46</f>
        <v>0.2217008436888013</v>
      </c>
      <c r="W41" s="11">
        <f ca="1">W40/W46</f>
        <v>0.27809936833843563</v>
      </c>
      <c r="X41" s="11">
        <f ca="1">X40/X46</f>
        <v>0.29086046001607158</v>
      </c>
      <c r="Y41" s="11">
        <f ca="1">Y40/Y46</f>
        <v>0.21349523188925509</v>
      </c>
      <c r="Z41" s="11">
        <f ca="1">Z40/Z46</f>
        <v>0.2376835378009651</v>
      </c>
      <c r="AA41" s="11">
        <f ca="1">AA40/AA46</f>
        <v>0.28969104275851848</v>
      </c>
      <c r="AB41" s="11">
        <f ca="1">AB40/AB46</f>
        <v>0.29565266562280951</v>
      </c>
      <c r="AC41" s="11">
        <f ca="1">AC40/AC46</f>
        <v>0.22016919086642037</v>
      </c>
      <c r="AD41" s="4">
        <f ca="1">AD40/AD46</f>
        <v>0.23740852954930589</v>
      </c>
    </row>
    <row r="42" spans="1:31" x14ac:dyDescent="0.2">
      <c r="A42" s="43" t="s">
        <v>160</v>
      </c>
      <c r="C42" s="7"/>
      <c r="D42" s="7"/>
      <c r="E42" s="7"/>
      <c r="F42" s="7"/>
      <c r="G42" s="22">
        <f>G40/G44</f>
        <v>0.14389655172413793</v>
      </c>
      <c r="H42" s="22">
        <f t="shared" ref="H42:L42" si="12">H40/H44</f>
        <v>0.16042528735632183</v>
      </c>
      <c r="I42" s="22">
        <f ca="1">I40/I44</f>
        <v>7.980392828377858E-2</v>
      </c>
      <c r="J42" s="22">
        <f ca="1">J40/J44</f>
        <v>8.1302852726583594E-2</v>
      </c>
      <c r="K42" s="22">
        <f ca="1">K40/K44</f>
        <v>0.11264629552047008</v>
      </c>
      <c r="L42" s="22">
        <f ca="1">L40/L44</f>
        <v>0.13836660146599977</v>
      </c>
      <c r="M42" s="22">
        <f ca="1">I42*1.3</f>
        <v>0.10374510676891216</v>
      </c>
      <c r="N42" s="22">
        <f ca="1">J42*1.3</f>
        <v>0.10569370854455867</v>
      </c>
      <c r="O42" s="22">
        <f ca="1">K42*1.4</f>
        <v>0.15770481372865811</v>
      </c>
      <c r="P42" s="22">
        <f ca="1">L42*1.4</f>
        <v>0.19371324205239968</v>
      </c>
      <c r="Q42" s="21">
        <f ca="1">M42*1.45</f>
        <v>0.15043040481492262</v>
      </c>
      <c r="R42" s="21">
        <f ca="1">N42*1.5</f>
        <v>0.15854056281683801</v>
      </c>
      <c r="S42" s="21">
        <f ca="1">O42*1.55</f>
        <v>0.24444246127942007</v>
      </c>
      <c r="T42" s="21">
        <f ca="1">P42*1.6</f>
        <v>0.30994118728383951</v>
      </c>
      <c r="U42" s="21">
        <f ca="1">Q42*1.6</f>
        <v>0.24068864770387621</v>
      </c>
      <c r="V42" s="21">
        <f ca="1">R42*1.6</f>
        <v>0.25366490050694085</v>
      </c>
      <c r="W42" s="21">
        <f ca="1">S42*1.5</f>
        <v>0.36666369191913012</v>
      </c>
      <c r="X42" s="21">
        <f ca="1">T42*1.45</f>
        <v>0.44941472156156731</v>
      </c>
      <c r="Y42" s="21">
        <f ca="1">U42*1.3</f>
        <v>0.3128952420150391</v>
      </c>
      <c r="Z42" s="21">
        <f ca="1">V42*1.22</f>
        <v>0.30947117861846785</v>
      </c>
      <c r="AA42" s="21">
        <f ca="1">W42*1.18</f>
        <v>0.43266315646457354</v>
      </c>
      <c r="AB42" s="21">
        <f ca="1">X42*1.18</f>
        <v>0.53030937144264945</v>
      </c>
      <c r="AC42" s="21">
        <f ca="1">Y42*1.18</f>
        <v>0.36921638557774611</v>
      </c>
      <c r="AD42" s="49">
        <f ca="1">Z42*1.18</f>
        <v>0.36517599076979201</v>
      </c>
    </row>
    <row r="43" spans="1:31" x14ac:dyDescent="0.2">
      <c r="A43" s="43"/>
      <c r="C43" s="7"/>
      <c r="D43" s="7"/>
      <c r="E43" s="7"/>
      <c r="F43" s="7"/>
      <c r="G43" s="22"/>
      <c r="H43" s="22"/>
      <c r="I43" s="22"/>
      <c r="J43" s="22"/>
      <c r="K43" s="22"/>
      <c r="L43" s="22"/>
      <c r="M43" s="29">
        <f xml:space="preserve"> 1*'Revevnue Build Base'!M43 * (1 + ( $AI$4 * $AH$6 ) )</f>
        <v>0.32735999999999998</v>
      </c>
      <c r="N43" s="29">
        <f xml:space="preserve"> 1*'Revevnue Build Base'!N43 * (1 + ( $AI$4 * $AH$6 ) )</f>
        <v>0.38016</v>
      </c>
      <c r="O43" s="29">
        <f xml:space="preserve"> 1*'Revevnue Build Base'!O43 * (1 + ( $AI$4 * $AH$6 ) )</f>
        <v>0.43296000000000007</v>
      </c>
      <c r="P43" s="29">
        <f xml:space="preserve"> 1*'Revevnue Build Base'!P43 * (1 + ( $AI$4 * $AH$6 ) )</f>
        <v>0.48576000000000003</v>
      </c>
      <c r="Q43" s="29">
        <f xml:space="preserve"> 1*'Revevnue Build Base'!Q43 * (1 + ( $AI$4 * $AH$6 ) )</f>
        <v>0.48576000000000003</v>
      </c>
      <c r="R43" s="29">
        <f xml:space="preserve"> 1*'Revevnue Build Base'!R43 * (1 + ( $AI$4 * $AH$6 ) )</f>
        <v>0.48576000000000003</v>
      </c>
      <c r="S43" s="29">
        <f xml:space="preserve"> 1*'Revevnue Build Base'!S43 * (1 + ( $AI$4 * $AH$6 ) )</f>
        <v>0.43296000000000007</v>
      </c>
      <c r="T43" s="29">
        <f xml:space="preserve"> 1*'Revevnue Build Base'!T43 * (1 + ( $AI$4 * $AH$6 ) )</f>
        <v>0.43296000000000007</v>
      </c>
      <c r="U43" s="29">
        <f xml:space="preserve"> 1*'Revevnue Build Base'!U43 * (1 + ( $AI$4 * $AH$6 ) )</f>
        <v>0.38016</v>
      </c>
      <c r="V43" s="29">
        <f xml:space="preserve"> 1*'Revevnue Build Base'!V43 * (1 + ( $AI$4 * $AH$6 ) )</f>
        <v>0.34848000000000007</v>
      </c>
      <c r="W43" s="29">
        <f xml:space="preserve"> 1*'Revevnue Build Base'!W43 * (1 + ( $AI$4 * $AH$6 ) )</f>
        <v>0.32735999999999998</v>
      </c>
      <c r="X43" s="29">
        <f xml:space="preserve"> 1*'Revevnue Build Base'!X43 * (1 + ( $AI$4 * $AH$6 ) )</f>
        <v>0.28511999999999998</v>
      </c>
      <c r="Y43" s="29">
        <f xml:space="preserve"> 1*'Revevnue Build Base'!Y43 * (1 + ( $AI$4 * $AH$6 ) )</f>
        <v>0.26400000000000001</v>
      </c>
      <c r="Z43" s="29">
        <f xml:space="preserve"> 1*'Revevnue Build Base'!Z43 * (1 + ( $AI$4 * $AH$6 ) )</f>
        <v>0.26400000000000001</v>
      </c>
      <c r="AA43" s="29">
        <f xml:space="preserve"> 1*'Revevnue Build Base'!AA43 * (1 + ( $AI$4 * $AH$6 ) )</f>
        <v>0.24288000000000001</v>
      </c>
      <c r="AB43" s="29">
        <f xml:space="preserve"> 1*'Revevnue Build Base'!AB43 * (1 + ( $AI$4 * $AH$6 ) )</f>
        <v>0.24288000000000001</v>
      </c>
      <c r="AC43" s="29">
        <f xml:space="preserve"> 1*'Revevnue Build Base'!AC43 * (1 + ( $AI$4 * $AH$6 ) )</f>
        <v>0.22176000000000001</v>
      </c>
      <c r="AD43" s="65">
        <f xml:space="preserve"> 1*'Revevnue Build Base'!AD43 * (1 + ( $AI$4 * $AH$6 ) )</f>
        <v>0.22176000000000001</v>
      </c>
    </row>
    <row r="44" spans="1:31" x14ac:dyDescent="0.2">
      <c r="A44" s="43" t="s">
        <v>161</v>
      </c>
      <c r="C44" s="7"/>
      <c r="D44" s="7"/>
      <c r="E44" s="7"/>
      <c r="F44" s="7"/>
      <c r="G44" s="21">
        <v>87</v>
      </c>
      <c r="H44" s="21">
        <v>87</v>
      </c>
      <c r="I44" s="21">
        <v>105</v>
      </c>
      <c r="J44" s="21">
        <v>96</v>
      </c>
      <c r="K44" s="21">
        <v>89</v>
      </c>
      <c r="L44" s="37">
        <v>91</v>
      </c>
      <c r="M44" s="21">
        <v>94</v>
      </c>
      <c r="N44" s="21">
        <v>97</v>
      </c>
      <c r="O44" s="21">
        <v>97</v>
      </c>
      <c r="P44" s="21">
        <v>97</v>
      </c>
      <c r="Q44" s="21">
        <v>97</v>
      </c>
      <c r="R44" s="21">
        <v>100</v>
      </c>
      <c r="S44" s="21">
        <v>104</v>
      </c>
      <c r="T44" s="21">
        <v>109</v>
      </c>
      <c r="U44" s="21">
        <v>109</v>
      </c>
      <c r="V44" s="21">
        <v>116</v>
      </c>
      <c r="W44" s="21">
        <v>116</v>
      </c>
      <c r="X44" s="21">
        <v>120</v>
      </c>
      <c r="Y44" s="21">
        <v>120</v>
      </c>
      <c r="Z44" s="21">
        <v>125</v>
      </c>
      <c r="AA44" s="21">
        <v>125</v>
      </c>
      <c r="AB44" s="21">
        <v>125</v>
      </c>
      <c r="AC44" s="21">
        <v>127</v>
      </c>
      <c r="AD44" s="49">
        <v>127</v>
      </c>
    </row>
    <row r="45" spans="1:31" x14ac:dyDescent="0.2">
      <c r="A45" s="43"/>
      <c r="C45" s="7"/>
      <c r="D45" s="7"/>
      <c r="E45" s="7"/>
      <c r="F45" s="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4"/>
    </row>
    <row r="46" spans="1:31" x14ac:dyDescent="0.2">
      <c r="A46" s="44" t="s">
        <v>102</v>
      </c>
      <c r="B46" s="5"/>
      <c r="C46" s="39">
        <v>48.173999999999999</v>
      </c>
      <c r="D46" s="39">
        <v>35.119000000000007</v>
      </c>
      <c r="E46" s="39">
        <v>39.739999999999995</v>
      </c>
      <c r="F46" s="39">
        <v>26.913</v>
      </c>
      <c r="G46" s="39">
        <v>63.320999999999998</v>
      </c>
      <c r="H46" s="39">
        <v>46.72</v>
      </c>
      <c r="I46" s="39">
        <v>42.38300000000001</v>
      </c>
      <c r="J46" s="39">
        <v>39.478000000000002</v>
      </c>
      <c r="K46" s="39">
        <v>50.709000000000003</v>
      </c>
      <c r="L46" s="39">
        <v>63.686999999999998</v>
      </c>
      <c r="M46" s="39">
        <f ca="1">M40+M34</f>
        <v>68.510239288468981</v>
      </c>
      <c r="N46" s="39">
        <f ca="1">N40+N34</f>
        <v>64.983106095714703</v>
      </c>
      <c r="O46" s="39">
        <f ca="1">O40+O34</f>
        <v>78.669710308466975</v>
      </c>
      <c r="P46" s="39">
        <f ca="1">P40+P34</f>
        <v>98.381468721277301</v>
      </c>
      <c r="Q46" s="39">
        <f ca="1">Q40+Q34</f>
        <v>98.376588941468313</v>
      </c>
      <c r="R46" s="39">
        <f ca="1">R40+R34</f>
        <v>93.896146286326811</v>
      </c>
      <c r="S46" s="39">
        <f ca="1">S40+S34</f>
        <v>115.7862833807006</v>
      </c>
      <c r="T46" s="39">
        <f ca="1">T40+T34</f>
        <v>143.22160524695599</v>
      </c>
      <c r="U46" s="39">
        <f ca="1">U40+U34</f>
        <v>141.4011331340173</v>
      </c>
      <c r="V46" s="39">
        <f ca="1">V40+V34</f>
        <v>132.72447668313262</v>
      </c>
      <c r="W46" s="39">
        <f ca="1">W40+W34</f>
        <v>152.9416931679549</v>
      </c>
      <c r="X46" s="39">
        <f ca="1">X40+X34</f>
        <v>185.41456815549344</v>
      </c>
      <c r="Y46" s="39">
        <f ca="1">Y40+Y34</f>
        <v>175.87010590138803</v>
      </c>
      <c r="Z46" s="39">
        <f ca="1">Z40+Z34</f>
        <v>162.75379306959897</v>
      </c>
      <c r="AA46" s="39">
        <f ca="1">AA40+AA34</f>
        <v>186.69163548544466</v>
      </c>
      <c r="AB46" s="39">
        <f ca="1">AB40+AB34</f>
        <v>224.21130988516626</v>
      </c>
      <c r="AC46" s="39">
        <f ca="1">AC40+AC34</f>
        <v>212.97476174503839</v>
      </c>
      <c r="AD46" s="9">
        <f ca="1">AD40+AD34</f>
        <v>195.34829231201553</v>
      </c>
      <c r="AE46" s="39"/>
    </row>
    <row r="47" spans="1:31" x14ac:dyDescent="0.2">
      <c r="A47" s="66" t="s">
        <v>98</v>
      </c>
      <c r="B47" s="12"/>
      <c r="C47" s="12"/>
      <c r="D47" s="12"/>
      <c r="E47" s="12"/>
      <c r="F47" s="12"/>
      <c r="G47" s="62">
        <f>G46/C46-1</f>
        <v>0.31442271764852414</v>
      </c>
      <c r="H47" s="62">
        <f t="shared" ref="H47:K47" si="13">H46/D46-1</f>
        <v>0.3303340072325518</v>
      </c>
      <c r="I47" s="62">
        <f t="shared" si="13"/>
        <v>6.6507297433316959E-2</v>
      </c>
      <c r="J47" s="62">
        <f t="shared" si="13"/>
        <v>0.46687474454724498</v>
      </c>
      <c r="K47" s="62">
        <f t="shared" si="13"/>
        <v>-0.1991756289382669</v>
      </c>
      <c r="L47" s="62">
        <f>L46/H46-1</f>
        <v>0.36316352739726021</v>
      </c>
      <c r="M47" s="62">
        <f ca="1">M46/I46-1</f>
        <v>0.61645563760160837</v>
      </c>
      <c r="N47" s="62">
        <f ca="1">N46/J46-1</f>
        <v>0.64605871867153097</v>
      </c>
      <c r="O47" s="62">
        <f ca="1">O46/K46-1</f>
        <v>0.55139541912613077</v>
      </c>
      <c r="P47" s="62">
        <f ca="1">P46/L46-1</f>
        <v>0.54476531664668304</v>
      </c>
      <c r="Q47" s="62">
        <f ca="1">Q46/M46-1</f>
        <v>0.43593994070352293</v>
      </c>
      <c r="R47" s="62">
        <f ca="1">R46/N46-1</f>
        <v>0.44493164343399672</v>
      </c>
      <c r="S47" s="62">
        <f ca="1">S46/O46-1</f>
        <v>0.4718025899256284</v>
      </c>
      <c r="T47" s="62">
        <f ca="1">T46/P46-1</f>
        <v>0.45577827926836956</v>
      </c>
      <c r="U47" s="62">
        <f ca="1">U46/Q46-1</f>
        <v>0.43734535477894587</v>
      </c>
      <c r="V47" s="62">
        <f ca="1">V46/R46-1</f>
        <v>0.41352421726023492</v>
      </c>
      <c r="W47" s="62">
        <f ca="1">W46/S46-1</f>
        <v>0.32089647151976397</v>
      </c>
      <c r="X47" s="62">
        <f ca="1">X46/T46-1</f>
        <v>0.29459914819265176</v>
      </c>
      <c r="Y47" s="62">
        <f ca="1">Y46/U46-1</f>
        <v>0.24376730230797872</v>
      </c>
      <c r="Z47" s="62">
        <f ca="1">Z46/V46-1</f>
        <v>0.22625304041061356</v>
      </c>
      <c r="AA47" s="62">
        <f ca="1">AA46/W46-1</f>
        <v>0.22067195424877917</v>
      </c>
      <c r="AB47" s="62">
        <f ca="1">AB46/X46-1</f>
        <v>0.20924322244807025</v>
      </c>
      <c r="AC47" s="62">
        <f ca="1">AC46/Y46-1</f>
        <v>0.21097761699452944</v>
      </c>
      <c r="AD47" s="63">
        <f ca="1">AD46/Z46-1</f>
        <v>0.20026875335850436</v>
      </c>
    </row>
    <row r="48" spans="1:31" x14ac:dyDescent="0.2">
      <c r="A48" s="43"/>
      <c r="AD48" s="1"/>
    </row>
    <row r="49" spans="1:30" x14ac:dyDescent="0.2">
      <c r="A49" s="43"/>
      <c r="AD49" s="1"/>
    </row>
    <row r="50" spans="1:30" s="30" customFormat="1" x14ac:dyDescent="0.2">
      <c r="A50" s="64" t="s">
        <v>99</v>
      </c>
      <c r="B50" s="58"/>
      <c r="C50" s="59">
        <f t="shared" ref="C50:AD50" si="14">SUM(C15, C31, C46)</f>
        <v>540.61899999999991</v>
      </c>
      <c r="D50" s="59">
        <f t="shared" si="14"/>
        <v>378.19200000000001</v>
      </c>
      <c r="E50" s="59">
        <f t="shared" si="14"/>
        <v>320.74</v>
      </c>
      <c r="F50" s="59">
        <f t="shared" si="14"/>
        <v>247.22900000000001</v>
      </c>
      <c r="G50" s="59">
        <f t="shared" si="14"/>
        <v>641.44200000000001</v>
      </c>
      <c r="H50" s="59">
        <f t="shared" si="14"/>
        <v>472.096</v>
      </c>
      <c r="I50" s="59">
        <f t="shared" si="14"/>
        <v>373.08300000000008</v>
      </c>
      <c r="J50" s="59">
        <f t="shared" si="14"/>
        <v>301.065</v>
      </c>
      <c r="K50" s="59">
        <f t="shared" si="14"/>
        <v>480.29699999999997</v>
      </c>
      <c r="L50" s="59">
        <f t="shared" si="14"/>
        <v>563.95699999999999</v>
      </c>
      <c r="M50" s="59">
        <f ca="1">SUM(M15, M31, M46)</f>
        <v>447.82121365239601</v>
      </c>
      <c r="N50" s="59">
        <f ca="1">SUM(N15, N31, N46)</f>
        <v>390.12644342368276</v>
      </c>
      <c r="O50" s="59">
        <f ca="1">SUM(O15, O31, O46)</f>
        <v>641.20474651854522</v>
      </c>
      <c r="P50" s="59">
        <f ca="1">SUM(P15, P31, P46)</f>
        <v>756.1436682523273</v>
      </c>
      <c r="Q50" s="59">
        <f ca="1">SUM(Q15, Q31, Q46)</f>
        <v>579.83972738561249</v>
      </c>
      <c r="R50" s="59">
        <f ca="1">SUM(R15, R31, R46)</f>
        <v>504.28076833326674</v>
      </c>
      <c r="S50" s="59">
        <f ca="1">SUM(S15, S31, S46)</f>
        <v>837.64215629624084</v>
      </c>
      <c r="T50" s="59">
        <f ca="1">SUM(T15, T31, T46)</f>
        <v>994.96227628314489</v>
      </c>
      <c r="U50" s="59">
        <f ca="1">SUM(U15, U31, U46)</f>
        <v>750.35430178905267</v>
      </c>
      <c r="V50" s="59">
        <f ca="1">SUM(V15, V31, V46)</f>
        <v>656.62620838313865</v>
      </c>
      <c r="W50" s="59">
        <f ca="1">SUM(W15, W31, W46)</f>
        <v>1055.5543655384167</v>
      </c>
      <c r="X50" s="59">
        <f ca="1">SUM(X15, X31, X46)</f>
        <v>1222.3006593178977</v>
      </c>
      <c r="Y50" s="59">
        <f ca="1">SUM(Y15, Y31, Y46)</f>
        <v>906.15001887658286</v>
      </c>
      <c r="Z50" s="59">
        <f ca="1">SUM(Z15, Z31, Z46)</f>
        <v>783.65560289851351</v>
      </c>
      <c r="AA50" s="59">
        <f ca="1">SUM(AA15, AA31, AA46)</f>
        <v>1239.8458198416909</v>
      </c>
      <c r="AB50" s="59">
        <f ca="1">SUM(AB15, AB31, AB46)</f>
        <v>1398.6506041195939</v>
      </c>
      <c r="AC50" s="59">
        <f ca="1">SUM(AC15, AC31, AC46)</f>
        <v>1043.2982170877729</v>
      </c>
      <c r="AD50" s="60">
        <f ca="1">SUM(AD15, AD31, AD46)</f>
        <v>888.43961616098204</v>
      </c>
    </row>
    <row r="51" spans="1:30" x14ac:dyDescent="0.2">
      <c r="A51" s="43"/>
      <c r="G51" s="19">
        <f>G50/C50-1</f>
        <v>0.18649548018105189</v>
      </c>
      <c r="H51" s="19">
        <f t="shared" ref="H51:AD51" si="15">H50/D50-1</f>
        <v>0.24829716123027445</v>
      </c>
      <c r="I51" s="19">
        <f t="shared" si="15"/>
        <v>0.163194487747085</v>
      </c>
      <c r="J51" s="19">
        <f t="shared" si="15"/>
        <v>0.21775762552127786</v>
      </c>
      <c r="K51" s="19">
        <f t="shared" si="15"/>
        <v>-0.25122302562039911</v>
      </c>
      <c r="L51" s="19">
        <f t="shared" si="15"/>
        <v>0.19458118687724535</v>
      </c>
      <c r="M51" s="19">
        <f ca="1">M50/I50-1</f>
        <v>0.20032596942877556</v>
      </c>
      <c r="N51" s="19">
        <f ca="1">N50/J50-1</f>
        <v>0.2958213124198521</v>
      </c>
      <c r="O51" s="19">
        <f ca="1">O50/K50-1</f>
        <v>0.33501718003349024</v>
      </c>
      <c r="P51" s="19">
        <f ca="1">P50/L50-1</f>
        <v>0.34078248563689661</v>
      </c>
      <c r="Q51" s="19">
        <f ca="1">Q50/M50-1</f>
        <v>0.29480183097286394</v>
      </c>
      <c r="R51" s="19">
        <f ca="1">R50/N50-1</f>
        <v>0.29260852944954263</v>
      </c>
      <c r="S51" s="19">
        <f ca="1">S50/O50-1</f>
        <v>0.30635676177424265</v>
      </c>
      <c r="T51" s="19">
        <f ca="1">T50/P50-1</f>
        <v>0.31583760872163147</v>
      </c>
      <c r="U51" s="19">
        <f ca="1">U50/Q50-1</f>
        <v>0.29407190702896147</v>
      </c>
      <c r="V51" s="19">
        <f ca="1">V50/R50-1</f>
        <v>0.30210440218333012</v>
      </c>
      <c r="W51" s="19">
        <f ca="1">W50/S50-1</f>
        <v>0.26014952519308143</v>
      </c>
      <c r="X51" s="19">
        <f ca="1">X50/T50-1</f>
        <v>0.22848944975483398</v>
      </c>
      <c r="Y51" s="19">
        <f ca="1">Y50/U50-1</f>
        <v>0.20762953809429763</v>
      </c>
      <c r="Z51" s="19">
        <f ca="1">Z50/V50-1</f>
        <v>0.19345769768795718</v>
      </c>
      <c r="AA51" s="19">
        <f ca="1">AA50/W50-1</f>
        <v>0.17459210090924193</v>
      </c>
      <c r="AB51" s="19">
        <f ca="1">AB50/X50-1</f>
        <v>0.14427705937760682</v>
      </c>
      <c r="AC51" s="19">
        <f ca="1">AC50/Y50-1</f>
        <v>0.15135264068219323</v>
      </c>
      <c r="AD51" s="6">
        <f ca="1">AD50/Z50-1</f>
        <v>0.1337118153368686</v>
      </c>
    </row>
    <row r="52" spans="1:30" x14ac:dyDescent="0.2">
      <c r="A52" s="43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6"/>
    </row>
    <row r="53" spans="1:30" x14ac:dyDescent="0.2">
      <c r="A53" s="43" t="s">
        <v>104</v>
      </c>
      <c r="C53">
        <f t="shared" ref="C53:AD53" si="16">C9+C25+C40</f>
        <v>0</v>
      </c>
      <c r="D53">
        <f t="shared" si="16"/>
        <v>0</v>
      </c>
      <c r="E53">
        <f t="shared" si="16"/>
        <v>0</v>
      </c>
      <c r="F53">
        <f t="shared" si="16"/>
        <v>0</v>
      </c>
      <c r="G53" s="7">
        <f t="shared" si="16"/>
        <v>219.697</v>
      </c>
      <c r="H53" s="7">
        <f t="shared" si="16"/>
        <v>196.44099999999997</v>
      </c>
      <c r="I53" s="7">
        <f ca="1">I9+I25+I40</f>
        <v>123.4920061438645</v>
      </c>
      <c r="J53" s="7">
        <f ca="1">J9+J25+J40</f>
        <v>103.16458665734855</v>
      </c>
      <c r="K53" s="7">
        <f ca="1">K9+K25+K40</f>
        <v>160.95645314234861</v>
      </c>
      <c r="L53" s="7">
        <f ca="1">L9+L25+L40</f>
        <v>186.68015814561525</v>
      </c>
      <c r="M53" s="7">
        <f ca="1">M9+M25+M40</f>
        <v>123.4455322126513</v>
      </c>
      <c r="N53" s="7">
        <f ca="1">N9+N25+N40</f>
        <v>119.53394199304962</v>
      </c>
      <c r="O53" s="7">
        <f ca="1">O9+O25+O40</f>
        <v>214.6093466477401</v>
      </c>
      <c r="P53" s="7">
        <f ca="1">P9+P25+P40</f>
        <v>251.38271369546862</v>
      </c>
      <c r="Q53" s="7">
        <f ca="1">Q9+Q25+Q40</f>
        <v>166.00057188184289</v>
      </c>
      <c r="R53" s="7">
        <f ca="1">R9+R25+R40</f>
        <v>165.74958859726078</v>
      </c>
      <c r="S53" s="7">
        <f ca="1">S9+S25+S40</f>
        <v>318.72849304884289</v>
      </c>
      <c r="T53" s="7">
        <f ca="1">T9+T25+T40</f>
        <v>383.88703757812959</v>
      </c>
      <c r="U53" s="7">
        <f ca="1">U9+U25+U40</f>
        <v>245.90176780791799</v>
      </c>
      <c r="V53" s="7">
        <f ca="1">V9+V25+V40</f>
        <v>251.69148215331421</v>
      </c>
      <c r="W53" s="7">
        <f ca="1">W9+W25+W40</f>
        <v>448.90353724333949</v>
      </c>
      <c r="X53" s="7">
        <f ca="1">X9+X25+X40</f>
        <v>526.12192389510653</v>
      </c>
      <c r="Y53" s="7">
        <f ca="1">Y9+Y25+Y40</f>
        <v>329.7466009946944</v>
      </c>
      <c r="Z53" s="7">
        <f ca="1">Z9+Z25+Z40</f>
        <v>320.14248905615136</v>
      </c>
      <c r="AA53" s="7">
        <f ca="1">AA9+AA25+AA40</f>
        <v>564.7962316716297</v>
      </c>
      <c r="AB53" s="7">
        <f ca="1">AB9+AB25+AB40</f>
        <v>623.46263997944141</v>
      </c>
      <c r="AC53" s="7">
        <f ca="1">AC9+AC25+AC40</f>
        <v>398.49651832649255</v>
      </c>
      <c r="AD53" s="8">
        <f ca="1">AD9+AD25+AD40</f>
        <v>368.53846545992872</v>
      </c>
    </row>
    <row r="54" spans="1:30" x14ac:dyDescent="0.2">
      <c r="A54" s="43" t="s">
        <v>169</v>
      </c>
      <c r="K54" s="19">
        <f ca="1">(K53-G53)/G53</f>
        <v>-0.2673707281285197</v>
      </c>
      <c r="L54" s="19">
        <f ca="1">(L53-H53)/H53</f>
        <v>-4.968841460990691E-2</v>
      </c>
      <c r="M54" s="19">
        <f ca="1">(M53-I53)/I53</f>
        <v>-3.7633149435647604E-4</v>
      </c>
      <c r="N54" s="19">
        <f ca="1">(N53-J53)/J53</f>
        <v>0.15867223304126971</v>
      </c>
      <c r="O54" s="19">
        <f ca="1">(O53-K53)/K53</f>
        <v>0.33333794612100015</v>
      </c>
      <c r="P54" s="19">
        <f ca="1">(P53-L53)/L53</f>
        <v>0.34659578282220943</v>
      </c>
      <c r="Q54" s="19">
        <f ca="1">(Q53-M53)/M53</f>
        <v>0.34472725668098614</v>
      </c>
      <c r="R54" s="19">
        <f ca="1">(R53-N53)/N53</f>
        <v>0.38663199618145611</v>
      </c>
      <c r="S54" s="19">
        <f ca="1">(S53-O53)/O53</f>
        <v>0.48515662541018784</v>
      </c>
      <c r="T54" s="19">
        <f ca="1">(T53-P53)/P53</f>
        <v>0.52710197107339707</v>
      </c>
      <c r="U54" s="19">
        <f ca="1">(U53-Q53)/Q53</f>
        <v>0.48133084735965709</v>
      </c>
      <c r="V54" s="19">
        <f ca="1">(V53-R53)/R53</f>
        <v>0.5185044155064269</v>
      </c>
      <c r="W54" s="19">
        <f ca="1">(W53-S53)/S53</f>
        <v>0.40841985273826203</v>
      </c>
      <c r="X54" s="19">
        <f ca="1">(X53-T53)/T53</f>
        <v>0.37051234450193948</v>
      </c>
      <c r="Y54" s="19">
        <f ca="1">(Y53-U53)/U53</f>
        <v>0.34096881016435143</v>
      </c>
      <c r="Z54" s="19">
        <f ca="1">(Z53-V53)/V53</f>
        <v>0.2719639390145957</v>
      </c>
      <c r="AA54" s="19">
        <f ca="1">(AA53-W53)/W53</f>
        <v>0.25816836984616509</v>
      </c>
      <c r="AB54" s="19">
        <f ca="1">(AB53-X53)/X53</f>
        <v>0.18501551002413993</v>
      </c>
      <c r="AC54" s="19">
        <f ca="1">(AC53-Y53)/Y53</f>
        <v>0.20849317968528303</v>
      </c>
      <c r="AD54" s="6">
        <f ca="1">(AD53-Z53)/Z53</f>
        <v>0.15117011349058684</v>
      </c>
    </row>
    <row r="55" spans="1:30" x14ac:dyDescent="0.2">
      <c r="A55" s="43" t="s">
        <v>167</v>
      </c>
      <c r="G55" s="41">
        <f t="shared" ref="G55:K55" si="17">G53/G50</f>
        <v>0.34250485624577126</v>
      </c>
      <c r="H55" s="41">
        <f t="shared" si="17"/>
        <v>0.41610392801464102</v>
      </c>
      <c r="I55" s="41">
        <f ca="1">I53/I50</f>
        <v>0.33100410939084457</v>
      </c>
      <c r="J55" s="41">
        <f ca="1">J53/J50</f>
        <v>0.34266549302425903</v>
      </c>
      <c r="K55" s="41">
        <f ca="1">K53/K50</f>
        <v>0.33511858941935641</v>
      </c>
      <c r="L55" s="41">
        <f ca="1">L53/L50</f>
        <v>0.33101842542182341</v>
      </c>
      <c r="M55" s="41">
        <f ca="1">M53/M50</f>
        <v>0.27565807167963047</v>
      </c>
      <c r="N55" s="41">
        <f ca="1">N53/N50</f>
        <v>0.30639794868566267</v>
      </c>
      <c r="O55" s="41">
        <f ca="1">O53/O50</f>
        <v>0.33469706488133905</v>
      </c>
      <c r="P55" s="41">
        <f ca="1">P53/P50</f>
        <v>0.33245363844213466</v>
      </c>
      <c r="Q55" s="41">
        <f ca="1">Q53/Q50</f>
        <v>0.28628699283905229</v>
      </c>
      <c r="R55" s="41">
        <f ca="1">R53/R50</f>
        <v>0.32868512742433392</v>
      </c>
      <c r="S55" s="41">
        <f ca="1">S53/S50</f>
        <v>0.38050674820158081</v>
      </c>
      <c r="T55" s="41">
        <f ca="1">T53/T50</f>
        <v>0.38583074627935299</v>
      </c>
      <c r="U55" s="41">
        <f ca="1">U53/U50</f>
        <v>0.32771421076899276</v>
      </c>
      <c r="V55" s="41">
        <f ca="1">V53/V50</f>
        <v>0.38331013739624187</v>
      </c>
      <c r="W55" s="41">
        <f ca="1">W53/W50</f>
        <v>0.42527751473450914</v>
      </c>
      <c r="X55" s="41">
        <f ca="1">X53/X50</f>
        <v>0.43043576871561845</v>
      </c>
      <c r="Y55" s="41">
        <f ca="1">Y53/Y50</f>
        <v>0.36389846507259821</v>
      </c>
      <c r="Z55" s="41">
        <f ca="1">Z53/Z50</f>
        <v>0.408524469004034</v>
      </c>
      <c r="AA55" s="41">
        <f ca="1">AA53/AA50</f>
        <v>0.45553747299300928</v>
      </c>
      <c r="AB55" s="41">
        <f ca="1">AB53/AB50</f>
        <v>0.44576010487758044</v>
      </c>
      <c r="AC55" s="41">
        <f ca="1">AC53/AC50</f>
        <v>0.38195840057969443</v>
      </c>
      <c r="AD55" s="28">
        <f ca="1">AD53/AD50</f>
        <v>0.41481543456201631</v>
      </c>
    </row>
    <row r="56" spans="1:30" x14ac:dyDescent="0.2">
      <c r="A56" s="43"/>
      <c r="AD56" s="1"/>
    </row>
    <row r="57" spans="1:30" x14ac:dyDescent="0.2">
      <c r="A57" s="43" t="s">
        <v>105</v>
      </c>
      <c r="C57" s="7">
        <f t="shared" ref="C57:AD57" si="18">C3+C19+C34</f>
        <v>0</v>
      </c>
      <c r="D57" s="7">
        <f t="shared" si="18"/>
        <v>0</v>
      </c>
      <c r="E57" s="7">
        <f t="shared" si="18"/>
        <v>0</v>
      </c>
      <c r="F57" s="7">
        <f t="shared" si="18"/>
        <v>0</v>
      </c>
      <c r="G57" s="7">
        <f t="shared" si="18"/>
        <v>421.745</v>
      </c>
      <c r="H57" s="7">
        <f t="shared" si="18"/>
        <v>275.65500000000003</v>
      </c>
      <c r="I57" s="7">
        <f ca="1">I3+I19+I34</f>
        <v>249.59099385613555</v>
      </c>
      <c r="J57" s="7">
        <f ca="1">J3+J19+J34</f>
        <v>197.90041334265146</v>
      </c>
      <c r="K57" s="7">
        <f ca="1">K3+K19+K34</f>
        <v>319.34054685765142</v>
      </c>
      <c r="L57" s="7">
        <f ca="1">L3+L19+L34</f>
        <v>377.27684185438477</v>
      </c>
      <c r="M57" s="7">
        <f ca="1">M3+M19+M34</f>
        <v>324.37568143974465</v>
      </c>
      <c r="N57" s="7">
        <f ca="1">N3+N19+N34</f>
        <v>270.59250143063321</v>
      </c>
      <c r="O57" s="7">
        <f ca="1">O3+O19+O34</f>
        <v>426.59539987080512</v>
      </c>
      <c r="P57" s="7">
        <f ca="1">P3+P19+P34</f>
        <v>504.76095455685868</v>
      </c>
      <c r="Q57" s="7">
        <f ca="1">Q3+Q19+Q34</f>
        <v>413.83915550376963</v>
      </c>
      <c r="R57" s="7">
        <f ca="1">R3+R19+R34</f>
        <v>338.53117973600598</v>
      </c>
      <c r="S57" s="7">
        <f ca="1">S3+S19+S34</f>
        <v>518.91366324739784</v>
      </c>
      <c r="T57" s="7">
        <f ca="1">T3+T19+T34</f>
        <v>611.07523870501529</v>
      </c>
      <c r="U57" s="7">
        <f ca="1">U3+U19+U34</f>
        <v>504.45253398113465</v>
      </c>
      <c r="V57" s="7">
        <f ca="1">V3+V19+V34</f>
        <v>404.93472622982443</v>
      </c>
      <c r="W57" s="7">
        <f ca="1">W3+W19+W34</f>
        <v>606.65082829507708</v>
      </c>
      <c r="X57" s="7">
        <f ca="1">X3+X19+X34</f>
        <v>696.17873542279119</v>
      </c>
      <c r="Y57" s="7">
        <f ca="1">Y3+Y19+Y34</f>
        <v>576.40341788188846</v>
      </c>
      <c r="Z57" s="7">
        <f ca="1">Z3+Z19+Z34</f>
        <v>463.51311384236215</v>
      </c>
      <c r="AA57" s="7">
        <f ca="1">AA3+AA19+AA34</f>
        <v>675.04958817006104</v>
      </c>
      <c r="AB57" s="7">
        <f ca="1">AB3+AB19+AB34</f>
        <v>775.18796414015264</v>
      </c>
      <c r="AC57" s="7">
        <f ca="1">AC3+AC19+AC34</f>
        <v>644.80169876128025</v>
      </c>
      <c r="AD57" s="8">
        <f ca="1">AD3+AD19+AD34</f>
        <v>519.90115070105333</v>
      </c>
    </row>
    <row r="58" spans="1:30" x14ac:dyDescent="0.2">
      <c r="A58" s="43" t="s">
        <v>168</v>
      </c>
      <c r="K58" s="19">
        <f ca="1">(K57-G57)/G57</f>
        <v>-0.24281130337608883</v>
      </c>
      <c r="L58" s="19">
        <f ca="1">(L57-H57)/H57</f>
        <v>0.36865589905637386</v>
      </c>
      <c r="M58" s="19">
        <f ca="1">(M57-I57)/I57</f>
        <v>0.29962895066123679</v>
      </c>
      <c r="N58" s="19">
        <f ca="1">(N57-J57)/J57</f>
        <v>0.36731650460032245</v>
      </c>
      <c r="O58" s="19">
        <f ca="1">(O57-K57)/K57</f>
        <v>0.33586356029183917</v>
      </c>
      <c r="P58" s="19">
        <f ca="1">(P57-L57)/L57</f>
        <v>0.33790601107628593</v>
      </c>
      <c r="Q58" s="19">
        <f ca="1">(Q57-M57)/M57</f>
        <v>0.27580203813966714</v>
      </c>
      <c r="R58" s="19">
        <f ca="1">(R57-N57)/N57</f>
        <v>0.25107376570369949</v>
      </c>
      <c r="S58" s="19">
        <f ca="1">(S57-O57)/O57</f>
        <v>0.21640707659893049</v>
      </c>
      <c r="T58" s="19">
        <f ca="1">(T57-P57)/P57</f>
        <v>0.21062303490073314</v>
      </c>
      <c r="U58" s="19">
        <f ca="1">(U57-Q57)/Q57</f>
        <v>0.21895796294833592</v>
      </c>
      <c r="V58" s="19">
        <f ca="1">(V57-R57)/R57</f>
        <v>0.19615193656785584</v>
      </c>
      <c r="W58" s="19">
        <f ca="1">(W57-S57)/S57</f>
        <v>0.16907854092454216</v>
      </c>
      <c r="X58" s="19">
        <f ca="1">(X57-T57)/T57</f>
        <v>0.13926844245583636</v>
      </c>
      <c r="Y58" s="19">
        <f ca="1">(Y57-U57)/U57</f>
        <v>0.14263162350066538</v>
      </c>
      <c r="Z58" s="19">
        <f ca="1">(Z57-V57)/V57</f>
        <v>0.14466130913971306</v>
      </c>
      <c r="AA58" s="19">
        <f ca="1">(AA57-W57)/W57</f>
        <v>0.11274815212436266</v>
      </c>
      <c r="AB58" s="19">
        <f ca="1">(AB57-X57)/X57</f>
        <v>0.11348986215354444</v>
      </c>
      <c r="AC58" s="19">
        <f ca="1">(AC57-Y57)/Y57</f>
        <v>0.1186639057948948</v>
      </c>
      <c r="AD58" s="6">
        <f ca="1">(AD57-Z57)/Z57</f>
        <v>0.12165359549647692</v>
      </c>
    </row>
    <row r="59" spans="1:30" x14ac:dyDescent="0.2">
      <c r="A59" s="66" t="s">
        <v>170</v>
      </c>
      <c r="B59" s="12"/>
      <c r="C59" s="12"/>
      <c r="D59" s="12"/>
      <c r="E59" s="12"/>
      <c r="F59" s="12"/>
      <c r="G59" s="55">
        <f t="shared" ref="G59:K59" si="19">G57/G50</f>
        <v>0.65749514375422879</v>
      </c>
      <c r="H59" s="55">
        <f t="shared" si="19"/>
        <v>0.58389607198535898</v>
      </c>
      <c r="I59" s="55">
        <f ca="1">I57/I50</f>
        <v>0.66899589060915532</v>
      </c>
      <c r="J59" s="55">
        <f ca="1">J57/J50</f>
        <v>0.65733450697574103</v>
      </c>
      <c r="K59" s="55">
        <f ca="1">K57/K50</f>
        <v>0.66488141058064376</v>
      </c>
      <c r="L59" s="55">
        <f ca="1">L57/L50</f>
        <v>0.66898157457817664</v>
      </c>
      <c r="M59" s="55">
        <f ca="1">M57/M50</f>
        <v>0.72434192832036937</v>
      </c>
      <c r="N59" s="55">
        <f ca="1">N57/N50</f>
        <v>0.6936020513143375</v>
      </c>
      <c r="O59" s="55">
        <f ca="1">O57/O50</f>
        <v>0.6653029351186609</v>
      </c>
      <c r="P59" s="55">
        <f ca="1">P57/P50</f>
        <v>0.6675463615578654</v>
      </c>
      <c r="Q59" s="55">
        <f ca="1">Q57/Q50</f>
        <v>0.71371300716094777</v>
      </c>
      <c r="R59" s="55">
        <f ca="1">R57/R50</f>
        <v>0.67131487257566613</v>
      </c>
      <c r="S59" s="55">
        <f ca="1">S57/S50</f>
        <v>0.61949325179841908</v>
      </c>
      <c r="T59" s="55">
        <f ca="1">T57/T50</f>
        <v>0.61416925372064701</v>
      </c>
      <c r="U59" s="55">
        <f ca="1">U57/U50</f>
        <v>0.67228578923100724</v>
      </c>
      <c r="V59" s="55">
        <f ca="1">V57/V50</f>
        <v>0.61668986260375813</v>
      </c>
      <c r="W59" s="55">
        <f ca="1">W57/W50</f>
        <v>0.57472248526549063</v>
      </c>
      <c r="X59" s="55">
        <f ca="1">X57/X50</f>
        <v>0.56956423128438161</v>
      </c>
      <c r="Y59" s="55">
        <f ca="1">Y57/Y50</f>
        <v>0.63610153492740173</v>
      </c>
      <c r="Z59" s="55">
        <f ca="1">Z57/Z50</f>
        <v>0.59147553099596595</v>
      </c>
      <c r="AA59" s="55">
        <f ca="1">AA57/AA50</f>
        <v>0.5444625270069906</v>
      </c>
      <c r="AB59" s="55">
        <f ca="1">AB57/AB50</f>
        <v>0.55423989512241967</v>
      </c>
      <c r="AC59" s="55">
        <f ca="1">AC57/AC50</f>
        <v>0.61804159942030557</v>
      </c>
      <c r="AD59" s="56">
        <f ca="1">AD57/AD50</f>
        <v>0.58518456543798369</v>
      </c>
    </row>
    <row r="60" spans="1:30" x14ac:dyDescent="0.2">
      <c r="A60" s="270" t="s">
        <v>326</v>
      </c>
    </row>
    <row r="67" spans="7:10" x14ac:dyDescent="0.2">
      <c r="G67" t="s">
        <v>365</v>
      </c>
      <c r="I67" t="s">
        <v>368</v>
      </c>
    </row>
    <row r="69" spans="7:10" x14ac:dyDescent="0.2">
      <c r="H69">
        <v>2018</v>
      </c>
      <c r="I69">
        <f>H69+1</f>
        <v>2019</v>
      </c>
      <c r="J69">
        <f>I69+1</f>
        <v>2020</v>
      </c>
    </row>
    <row r="70" spans="7:10" x14ac:dyDescent="0.2">
      <c r="G70" t="s">
        <v>363</v>
      </c>
      <c r="H70">
        <v>1000</v>
      </c>
      <c r="I70">
        <f>H70*(1+I71)</f>
        <v>1070</v>
      </c>
      <c r="J70">
        <f>I70*(1+J71)</f>
        <v>1144.9000000000001</v>
      </c>
    </row>
    <row r="71" spans="7:10" x14ac:dyDescent="0.2">
      <c r="G71" t="s">
        <v>369</v>
      </c>
      <c r="H71">
        <f>_xlfn.XLOOKUP($I$67, $G$75:$G$77, H75:H77)</f>
        <v>7.0000000000000007E-2</v>
      </c>
      <c r="I71">
        <f>_xlfn.XLOOKUP($I$67, $G$75:$G$77, I75:I77)</f>
        <v>7.0000000000000007E-2</v>
      </c>
      <c r="J71">
        <f>_xlfn.XLOOKUP($I$67, $G$75:$G$77, J75:J77)</f>
        <v>7.0000000000000007E-2</v>
      </c>
    </row>
    <row r="74" spans="7:10" x14ac:dyDescent="0.2">
      <c r="G74" s="353" t="s">
        <v>364</v>
      </c>
    </row>
    <row r="75" spans="7:10" x14ac:dyDescent="0.2">
      <c r="G75" t="s">
        <v>366</v>
      </c>
      <c r="H75" s="354">
        <f>H76+1%</f>
        <v>0.09</v>
      </c>
      <c r="I75" s="354">
        <f>I76+1%</f>
        <v>0.09</v>
      </c>
      <c r="J75" s="354">
        <f>J76+1%</f>
        <v>0.09</v>
      </c>
    </row>
    <row r="76" spans="7:10" x14ac:dyDescent="0.2">
      <c r="G76" t="s">
        <v>367</v>
      </c>
      <c r="H76" s="26">
        <v>0.08</v>
      </c>
      <c r="I76" s="26">
        <v>0.08</v>
      </c>
      <c r="J76" s="26">
        <v>0.08</v>
      </c>
    </row>
    <row r="77" spans="7:10" x14ac:dyDescent="0.2">
      <c r="G77" t="s">
        <v>368</v>
      </c>
      <c r="H77" s="354">
        <f>H76-1%</f>
        <v>7.0000000000000007E-2</v>
      </c>
      <c r="I77" s="354">
        <f>I76-1%</f>
        <v>7.0000000000000007E-2</v>
      </c>
      <c r="J77" s="354">
        <f>J76-1%</f>
        <v>7.0000000000000007E-2</v>
      </c>
    </row>
  </sheetData>
  <dataValidations count="1">
    <dataValidation type="list" allowBlank="1" showInputMessage="1" showErrorMessage="1" sqref="I67" xr:uid="{6447496A-1AAB-CE4B-8B6C-1A79FF273B8F}">
      <formula1>$G$75:$G$77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CC51-32FA-43F9-8B23-31A3EACEFA5A}">
  <dimension ref="A1:AX60"/>
  <sheetViews>
    <sheetView showGridLines="0" zoomScale="92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22" sqref="M22"/>
    </sheetView>
  </sheetViews>
  <sheetFormatPr baseColWidth="10" defaultColWidth="8.5" defaultRowHeight="16" x14ac:dyDescent="0.2"/>
  <cols>
    <col min="1" max="1" width="56.5" customWidth="1"/>
    <col min="2" max="12" width="7.83203125" bestFit="1" customWidth="1"/>
    <col min="33" max="33" width="8.6640625" bestFit="1" customWidth="1"/>
    <col min="34" max="50" width="9.33203125" bestFit="1" customWidth="1"/>
  </cols>
  <sheetData>
    <row r="1" spans="1:50" ht="80.25" customHeight="1" x14ac:dyDescent="0.2">
      <c r="A1" s="45" t="s">
        <v>314</v>
      </c>
      <c r="B1" s="103" t="s">
        <v>303</v>
      </c>
      <c r="C1" s="103" t="s">
        <v>306</v>
      </c>
      <c r="D1" s="103" t="s">
        <v>307</v>
      </c>
      <c r="E1" s="103" t="s">
        <v>308</v>
      </c>
      <c r="F1" s="103" t="s">
        <v>304</v>
      </c>
      <c r="G1" s="103" t="s">
        <v>309</v>
      </c>
      <c r="H1" s="103" t="s">
        <v>310</v>
      </c>
      <c r="I1" s="103" t="s">
        <v>311</v>
      </c>
      <c r="J1" s="103" t="s">
        <v>305</v>
      </c>
      <c r="K1" s="103" t="s">
        <v>312</v>
      </c>
      <c r="L1" s="103" t="s">
        <v>313</v>
      </c>
      <c r="M1" s="103" t="s">
        <v>1</v>
      </c>
      <c r="N1" s="103" t="s">
        <v>2</v>
      </c>
      <c r="O1" s="103" t="s">
        <v>3</v>
      </c>
      <c r="P1" s="103" t="s">
        <v>4</v>
      </c>
      <c r="Q1" s="103" t="s">
        <v>5</v>
      </c>
      <c r="R1" s="103" t="s">
        <v>6</v>
      </c>
      <c r="S1" s="103" t="s">
        <v>7</v>
      </c>
      <c r="T1" s="103" t="s">
        <v>8</v>
      </c>
      <c r="U1" s="103" t="s">
        <v>9</v>
      </c>
      <c r="V1" s="103" t="s">
        <v>10</v>
      </c>
      <c r="W1" s="103" t="s">
        <v>11</v>
      </c>
      <c r="X1" s="103" t="s">
        <v>12</v>
      </c>
      <c r="Y1" s="103" t="s">
        <v>13</v>
      </c>
      <c r="Z1" s="103" t="s">
        <v>14</v>
      </c>
      <c r="AA1" s="103" t="s">
        <v>15</v>
      </c>
      <c r="AB1" s="103" t="s">
        <v>16</v>
      </c>
      <c r="AC1" s="103" t="s">
        <v>17</v>
      </c>
      <c r="AD1" s="104" t="s">
        <v>18</v>
      </c>
    </row>
    <row r="2" spans="1:50" ht="17" x14ac:dyDescent="0.2">
      <c r="A2" s="46" t="s">
        <v>302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</row>
    <row r="3" spans="1:50" x14ac:dyDescent="0.2">
      <c r="A3" s="61" t="s">
        <v>84</v>
      </c>
      <c r="B3" s="16"/>
      <c r="C3" s="17"/>
      <c r="D3" s="17"/>
      <c r="E3" s="17"/>
      <c r="F3" s="17"/>
      <c r="G3" s="17">
        <v>222.48599999999999</v>
      </c>
      <c r="H3" s="17">
        <v>141.40600000000001</v>
      </c>
      <c r="I3" s="17">
        <f ca="1">I4*I15</f>
        <v>111.57760708287914</v>
      </c>
      <c r="J3" s="17">
        <f ca="1">J4*J15</f>
        <v>108.13082637518045</v>
      </c>
      <c r="K3" s="17">
        <f ca="1">K4*K15</f>
        <v>151.39018873928285</v>
      </c>
      <c r="L3" s="17">
        <f ca="1">L4*L15</f>
        <v>168.56390471700891</v>
      </c>
      <c r="M3" s="17">
        <f t="shared" ref="M3:AD3" ca="1" si="0">M7*M5</f>
        <v>135.92830405264669</v>
      </c>
      <c r="N3" s="17">
        <f t="shared" ca="1" si="0"/>
        <v>138.26905030247073</v>
      </c>
      <c r="O3" s="17">
        <f t="shared" ca="1" si="0"/>
        <v>193.68627839321172</v>
      </c>
      <c r="P3" s="17">
        <f t="shared" ca="1" si="0"/>
        <v>215.6580664040994</v>
      </c>
      <c r="Q3" s="17">
        <f t="shared" ca="1" si="0"/>
        <v>166.13459384212376</v>
      </c>
      <c r="R3" s="17">
        <f t="shared" ca="1" si="0"/>
        <v>164.48895910056888</v>
      </c>
      <c r="S3" s="17">
        <f t="shared" ca="1" si="0"/>
        <v>225.68038215742371</v>
      </c>
      <c r="T3" s="17">
        <f t="shared" ca="1" si="0"/>
        <v>251.28158403973953</v>
      </c>
      <c r="U3" s="17">
        <f t="shared" ca="1" si="0"/>
        <v>193.51357490730572</v>
      </c>
      <c r="V3" s="17">
        <f t="shared" ca="1" si="0"/>
        <v>188.38112994534387</v>
      </c>
      <c r="W3" s="17">
        <f t="shared" ca="1" si="0"/>
        <v>258.46066282977324</v>
      </c>
      <c r="X3" s="17">
        <f t="shared" ca="1" si="0"/>
        <v>280.41197276405552</v>
      </c>
      <c r="Y3" s="17">
        <f t="shared" ca="1" si="0"/>
        <v>215.87821520730722</v>
      </c>
      <c r="Z3" s="17">
        <f t="shared" ca="1" si="0"/>
        <v>210.1526062490272</v>
      </c>
      <c r="AA3" s="17">
        <f t="shared" ca="1" si="0"/>
        <v>280.75474114643282</v>
      </c>
      <c r="AB3" s="17">
        <f t="shared" ca="1" si="0"/>
        <v>304.59950835761782</v>
      </c>
      <c r="AC3" s="17">
        <f t="shared" ca="1" si="0"/>
        <v>234.42707743185645</v>
      </c>
      <c r="AD3" s="18">
        <f t="shared" ca="1" si="0"/>
        <v>228.20950807999623</v>
      </c>
    </row>
    <row r="4" spans="1:50" x14ac:dyDescent="0.2">
      <c r="A4" s="48" t="s">
        <v>90</v>
      </c>
      <c r="C4" s="7"/>
      <c r="D4" s="7"/>
      <c r="E4" s="7"/>
      <c r="F4" s="7"/>
      <c r="G4" s="11">
        <f t="shared" ref="G4:AD4" si="1">G3/G15</f>
        <v>0.59591644323973947</v>
      </c>
      <c r="H4" s="11">
        <f t="shared" si="1"/>
        <v>0.5792906244111069</v>
      </c>
      <c r="I4" s="11">
        <f t="shared" ca="1" si="1"/>
        <v>0.59591644323973947</v>
      </c>
      <c r="J4" s="11">
        <f t="shared" ca="1" si="1"/>
        <v>0.59591644323973947</v>
      </c>
      <c r="K4" s="11">
        <f t="shared" ca="1" si="1"/>
        <v>0.59591644323973947</v>
      </c>
      <c r="L4" s="11">
        <f t="shared" ca="1" si="1"/>
        <v>0.59591644323973947</v>
      </c>
      <c r="M4" s="11">
        <f t="shared" ca="1" si="1"/>
        <v>0.65693563370743036</v>
      </c>
      <c r="N4" s="11">
        <f t="shared" ca="1" si="1"/>
        <v>0.62832450765940628</v>
      </c>
      <c r="O4" s="11">
        <f t="shared" ca="1" si="1"/>
        <v>0.59547949220818486</v>
      </c>
      <c r="P4" s="11">
        <f t="shared" ca="1" si="1"/>
        <v>0.58961345116407615</v>
      </c>
      <c r="Q4" s="11">
        <f t="shared" ca="1" si="1"/>
        <v>0.64800549040041344</v>
      </c>
      <c r="R4" s="11">
        <f t="shared" ca="1" si="1"/>
        <v>0.60380824809641864</v>
      </c>
      <c r="S4" s="11">
        <f t="shared" ca="1" si="1"/>
        <v>0.55092979754145821</v>
      </c>
      <c r="T4" s="11">
        <f t="shared" ca="1" si="1"/>
        <v>0.53786503577839939</v>
      </c>
      <c r="U4" s="11">
        <f t="shared" ca="1" si="1"/>
        <v>0.60798658736896205</v>
      </c>
      <c r="V4" s="11">
        <f t="shared" ca="1" si="1"/>
        <v>0.55013663817379588</v>
      </c>
      <c r="W4" s="11">
        <f t="shared" ca="1" si="1"/>
        <v>0.51380150575080241</v>
      </c>
      <c r="X4" s="11">
        <f t="shared" ca="1" si="1"/>
        <v>0.49741501100339841</v>
      </c>
      <c r="Y4" s="11">
        <f t="shared" ca="1" si="1"/>
        <v>0.57466369844881005</v>
      </c>
      <c r="Z4" s="11">
        <f t="shared" ca="1" si="1"/>
        <v>0.52531212092505097</v>
      </c>
      <c r="AA4" s="11">
        <f t="shared" ca="1" si="1"/>
        <v>0.48218344255157608</v>
      </c>
      <c r="AB4" s="11">
        <f t="shared" ca="1" si="1"/>
        <v>0.48498170446256467</v>
      </c>
      <c r="AC4" s="11">
        <f t="shared" ca="1" si="1"/>
        <v>0.55847431923261015</v>
      </c>
      <c r="AD4" s="4">
        <f t="shared" ca="1" si="1"/>
        <v>0.51904695661985478</v>
      </c>
    </row>
    <row r="5" spans="1:50" x14ac:dyDescent="0.2">
      <c r="A5" s="48" t="s">
        <v>109</v>
      </c>
      <c r="G5" s="22">
        <f t="shared" ref="G5:L5" si="2">G3/G7</f>
        <v>4.9441333333333333</v>
      </c>
      <c r="H5" s="22">
        <f t="shared" si="2"/>
        <v>3.1423555555555556</v>
      </c>
      <c r="I5" s="22">
        <f t="shared" ca="1" si="2"/>
        <v>2.2315521416575828</v>
      </c>
      <c r="J5" s="22">
        <f t="shared" ca="1" si="2"/>
        <v>2.1626165275036091</v>
      </c>
      <c r="K5" s="22">
        <f t="shared" ca="1" si="2"/>
        <v>2.9113497834477471</v>
      </c>
      <c r="L5" s="22">
        <f t="shared" ca="1" si="2"/>
        <v>3.2416135522501714</v>
      </c>
      <c r="M5" s="21">
        <f t="shared" ref="M5" ca="1" si="3">I5*(1+M6)</f>
        <v>2.5171908157897538</v>
      </c>
      <c r="N5" s="21">
        <f t="shared" ref="N5" ca="1" si="4">J5*(1+N6)</f>
        <v>2.5605379685642728</v>
      </c>
      <c r="O5" s="21">
        <f t="shared" ref="O5" ca="1" si="5">K5*(1+O6)</f>
        <v>3.5867829332076244</v>
      </c>
      <c r="P5" s="21">
        <f t="shared" ref="P5" ca="1" si="6">L5*(1+P6)</f>
        <v>3.993667896372211</v>
      </c>
      <c r="Q5" s="21">
        <f ca="1">M5*(1+Q6)</f>
        <v>3.0206289789477045</v>
      </c>
      <c r="R5" s="21">
        <f t="shared" ref="R5" ca="1" si="7">N5*(1+R6)</f>
        <v>2.9907083472830704</v>
      </c>
      <c r="S5" s="21">
        <f t="shared" ref="S5" ca="1" si="8">O5*(1+S6)</f>
        <v>4.1032796755895218</v>
      </c>
      <c r="T5" s="21">
        <f t="shared" ref="T5" ca="1" si="9">P5*(1+T6)</f>
        <v>4.5687560734498094</v>
      </c>
      <c r="U5" s="21">
        <f t="shared" ref="U5" ca="1" si="10">Q5*(1+U6)</f>
        <v>3.4555995519161735</v>
      </c>
      <c r="V5" s="21">
        <f t="shared" ref="V5" ca="1" si="11">R5*(1+V6)</f>
        <v>3.3639487490239977</v>
      </c>
      <c r="W5" s="21">
        <f t="shared" ref="W5" ca="1" si="12">S5*(1+W6)</f>
        <v>4.6153689791030938</v>
      </c>
      <c r="X5" s="21">
        <f t="shared" ref="X5" ca="1" si="13">T5*(1+X6)</f>
        <v>5.007356656500991</v>
      </c>
      <c r="Y5" s="21">
        <f t="shared" ref="Y5" ca="1" si="14">U5*(1+Y6)</f>
        <v>3.7873371089001266</v>
      </c>
      <c r="Z5" s="21">
        <f t="shared" ref="Z5" ca="1" si="15">V5*(1+Z6)</f>
        <v>3.6868878289303018</v>
      </c>
      <c r="AA5" s="21">
        <f t="shared" ref="AA5" ca="1" si="16">W5*(1+AA6)</f>
        <v>4.9255217744988213</v>
      </c>
      <c r="AB5" s="21">
        <f t="shared" ref="AB5" ca="1" si="17">X5*(1+AB6)</f>
        <v>5.3438510238178569</v>
      </c>
      <c r="AC5" s="21">
        <f t="shared" ref="AC5" ca="1" si="18">Y5*(1+AC6)</f>
        <v>4.0418461626182145</v>
      </c>
      <c r="AD5" s="49">
        <f t="shared" ref="AD5" ca="1" si="19">Z5*(1+AD6)</f>
        <v>3.9346466910344176</v>
      </c>
    </row>
    <row r="6" spans="1:50" x14ac:dyDescent="0.2">
      <c r="A6" s="48" t="s">
        <v>172</v>
      </c>
      <c r="G6" s="22"/>
      <c r="H6" s="22"/>
      <c r="I6" s="22"/>
      <c r="J6" s="11"/>
      <c r="K6" s="11">
        <f t="shared" ref="K6" ca="1" si="20">(K3-G3)/G3</f>
        <v>-0.31955184263601821</v>
      </c>
      <c r="L6" s="11">
        <f ca="1">(L3-H3)/H3</f>
        <v>0.19205624030811214</v>
      </c>
      <c r="M6" s="33">
        <v>0.128</v>
      </c>
      <c r="N6" s="33">
        <v>0.184</v>
      </c>
      <c r="O6" s="33">
        <v>0.23200000000000004</v>
      </c>
      <c r="P6" s="33">
        <v>0.23200000000000004</v>
      </c>
      <c r="Q6" s="33">
        <v>0.2</v>
      </c>
      <c r="R6" s="33">
        <v>0.16800000000000001</v>
      </c>
      <c r="S6" s="33">
        <v>0.14399999999999999</v>
      </c>
      <c r="T6" s="33">
        <v>0.14399999999999999</v>
      </c>
      <c r="U6" s="33">
        <v>0.14399999999999999</v>
      </c>
      <c r="V6" s="33">
        <v>0.12479999999999999</v>
      </c>
      <c r="W6" s="33">
        <v>0.12479999999999999</v>
      </c>
      <c r="X6" s="33">
        <v>9.6000000000000002E-2</v>
      </c>
      <c r="Y6" s="33">
        <v>9.6000000000000002E-2</v>
      </c>
      <c r="Z6" s="33">
        <v>9.6000000000000002E-2</v>
      </c>
      <c r="AA6" s="33">
        <v>6.720000000000001E-2</v>
      </c>
      <c r="AB6" s="33">
        <v>6.720000000000001E-2</v>
      </c>
      <c r="AC6" s="33">
        <v>6.720000000000001E-2</v>
      </c>
      <c r="AD6" s="50">
        <v>6.720000000000001E-2</v>
      </c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</row>
    <row r="7" spans="1:50" x14ac:dyDescent="0.2">
      <c r="A7" s="48" t="s">
        <v>110</v>
      </c>
      <c r="G7" s="21">
        <v>45</v>
      </c>
      <c r="H7" s="21">
        <v>45</v>
      </c>
      <c r="I7" s="21">
        <v>50</v>
      </c>
      <c r="J7" s="21">
        <v>50</v>
      </c>
      <c r="K7" s="21">
        <v>52</v>
      </c>
      <c r="L7" s="37">
        <v>52</v>
      </c>
      <c r="M7" s="21">
        <v>54</v>
      </c>
      <c r="N7" s="21">
        <v>54</v>
      </c>
      <c r="O7" s="21">
        <v>54</v>
      </c>
      <c r="P7" s="21">
        <v>54</v>
      </c>
      <c r="Q7" s="21">
        <v>55</v>
      </c>
      <c r="R7" s="21">
        <v>55</v>
      </c>
      <c r="S7" s="21">
        <v>55</v>
      </c>
      <c r="T7" s="21">
        <v>55</v>
      </c>
      <c r="U7" s="21">
        <v>56</v>
      </c>
      <c r="V7" s="21">
        <v>56</v>
      </c>
      <c r="W7" s="21">
        <v>56</v>
      </c>
      <c r="X7" s="21">
        <v>56</v>
      </c>
      <c r="Y7" s="21">
        <v>57</v>
      </c>
      <c r="Z7" s="21">
        <v>57</v>
      </c>
      <c r="AA7" s="21">
        <v>57</v>
      </c>
      <c r="AB7" s="21">
        <v>57</v>
      </c>
      <c r="AC7" s="21">
        <v>58</v>
      </c>
      <c r="AD7" s="49">
        <v>58</v>
      </c>
      <c r="AG7" s="26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</row>
    <row r="8" spans="1:50" x14ac:dyDescent="0.2">
      <c r="A8" s="48"/>
      <c r="C8" s="7"/>
      <c r="D8" s="7"/>
      <c r="E8" s="7"/>
      <c r="F8" s="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4"/>
    </row>
    <row r="9" spans="1:50" x14ac:dyDescent="0.2">
      <c r="A9" s="48" t="s">
        <v>85</v>
      </c>
      <c r="C9" s="7"/>
      <c r="D9" s="7"/>
      <c r="E9" s="7"/>
      <c r="F9" s="7"/>
      <c r="G9" s="7">
        <v>150.86500000000001</v>
      </c>
      <c r="H9" s="7">
        <v>102.696</v>
      </c>
      <c r="I9" s="7">
        <f ca="1">I10*I15</f>
        <v>75.65939291712094</v>
      </c>
      <c r="J9" s="7">
        <f ca="1">J10*J15</f>
        <v>73.322173624819555</v>
      </c>
      <c r="K9" s="7">
        <f ca="1">K10*K15</f>
        <v>102.65581126071714</v>
      </c>
      <c r="L9" s="7">
        <f ca="1">L10*L15</f>
        <v>114.3010952829911</v>
      </c>
      <c r="M9" s="7">
        <f t="shared" ref="M9:AD9" ca="1" si="21">M13*M11</f>
        <v>70.984363000489694</v>
      </c>
      <c r="N9" s="7">
        <f t="shared" ca="1" si="21"/>
        <v>81.790884678486222</v>
      </c>
      <c r="O9" s="7">
        <f t="shared" ca="1" si="21"/>
        <v>131.57476069811827</v>
      </c>
      <c r="P9" s="7">
        <f t="shared" ca="1" si="21"/>
        <v>150.10371528240185</v>
      </c>
      <c r="Q9" s="7">
        <f t="shared" ca="1" si="21"/>
        <v>90.243779957558729</v>
      </c>
      <c r="R9" s="7">
        <f t="shared" ca="1" si="21"/>
        <v>107.9302395757344</v>
      </c>
      <c r="S9" s="7">
        <f t="shared" ca="1" si="21"/>
        <v>183.95507986428873</v>
      </c>
      <c r="T9" s="7">
        <f t="shared" ca="1" si="21"/>
        <v>215.9017562494918</v>
      </c>
      <c r="U9" s="7">
        <f t="shared" ca="1" si="21"/>
        <v>124.77235265686647</v>
      </c>
      <c r="V9" s="7">
        <f t="shared" ca="1" si="21"/>
        <v>154.04494545782097</v>
      </c>
      <c r="W9" s="7">
        <f t="shared" ca="1" si="21"/>
        <v>244.57535387495125</v>
      </c>
      <c r="X9" s="7">
        <f t="shared" ca="1" si="21"/>
        <v>283.32648820116793</v>
      </c>
      <c r="Y9" s="7">
        <f t="shared" ca="1" si="21"/>
        <v>159.78187223170687</v>
      </c>
      <c r="Z9" s="7">
        <f t="shared" ca="1" si="21"/>
        <v>189.90023448679653</v>
      </c>
      <c r="AA9" s="7">
        <f t="shared" ca="1" si="21"/>
        <v>301.50237589756915</v>
      </c>
      <c r="AB9" s="7">
        <f t="shared" ca="1" si="21"/>
        <v>323.46440736300008</v>
      </c>
      <c r="AC9" s="7">
        <f t="shared" ca="1" si="21"/>
        <v>185.33631966396456</v>
      </c>
      <c r="AD9" s="8">
        <f t="shared" ca="1" si="21"/>
        <v>211.46074750948947</v>
      </c>
    </row>
    <row r="10" spans="1:50" x14ac:dyDescent="0.2">
      <c r="A10" s="48" t="s">
        <v>91</v>
      </c>
      <c r="C10" s="7"/>
      <c r="D10" s="7"/>
      <c r="E10" s="7"/>
      <c r="F10" s="7"/>
      <c r="G10" s="11">
        <f>G9/G15</f>
        <v>0.40408355676026048</v>
      </c>
      <c r="H10" s="11">
        <f>H9/H15</f>
        <v>0.42070937558889315</v>
      </c>
      <c r="I10" s="11">
        <f t="shared" ref="I10:AD10" ca="1" si="22">1-I4</f>
        <v>0.40408355676026053</v>
      </c>
      <c r="J10" s="11">
        <f t="shared" ca="1" si="22"/>
        <v>0.40408355676026053</v>
      </c>
      <c r="K10" s="11">
        <f t="shared" ca="1" si="22"/>
        <v>0.40408355676026053</v>
      </c>
      <c r="L10" s="11">
        <f t="shared" ca="1" si="22"/>
        <v>0.40408355676026053</v>
      </c>
      <c r="M10" s="11">
        <f t="shared" ca="1" si="22"/>
        <v>0.34306436629256964</v>
      </c>
      <c r="N10" s="11">
        <f t="shared" ca="1" si="22"/>
        <v>0.37167549234059372</v>
      </c>
      <c r="O10" s="11">
        <f t="shared" ca="1" si="22"/>
        <v>0.40452050779181514</v>
      </c>
      <c r="P10" s="11">
        <f t="shared" ca="1" si="22"/>
        <v>0.41038654883592385</v>
      </c>
      <c r="Q10" s="11">
        <f t="shared" ca="1" si="22"/>
        <v>0.35199450959958656</v>
      </c>
      <c r="R10" s="11">
        <f t="shared" ca="1" si="22"/>
        <v>0.39619175190358136</v>
      </c>
      <c r="S10" s="11">
        <f t="shared" ca="1" si="22"/>
        <v>0.44907020245854179</v>
      </c>
      <c r="T10" s="11">
        <f t="shared" ca="1" si="22"/>
        <v>0.46213496422160061</v>
      </c>
      <c r="U10" s="11">
        <f t="shared" ca="1" si="22"/>
        <v>0.39201341263103795</v>
      </c>
      <c r="V10" s="11">
        <f t="shared" ca="1" si="22"/>
        <v>0.44986336182620412</v>
      </c>
      <c r="W10" s="11">
        <f t="shared" ca="1" si="22"/>
        <v>0.48619849424919759</v>
      </c>
      <c r="X10" s="11">
        <f t="shared" ca="1" si="22"/>
        <v>0.50258498899660164</v>
      </c>
      <c r="Y10" s="11">
        <f t="shared" ca="1" si="22"/>
        <v>0.42533630155118995</v>
      </c>
      <c r="Z10" s="11">
        <f t="shared" ca="1" si="22"/>
        <v>0.47468787907494903</v>
      </c>
      <c r="AA10" s="11">
        <f t="shared" ca="1" si="22"/>
        <v>0.51781655744842392</v>
      </c>
      <c r="AB10" s="11">
        <f t="shared" ca="1" si="22"/>
        <v>0.51501829553743539</v>
      </c>
      <c r="AC10" s="11">
        <f t="shared" ca="1" si="22"/>
        <v>0.44152568076738985</v>
      </c>
      <c r="AD10" s="4">
        <f t="shared" ca="1" si="22"/>
        <v>0.48095304338014522</v>
      </c>
    </row>
    <row r="11" spans="1:50" x14ac:dyDescent="0.2">
      <c r="A11" s="48" t="s">
        <v>111</v>
      </c>
      <c r="G11" s="22">
        <f t="shared" ref="G11:L11" si="23">G9/G13</f>
        <v>1.7340804597701152</v>
      </c>
      <c r="H11" s="22">
        <f t="shared" si="23"/>
        <v>1.1804137931034482</v>
      </c>
      <c r="I11" s="22">
        <f t="shared" ca="1" si="23"/>
        <v>0.72056564682972324</v>
      </c>
      <c r="J11" s="22">
        <f t="shared" ca="1" si="23"/>
        <v>0.76377264192520367</v>
      </c>
      <c r="K11" s="22">
        <f t="shared" ca="1" si="23"/>
        <v>1.1534360815810916</v>
      </c>
      <c r="L11" s="22">
        <f t="shared" ca="1" si="23"/>
        <v>1.2560559921207812</v>
      </c>
      <c r="M11" s="21">
        <f t="shared" ref="M11:P11" ca="1" si="24">I11*(1+M12)</f>
        <v>0.75515279787754996</v>
      </c>
      <c r="N11" s="21">
        <f t="shared" ca="1" si="24"/>
        <v>0.84320499668542492</v>
      </c>
      <c r="O11" s="21">
        <f t="shared" ca="1" si="24"/>
        <v>1.3564408319393637</v>
      </c>
      <c r="P11" s="21">
        <f t="shared" ca="1" si="24"/>
        <v>1.5474609822928025</v>
      </c>
      <c r="Q11" s="21">
        <f ca="1">M11*(1+Q12)</f>
        <v>0.93034824698514151</v>
      </c>
      <c r="R11" s="21">
        <f t="shared" ref="R11:AD11" ca="1" si="25">N11*(1+R12)</f>
        <v>1.079302395757344</v>
      </c>
      <c r="S11" s="21">
        <f t="shared" ca="1" si="25"/>
        <v>1.7687988448489302</v>
      </c>
      <c r="T11" s="21">
        <f t="shared" ca="1" si="25"/>
        <v>1.9807500573347872</v>
      </c>
      <c r="U11" s="21">
        <f t="shared" ca="1" si="25"/>
        <v>1.1447004830905181</v>
      </c>
      <c r="V11" s="21">
        <f t="shared" ca="1" si="25"/>
        <v>1.3279736677398359</v>
      </c>
      <c r="W11" s="21">
        <f t="shared" ca="1" si="25"/>
        <v>2.1084082230599246</v>
      </c>
      <c r="X11" s="21">
        <f t="shared" ca="1" si="25"/>
        <v>2.3610540683430661</v>
      </c>
      <c r="Y11" s="21">
        <f t="shared" ca="1" si="25"/>
        <v>1.3315156019308907</v>
      </c>
      <c r="Z11" s="21">
        <f t="shared" ca="1" si="25"/>
        <v>1.5192018758943722</v>
      </c>
      <c r="AA11" s="21">
        <f t="shared" ca="1" si="25"/>
        <v>2.4120190071805534</v>
      </c>
      <c r="AB11" s="21">
        <f t="shared" ca="1" si="25"/>
        <v>2.5877152589040007</v>
      </c>
      <c r="AC11" s="21">
        <f t="shared" ca="1" si="25"/>
        <v>1.4593410997162564</v>
      </c>
      <c r="AD11" s="49">
        <f t="shared" ca="1" si="25"/>
        <v>1.665045255980232</v>
      </c>
    </row>
    <row r="12" spans="1:50" x14ac:dyDescent="0.2">
      <c r="A12" s="48" t="s">
        <v>171</v>
      </c>
      <c r="G12" s="22"/>
      <c r="H12" s="22"/>
      <c r="I12" s="22"/>
      <c r="J12" s="22"/>
      <c r="K12" s="11">
        <f t="shared" ref="K12" ca="1" si="26">(K9-G9)/G9</f>
        <v>-0.31955184263601805</v>
      </c>
      <c r="L12" s="11">
        <f ca="1">(L9-H9)/H9</f>
        <v>0.11300435540810841</v>
      </c>
      <c r="M12" s="33">
        <v>4.8000000000000001E-2</v>
      </c>
      <c r="N12" s="33">
        <v>0.10400000000000001</v>
      </c>
      <c r="O12" s="33">
        <v>0.17600000000000002</v>
      </c>
      <c r="P12" s="33">
        <v>0.23200000000000004</v>
      </c>
      <c r="Q12" s="33">
        <v>0.23200000000000004</v>
      </c>
      <c r="R12" s="33">
        <v>0.27999999999999997</v>
      </c>
      <c r="S12" s="33">
        <v>0.30400000000000005</v>
      </c>
      <c r="T12" s="33">
        <v>0.28000000000000003</v>
      </c>
      <c r="U12" s="33">
        <v>0.23040000000000002</v>
      </c>
      <c r="V12" s="33">
        <v>0.23040000000000002</v>
      </c>
      <c r="W12" s="33">
        <v>0.19199999999999998</v>
      </c>
      <c r="X12" s="33">
        <v>0.19199999999999998</v>
      </c>
      <c r="Y12" s="33">
        <v>0.16319999999999998</v>
      </c>
      <c r="Z12" s="33">
        <v>0.14399999999999999</v>
      </c>
      <c r="AA12" s="33">
        <v>0.14399999999999999</v>
      </c>
      <c r="AB12" s="33">
        <v>9.6000000000000002E-2</v>
      </c>
      <c r="AC12" s="33">
        <v>9.6000000000000002E-2</v>
      </c>
      <c r="AD12" s="50">
        <v>9.6000000000000002E-2</v>
      </c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</row>
    <row r="13" spans="1:50" x14ac:dyDescent="0.2">
      <c r="A13" s="48" t="s">
        <v>112</v>
      </c>
      <c r="G13" s="21">
        <v>87</v>
      </c>
      <c r="H13" s="21">
        <v>87</v>
      </c>
      <c r="I13" s="21">
        <v>105</v>
      </c>
      <c r="J13" s="21">
        <v>96</v>
      </c>
      <c r="K13" s="21">
        <v>89</v>
      </c>
      <c r="L13" s="37">
        <v>91</v>
      </c>
      <c r="M13" s="21">
        <v>94</v>
      </c>
      <c r="N13" s="21">
        <v>97</v>
      </c>
      <c r="O13" s="21">
        <v>97</v>
      </c>
      <c r="P13" s="21">
        <v>97</v>
      </c>
      <c r="Q13" s="21">
        <v>97</v>
      </c>
      <c r="R13" s="21">
        <v>100</v>
      </c>
      <c r="S13" s="21">
        <v>104</v>
      </c>
      <c r="T13" s="21">
        <v>109</v>
      </c>
      <c r="U13" s="21">
        <v>109</v>
      </c>
      <c r="V13" s="21">
        <v>116</v>
      </c>
      <c r="W13" s="21">
        <v>116</v>
      </c>
      <c r="X13" s="21">
        <v>120</v>
      </c>
      <c r="Y13" s="21">
        <v>120</v>
      </c>
      <c r="Z13" s="21">
        <v>125</v>
      </c>
      <c r="AA13" s="21">
        <v>125</v>
      </c>
      <c r="AB13" s="21">
        <v>125</v>
      </c>
      <c r="AC13" s="21">
        <v>127</v>
      </c>
      <c r="AD13" s="49">
        <v>127</v>
      </c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</row>
    <row r="14" spans="1:50" x14ac:dyDescent="0.2">
      <c r="A14" s="48"/>
      <c r="AD14" s="1"/>
    </row>
    <row r="15" spans="1:50" x14ac:dyDescent="0.2">
      <c r="A15" s="51" t="s">
        <v>100</v>
      </c>
      <c r="B15" s="5"/>
      <c r="C15" s="39">
        <v>322.25599999999997</v>
      </c>
      <c r="D15" s="39">
        <v>200.89099999999999</v>
      </c>
      <c r="E15" s="39">
        <v>144.24</v>
      </c>
      <c r="F15" s="39">
        <v>159.79900000000001</v>
      </c>
      <c r="G15" s="39">
        <v>373.351</v>
      </c>
      <c r="H15" s="39">
        <v>244.102</v>
      </c>
      <c r="I15" s="39">
        <v>187.23700000000008</v>
      </c>
      <c r="J15" s="39">
        <v>181.453</v>
      </c>
      <c r="K15" s="39">
        <v>254.04599999999999</v>
      </c>
      <c r="L15" s="39">
        <v>282.86500000000001</v>
      </c>
      <c r="M15" s="39">
        <f t="shared" ref="M15:AD15" ca="1" si="27">M9+M3</f>
        <v>206.91266705313637</v>
      </c>
      <c r="N15" s="39">
        <f t="shared" ca="1" si="27"/>
        <v>220.05993498095694</v>
      </c>
      <c r="O15" s="39">
        <f t="shared" ca="1" si="27"/>
        <v>325.26103909132996</v>
      </c>
      <c r="P15" s="39">
        <f t="shared" ca="1" si="27"/>
        <v>365.76178168650125</v>
      </c>
      <c r="Q15" s="39">
        <f t="shared" ca="1" si="27"/>
        <v>256.37837379968249</v>
      </c>
      <c r="R15" s="39">
        <f t="shared" ca="1" si="27"/>
        <v>272.41919867630327</v>
      </c>
      <c r="S15" s="39">
        <f t="shared" ca="1" si="27"/>
        <v>409.63546202171244</v>
      </c>
      <c r="T15" s="39">
        <f t="shared" ca="1" si="27"/>
        <v>467.1833402892313</v>
      </c>
      <c r="U15" s="39">
        <f t="shared" ca="1" si="27"/>
        <v>318.2859275641722</v>
      </c>
      <c r="V15" s="39">
        <f t="shared" ca="1" si="27"/>
        <v>342.42607540316487</v>
      </c>
      <c r="W15" s="39">
        <f t="shared" ca="1" si="27"/>
        <v>503.03601670472449</v>
      </c>
      <c r="X15" s="39">
        <f t="shared" ca="1" si="27"/>
        <v>563.73846096522345</v>
      </c>
      <c r="Y15" s="39">
        <f t="shared" ca="1" si="27"/>
        <v>375.66008743901409</v>
      </c>
      <c r="Z15" s="39">
        <f t="shared" ca="1" si="27"/>
        <v>400.05284073582374</v>
      </c>
      <c r="AA15" s="39">
        <f t="shared" ca="1" si="27"/>
        <v>582.25711704400192</v>
      </c>
      <c r="AB15" s="39">
        <f t="shared" ca="1" si="27"/>
        <v>628.06391572061784</v>
      </c>
      <c r="AC15" s="39">
        <f t="shared" ca="1" si="27"/>
        <v>419.76339709582101</v>
      </c>
      <c r="AD15" s="9">
        <f t="shared" ca="1" si="27"/>
        <v>439.67025558948569</v>
      </c>
    </row>
    <row r="16" spans="1:50" x14ac:dyDescent="0.2">
      <c r="A16" s="54" t="s">
        <v>92</v>
      </c>
      <c r="B16" s="12"/>
      <c r="C16" s="13"/>
      <c r="D16" s="13"/>
      <c r="E16" s="13"/>
      <c r="F16" s="13"/>
      <c r="G16" s="14">
        <f>G15/C15-1</f>
        <v>0.15855406881485545</v>
      </c>
      <c r="H16" s="14">
        <f t="shared" ref="H16:L16" si="28">H15/D15-1</f>
        <v>0.21509674400545586</v>
      </c>
      <c r="I16" s="14">
        <f t="shared" si="28"/>
        <v>0.29809345535219123</v>
      </c>
      <c r="J16" s="14">
        <f t="shared" si="28"/>
        <v>0.13550773158780705</v>
      </c>
      <c r="K16" s="14">
        <f t="shared" si="28"/>
        <v>-0.3195518426360181</v>
      </c>
      <c r="L16" s="14">
        <f t="shared" si="28"/>
        <v>0.15879837117270656</v>
      </c>
      <c r="M16" s="14">
        <f t="shared" ref="M16" ca="1" si="29">M15/I15-1</f>
        <v>0.10508428917968282</v>
      </c>
      <c r="N16" s="14">
        <f t="shared" ref="N16" ca="1" si="30">N15/J15-1</f>
        <v>0.21276548186559019</v>
      </c>
      <c r="O16" s="14">
        <f t="shared" ref="O16" ca="1" si="31">O15/K15-1</f>
        <v>0.28032340242054588</v>
      </c>
      <c r="P16" s="14">
        <f t="shared" ref="P16" ca="1" si="32">P15/L15-1</f>
        <v>0.29306128961342415</v>
      </c>
      <c r="Q16" s="14">
        <f t="shared" ref="Q16" ca="1" si="33">Q15/M15-1</f>
        <v>0.23906562827225564</v>
      </c>
      <c r="R16" s="14">
        <f t="shared" ref="R16" ca="1" si="34">R15/N15-1</f>
        <v>0.23793183297939846</v>
      </c>
      <c r="S16" s="14">
        <f t="shared" ref="S16" ca="1" si="35">S15/O15-1</f>
        <v>0.25940525544066473</v>
      </c>
      <c r="T16" s="14">
        <f t="shared" ref="T16" ca="1" si="36">T15/P15-1</f>
        <v>0.27728856233989929</v>
      </c>
      <c r="U16" s="14">
        <f t="shared" ref="U16" ca="1" si="37">U15/Q15-1</f>
        <v>0.24146948452391803</v>
      </c>
      <c r="V16" s="14">
        <f t="shared" ref="V16" ca="1" si="38">V15/R15-1</f>
        <v>0.25698216963792597</v>
      </c>
      <c r="W16" s="14">
        <f t="shared" ref="W16" ca="1" si="39">W15/S15-1</f>
        <v>0.22800895757912043</v>
      </c>
      <c r="X16" s="14">
        <f t="shared" ref="X16" ca="1" si="40">X15/T15-1</f>
        <v>0.20667500818033302</v>
      </c>
      <c r="Y16" s="14">
        <f t="shared" ref="Y16" ca="1" si="41">Y15/U15-1</f>
        <v>0.18025980700411015</v>
      </c>
      <c r="Z16" s="14">
        <f t="shared" ref="Z16" ca="1" si="42">Z15/V15-1</f>
        <v>0.16828965278070718</v>
      </c>
      <c r="AA16" s="14">
        <f t="shared" ref="AA16" ca="1" si="43">AA15/W15-1</f>
        <v>0.15748594078459233</v>
      </c>
      <c r="AB16" s="14">
        <f t="shared" ref="AB16" ca="1" si="44">AB15/X15-1</f>
        <v>0.11410513777125919</v>
      </c>
      <c r="AC16" s="14">
        <f t="shared" ref="AC16" ca="1" si="45">AC15/Y15-1</f>
        <v>0.11740217055655888</v>
      </c>
      <c r="AD16" s="15">
        <f t="shared" ref="AD16" ca="1" si="46">AD15/Z15-1</f>
        <v>9.9030455028873199E-2</v>
      </c>
    </row>
    <row r="17" spans="1:50" x14ac:dyDescent="0.2">
      <c r="A17" s="48"/>
      <c r="C17" s="7"/>
      <c r="D17" s="7"/>
      <c r="E17" s="7"/>
      <c r="F17" s="7"/>
      <c r="G17" s="11"/>
      <c r="H17" s="11"/>
      <c r="I17" s="11"/>
      <c r="J17" s="11"/>
      <c r="K17" s="11"/>
      <c r="L17" s="11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52"/>
    </row>
    <row r="18" spans="1:50" x14ac:dyDescent="0.2">
      <c r="A18" s="4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1:50" x14ac:dyDescent="0.2">
      <c r="A19" s="61" t="s">
        <v>86</v>
      </c>
      <c r="B19" s="16"/>
      <c r="C19" s="17"/>
      <c r="D19" s="17"/>
      <c r="E19" s="17"/>
      <c r="F19" s="17"/>
      <c r="G19" s="17">
        <v>148.45699999999999</v>
      </c>
      <c r="H19" s="17">
        <v>101.48600000000002</v>
      </c>
      <c r="I19" s="17">
        <f ca="1">I20*I31</f>
        <v>104.00979924305315</v>
      </c>
      <c r="J19" s="17">
        <f t="shared" ref="J19:L19" ca="1" si="47">J20*J31</f>
        <v>58.096660829223033</v>
      </c>
      <c r="K19" s="17">
        <f t="shared" ca="1" si="47"/>
        <v>127.26687841969039</v>
      </c>
      <c r="L19" s="17">
        <f t="shared" ca="1" si="47"/>
        <v>157.61729787078187</v>
      </c>
      <c r="M19" s="17">
        <f ca="1">M23*M21</f>
        <v>126.70889782985708</v>
      </c>
      <c r="N19" s="17">
        <f t="shared" ref="N19:AC19" ca="1" si="48">N23*N21</f>
        <v>74.289362135544081</v>
      </c>
      <c r="O19" s="17">
        <f t="shared" ca="1" si="48"/>
        <v>162.82328629817621</v>
      </c>
      <c r="P19" s="17">
        <f t="shared" ca="1" si="48"/>
        <v>201.65314601437262</v>
      </c>
      <c r="Q19" s="17">
        <f t="shared" ca="1" si="48"/>
        <v>154.86643068093642</v>
      </c>
      <c r="R19" s="17">
        <f t="shared" ca="1" si="48"/>
        <v>88.376826362728721</v>
      </c>
      <c r="S19" s="17">
        <f t="shared" ca="1" si="48"/>
        <v>189.71928099780084</v>
      </c>
      <c r="T19" s="17">
        <f t="shared" ca="1" si="48"/>
        <v>234.96325828193193</v>
      </c>
      <c r="U19" s="17">
        <f t="shared" ca="1" si="48"/>
        <v>180.38841845715473</v>
      </c>
      <c r="V19" s="17">
        <f t="shared" ca="1" si="48"/>
        <v>101.2136407344845</v>
      </c>
      <c r="W19" s="17">
        <f t="shared" ca="1" si="48"/>
        <v>217.27617903480504</v>
      </c>
      <c r="X19" s="17">
        <f t="shared" ca="1" si="48"/>
        <v>262.20190800567008</v>
      </c>
      <c r="Y19" s="17">
        <f t="shared" ca="1" si="48"/>
        <v>201.23616567598879</v>
      </c>
      <c r="Z19" s="17">
        <f t="shared" ca="1" si="48"/>
        <v>112.91104578508421</v>
      </c>
      <c r="AA19" s="17">
        <f t="shared" ca="1" si="48"/>
        <v>236.01780144926437</v>
      </c>
      <c r="AB19" s="17">
        <f t="shared" ca="1" si="48"/>
        <v>284.81869544193057</v>
      </c>
      <c r="AC19" s="17">
        <f t="shared" ca="1" si="48"/>
        <v>218.52694190431723</v>
      </c>
      <c r="AD19" s="18">
        <f ca="1">AD23*AD21</f>
        <v>122.61267978222504</v>
      </c>
    </row>
    <row r="20" spans="1:50" x14ac:dyDescent="0.2">
      <c r="A20" s="48" t="s">
        <v>93</v>
      </c>
      <c r="C20" s="7"/>
      <c r="D20" s="7"/>
      <c r="E20" s="7"/>
      <c r="F20" s="7"/>
      <c r="G20" s="11">
        <f>G19/G31</f>
        <v>0.72499389559017435</v>
      </c>
      <c r="H20" s="11">
        <f t="shared" ref="H20:AD20" si="49">H19/H31</f>
        <v>0.5598486269404328</v>
      </c>
      <c r="I20" s="11">
        <f t="shared" ca="1" si="49"/>
        <v>0.72499389559017435</v>
      </c>
      <c r="J20" s="11">
        <f t="shared" ca="1" si="49"/>
        <v>0.72499389559017435</v>
      </c>
      <c r="K20" s="11">
        <f t="shared" ca="1" si="49"/>
        <v>0.72499389559017435</v>
      </c>
      <c r="L20" s="11">
        <f t="shared" ca="1" si="49"/>
        <v>0.72499389559017446</v>
      </c>
      <c r="M20" s="11">
        <f t="shared" ca="1" si="49"/>
        <v>0.74934483940803875</v>
      </c>
      <c r="N20" s="11">
        <f t="shared" ca="1" si="49"/>
        <v>0.73546807181562845</v>
      </c>
      <c r="O20" s="11">
        <f t="shared" ca="1" si="49"/>
        <v>0.71228976826243706</v>
      </c>
      <c r="P20" s="11">
        <f t="shared" ca="1" si="49"/>
        <v>0.71682245296700475</v>
      </c>
      <c r="Q20" s="11">
        <f t="shared" ca="1" si="49"/>
        <v>0.72397612540565637</v>
      </c>
      <c r="R20" s="11">
        <f t="shared" ca="1" si="49"/>
        <v>0.69619753959051311</v>
      </c>
      <c r="S20" s="11">
        <f t="shared" ca="1" si="49"/>
        <v>0.64980166661325167</v>
      </c>
      <c r="T20" s="11">
        <f t="shared" ca="1" si="49"/>
        <v>0.65215493540742153</v>
      </c>
      <c r="U20" s="11">
        <f t="shared" ca="1" si="49"/>
        <v>0.66820527706225796</v>
      </c>
      <c r="V20" s="11">
        <f t="shared" ca="1" si="49"/>
        <v>0.62629502631370015</v>
      </c>
      <c r="W20" s="11">
        <f t="shared" ca="1" si="49"/>
        <v>0.59441028895905224</v>
      </c>
      <c r="X20" s="11">
        <f t="shared" ca="1" si="49"/>
        <v>0.6032255722341473</v>
      </c>
      <c r="Y20" s="11">
        <f t="shared" ca="1" si="49"/>
        <v>0.62014372490505631</v>
      </c>
      <c r="Z20" s="11">
        <f t="shared" ca="1" si="49"/>
        <v>0.5871381875967705</v>
      </c>
      <c r="AA20" s="11">
        <f t="shared" ca="1" si="49"/>
        <v>0.55594667060013359</v>
      </c>
      <c r="AB20" s="11">
        <f t="shared" ca="1" si="49"/>
        <v>0.57329923516424997</v>
      </c>
      <c r="AC20" s="11">
        <f t="shared" ca="1" si="49"/>
        <v>0.58670940106733871</v>
      </c>
      <c r="AD20" s="4">
        <f t="shared" ca="1" si="49"/>
        <v>0.5629614173602282</v>
      </c>
    </row>
    <row r="21" spans="1:50" x14ac:dyDescent="0.2">
      <c r="A21" s="48" t="s">
        <v>154</v>
      </c>
      <c r="C21" s="7"/>
      <c r="D21" s="7"/>
      <c r="E21" s="7"/>
      <c r="F21" s="7"/>
      <c r="G21" s="22">
        <f>G19/G23</f>
        <v>3.2990444444444442</v>
      </c>
      <c r="H21" s="22">
        <f t="shared" ref="H21:L21" si="50">H19/H23</f>
        <v>2.2552444444444451</v>
      </c>
      <c r="I21" s="22">
        <f t="shared" ca="1" si="50"/>
        <v>2.0801959848610632</v>
      </c>
      <c r="J21" s="22">
        <f t="shared" ca="1" si="50"/>
        <v>1.1619332165844607</v>
      </c>
      <c r="K21" s="22">
        <f t="shared" ca="1" si="50"/>
        <v>2.4474399696094307</v>
      </c>
      <c r="L21" s="22">
        <f t="shared" ca="1" si="50"/>
        <v>3.0311018821304208</v>
      </c>
      <c r="M21" s="21">
        <f t="shared" ref="M21" ca="1" si="51">I21*(1+M22)</f>
        <v>2.3464610709232794</v>
      </c>
      <c r="N21" s="21">
        <f t="shared" ref="N21" ca="1" si="52">J21*(1+N22)</f>
        <v>1.3757289284360015</v>
      </c>
      <c r="O21" s="21">
        <f t="shared" ref="O21" ca="1" si="53">K21*(1+O22)</f>
        <v>3.0152460425588186</v>
      </c>
      <c r="P21" s="21">
        <f t="shared" ref="P21" ca="1" si="54">L21*(1+P22)</f>
        <v>3.7343175187846782</v>
      </c>
      <c r="Q21" s="21">
        <f t="shared" ref="Q21" ca="1" si="55">M21*(1+Q22)</f>
        <v>2.815753285107935</v>
      </c>
      <c r="R21" s="21">
        <f t="shared" ref="R21" ca="1" si="56">N21*(1+R22)</f>
        <v>1.6068513884132496</v>
      </c>
      <c r="S21" s="21">
        <f t="shared" ref="S21" ca="1" si="57">O21*(1+S22)</f>
        <v>3.4494414726872882</v>
      </c>
      <c r="T21" s="21">
        <f t="shared" ref="T21" ca="1" si="58">P21*(1+T22)</f>
        <v>4.2720592414896714</v>
      </c>
      <c r="U21" s="21">
        <f t="shared" ref="U21" ca="1" si="59">Q21*(1+U22)</f>
        <v>3.2212217581634772</v>
      </c>
      <c r="V21" s="21">
        <f t="shared" ref="V21" ca="1" si="60">R21*(1+V22)</f>
        <v>1.8073864416872232</v>
      </c>
      <c r="W21" s="21">
        <f t="shared" ref="W21" ca="1" si="61">S21*(1+W22)</f>
        <v>3.8799317684786616</v>
      </c>
      <c r="X21" s="21">
        <f t="shared" ref="X21" ca="1" si="62">T21*(1+X22)</f>
        <v>4.6821769286726802</v>
      </c>
      <c r="Y21" s="21">
        <f t="shared" ref="Y21" ca="1" si="63">U21*(1+Y22)</f>
        <v>3.5304590469471715</v>
      </c>
      <c r="Z21" s="21">
        <f t="shared" ref="Z21" ca="1" si="64">V21*(1+Z22)</f>
        <v>1.9808955400891968</v>
      </c>
      <c r="AA21" s="21">
        <f t="shared" ref="AA21" ca="1" si="65">W21*(1+AA22)</f>
        <v>4.1406631833204273</v>
      </c>
      <c r="AB21" s="21">
        <f t="shared" ref="AB21" ca="1" si="66">X21*(1+AB22)</f>
        <v>4.9968192182794837</v>
      </c>
      <c r="AC21" s="21">
        <f t="shared" ref="AC21" ca="1" si="67">Y21*(1+AC22)</f>
        <v>3.7677058949020212</v>
      </c>
      <c r="AD21" s="49">
        <f t="shared" ref="AD21" ca="1" si="68">Z21*(1+AD22)</f>
        <v>2.1140117203831905</v>
      </c>
    </row>
    <row r="22" spans="1:50" x14ac:dyDescent="0.2">
      <c r="A22" s="48" t="s">
        <v>172</v>
      </c>
      <c r="G22" s="22"/>
      <c r="H22" s="22"/>
      <c r="I22" s="22"/>
      <c r="J22" s="11"/>
      <c r="K22" s="11">
        <f t="shared" ref="K22" ca="1" si="69">(K19-G19)/G19</f>
        <v>-0.14273575230746688</v>
      </c>
      <c r="L22" s="11">
        <f ca="1">(L19-H19)/H19</f>
        <v>0.55309400184046908</v>
      </c>
      <c r="M22" s="33">
        <v>0.128</v>
      </c>
      <c r="N22" s="33">
        <v>0.184</v>
      </c>
      <c r="O22" s="33">
        <v>0.23200000000000004</v>
      </c>
      <c r="P22" s="33">
        <v>0.23200000000000004</v>
      </c>
      <c r="Q22" s="33">
        <v>0.2</v>
      </c>
      <c r="R22" s="33">
        <v>0.16800000000000001</v>
      </c>
      <c r="S22" s="33">
        <v>0.14399999999999999</v>
      </c>
      <c r="T22" s="33">
        <v>0.14399999999999999</v>
      </c>
      <c r="U22" s="33">
        <v>0.14399999999999999</v>
      </c>
      <c r="V22" s="33">
        <v>0.12479999999999999</v>
      </c>
      <c r="W22" s="33">
        <v>0.12479999999999999</v>
      </c>
      <c r="X22" s="33">
        <v>9.6000000000000002E-2</v>
      </c>
      <c r="Y22" s="33">
        <v>9.6000000000000002E-2</v>
      </c>
      <c r="Z22" s="33">
        <v>9.6000000000000002E-2</v>
      </c>
      <c r="AA22" s="33">
        <v>6.720000000000001E-2</v>
      </c>
      <c r="AB22" s="33">
        <v>6.720000000000001E-2</v>
      </c>
      <c r="AC22" s="33">
        <v>6.720000000000001E-2</v>
      </c>
      <c r="AD22" s="50">
        <v>6.720000000000001E-2</v>
      </c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</row>
    <row r="23" spans="1:50" x14ac:dyDescent="0.2">
      <c r="A23" s="48" t="s">
        <v>155</v>
      </c>
      <c r="C23" s="7"/>
      <c r="D23" s="7"/>
      <c r="E23" s="7"/>
      <c r="F23" s="7"/>
      <c r="G23" s="21">
        <v>45</v>
      </c>
      <c r="H23" s="21">
        <v>45</v>
      </c>
      <c r="I23" s="21">
        <v>50</v>
      </c>
      <c r="J23" s="21">
        <v>50</v>
      </c>
      <c r="K23" s="21">
        <v>52</v>
      </c>
      <c r="L23" s="37">
        <v>52</v>
      </c>
      <c r="M23" s="21">
        <v>54</v>
      </c>
      <c r="N23" s="21">
        <v>54</v>
      </c>
      <c r="O23" s="21">
        <v>54</v>
      </c>
      <c r="P23" s="21">
        <v>54</v>
      </c>
      <c r="Q23" s="21">
        <v>55</v>
      </c>
      <c r="R23" s="21">
        <v>55</v>
      </c>
      <c r="S23" s="21">
        <v>55</v>
      </c>
      <c r="T23" s="21">
        <v>55</v>
      </c>
      <c r="U23" s="21">
        <v>56</v>
      </c>
      <c r="V23" s="21">
        <v>56</v>
      </c>
      <c r="W23" s="21">
        <v>56</v>
      </c>
      <c r="X23" s="21">
        <v>56</v>
      </c>
      <c r="Y23" s="21">
        <v>57</v>
      </c>
      <c r="Z23" s="21">
        <v>57</v>
      </c>
      <c r="AA23" s="21">
        <v>57</v>
      </c>
      <c r="AB23" s="21">
        <v>57</v>
      </c>
      <c r="AC23" s="21">
        <v>58</v>
      </c>
      <c r="AD23" s="49">
        <v>58</v>
      </c>
      <c r="AG23" s="26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</row>
    <row r="24" spans="1:50" x14ac:dyDescent="0.2">
      <c r="A24" s="48"/>
      <c r="C24" s="7"/>
      <c r="D24" s="7"/>
      <c r="E24" s="7"/>
      <c r="F24" s="7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4"/>
    </row>
    <row r="25" spans="1:50" x14ac:dyDescent="0.2">
      <c r="A25" s="48" t="s">
        <v>87</v>
      </c>
      <c r="C25" s="7"/>
      <c r="D25" s="7"/>
      <c r="E25" s="7"/>
      <c r="F25" s="7"/>
      <c r="G25" s="7">
        <v>56.313000000000002</v>
      </c>
      <c r="H25" s="7">
        <v>79.787999999999997</v>
      </c>
      <c r="I25" s="7">
        <f ca="1">I26*I31</f>
        <v>39.453200756946813</v>
      </c>
      <c r="J25" s="7">
        <f t="shared" ref="J25:L25" ca="1" si="70">J26*J31</f>
        <v>22.037339170776974</v>
      </c>
      <c r="K25" s="7">
        <f t="shared" ca="1" si="70"/>
        <v>48.275121580309623</v>
      </c>
      <c r="L25" s="7">
        <f t="shared" ca="1" si="70"/>
        <v>59.787702129218154</v>
      </c>
      <c r="M25" s="7">
        <f ca="1">M29*M27</f>
        <v>42.384009956034291</v>
      </c>
      <c r="N25" s="7">
        <f t="shared" ref="N25:AC25" ca="1" si="71">N29*N27</f>
        <v>26.720273744567081</v>
      </c>
      <c r="O25" s="7">
        <f t="shared" ca="1" si="71"/>
        <v>65.768072939466762</v>
      </c>
      <c r="P25" s="7">
        <f t="shared" ca="1" si="71"/>
        <v>79.662185529315394</v>
      </c>
      <c r="Q25" s="7">
        <f t="shared" ca="1" si="71"/>
        <v>59.044533018539262</v>
      </c>
      <c r="R25" s="7">
        <f t="shared" ca="1" si="71"/>
        <v>38.565343548859701</v>
      </c>
      <c r="S25" s="7">
        <f t="shared" ca="1" si="71"/>
        <v>102.24562267290298</v>
      </c>
      <c r="T25" s="7">
        <f t="shared" ca="1" si="71"/>
        <v>125.32422177086112</v>
      </c>
      <c r="U25" s="7">
        <f t="shared" ca="1" si="71"/>
        <v>89.571165295650033</v>
      </c>
      <c r="V25" s="7">
        <f t="shared" ca="1" si="71"/>
        <v>60.393327997514305</v>
      </c>
      <c r="W25" s="7">
        <f t="shared" ca="1" si="71"/>
        <v>148.25615287570932</v>
      </c>
      <c r="X25" s="7">
        <f t="shared" ca="1" si="71"/>
        <v>172.46452537274465</v>
      </c>
      <c r="Y25" s="7">
        <f t="shared" ca="1" si="71"/>
        <v>123.26307150777525</v>
      </c>
      <c r="Z25" s="7">
        <f ca="1">Z29*Z27</f>
        <v>79.396401031214921</v>
      </c>
      <c r="AA25" s="7">
        <f t="shared" ca="1" si="71"/>
        <v>188.51536680316485</v>
      </c>
      <c r="AB25" s="7">
        <f t="shared" ca="1" si="71"/>
        <v>211.9876457706653</v>
      </c>
      <c r="AC25" s="7">
        <f t="shared" ca="1" si="71"/>
        <v>153.93503246795999</v>
      </c>
      <c r="AD25" s="8">
        <f ca="1">AD29*AD27</f>
        <v>95.186757268302941</v>
      </c>
    </row>
    <row r="26" spans="1:50" x14ac:dyDescent="0.2">
      <c r="A26" s="48" t="s">
        <v>94</v>
      </c>
      <c r="C26" s="7"/>
      <c r="D26" s="7"/>
      <c r="E26" s="7"/>
      <c r="F26" s="7"/>
      <c r="G26" s="11">
        <f>G25/G31</f>
        <v>0.2750061044098257</v>
      </c>
      <c r="H26" s="11">
        <f t="shared" ref="H26:AD26" si="72">H25/H31</f>
        <v>0.44015137305956725</v>
      </c>
      <c r="I26" s="11">
        <f t="shared" ca="1" si="72"/>
        <v>0.2750061044098257</v>
      </c>
      <c r="J26" s="11">
        <f t="shared" ca="1" si="72"/>
        <v>0.2750061044098257</v>
      </c>
      <c r="K26" s="11">
        <f t="shared" ca="1" si="72"/>
        <v>0.2750061044098257</v>
      </c>
      <c r="L26" s="11">
        <f t="shared" ca="1" si="72"/>
        <v>0.2750061044098257</v>
      </c>
      <c r="M26" s="11">
        <f t="shared" ca="1" si="72"/>
        <v>0.25065516059196119</v>
      </c>
      <c r="N26" s="11">
        <f t="shared" ca="1" si="72"/>
        <v>0.26453192818437149</v>
      </c>
      <c r="O26" s="11">
        <f t="shared" ca="1" si="72"/>
        <v>0.28771023173756299</v>
      </c>
      <c r="P26" s="11">
        <f t="shared" ca="1" si="72"/>
        <v>0.28317754703299536</v>
      </c>
      <c r="Q26" s="11">
        <f t="shared" ca="1" si="72"/>
        <v>0.27602387459434363</v>
      </c>
      <c r="R26" s="11">
        <f t="shared" ca="1" si="72"/>
        <v>0.30380246040948689</v>
      </c>
      <c r="S26" s="11">
        <f t="shared" ca="1" si="72"/>
        <v>0.35019833338674822</v>
      </c>
      <c r="T26" s="11">
        <f t="shared" ca="1" si="72"/>
        <v>0.34784506459257841</v>
      </c>
      <c r="U26" s="11">
        <f t="shared" ca="1" si="72"/>
        <v>0.33179472293774209</v>
      </c>
      <c r="V26" s="11">
        <f t="shared" ca="1" si="72"/>
        <v>0.37370497368629996</v>
      </c>
      <c r="W26" s="11">
        <f t="shared" ca="1" si="72"/>
        <v>0.40558971104094776</v>
      </c>
      <c r="X26" s="11">
        <f t="shared" ca="1" si="72"/>
        <v>0.39677442776585276</v>
      </c>
      <c r="Y26" s="11">
        <f t="shared" ca="1" si="72"/>
        <v>0.37985627509494369</v>
      </c>
      <c r="Z26" s="11">
        <f t="shared" ca="1" si="72"/>
        <v>0.41286181240322944</v>
      </c>
      <c r="AA26" s="11">
        <f t="shared" ca="1" si="72"/>
        <v>0.44405332939986641</v>
      </c>
      <c r="AB26" s="11">
        <f t="shared" ca="1" si="72"/>
        <v>0.42670076483575015</v>
      </c>
      <c r="AC26" s="11">
        <f t="shared" ca="1" si="72"/>
        <v>0.41329059893266129</v>
      </c>
      <c r="AD26" s="4">
        <f t="shared" ca="1" si="72"/>
        <v>0.43703858263977174</v>
      </c>
    </row>
    <row r="27" spans="1:50" x14ac:dyDescent="0.2">
      <c r="A27" s="48" t="s">
        <v>156</v>
      </c>
      <c r="C27" s="7"/>
      <c r="D27" s="7"/>
      <c r="E27" s="7"/>
      <c r="F27" s="7"/>
      <c r="G27" s="22">
        <f t="shared" ref="G27:L27" si="73">G25/G29</f>
        <v>0.64727586206896559</v>
      </c>
      <c r="H27" s="22">
        <f t="shared" si="73"/>
        <v>0.91710344827586199</v>
      </c>
      <c r="I27" s="22">
        <f t="shared" ca="1" si="73"/>
        <v>0.37574476911377919</v>
      </c>
      <c r="J27" s="22">
        <f t="shared" ca="1" si="73"/>
        <v>0.22955561636226016</v>
      </c>
      <c r="K27" s="22">
        <f t="shared" ca="1" si="73"/>
        <v>0.54241709640797331</v>
      </c>
      <c r="L27" s="22">
        <f t="shared" ca="1" si="73"/>
        <v>0.65700771570569405</v>
      </c>
      <c r="M27" s="22">
        <f ca="1">I27*1.2</f>
        <v>0.45089372293653501</v>
      </c>
      <c r="N27" s="22">
        <f ca="1">J27*1.2</f>
        <v>0.27546673963471219</v>
      </c>
      <c r="O27" s="22">
        <f ca="1">K27*1.25</f>
        <v>0.67802137050996669</v>
      </c>
      <c r="P27" s="22">
        <f ca="1">L27*1.25</f>
        <v>0.82125964463211754</v>
      </c>
      <c r="Q27" s="21">
        <f ca="1">M27*1.35</f>
        <v>0.60870652596432229</v>
      </c>
      <c r="R27" s="21">
        <f ca="1">N27*1.4</f>
        <v>0.38565343548859704</v>
      </c>
      <c r="S27" s="21">
        <f ca="1">O27*1.45</f>
        <v>0.98313098723945169</v>
      </c>
      <c r="T27" s="21">
        <f ca="1">P27*1.4</f>
        <v>1.1497635024849644</v>
      </c>
      <c r="U27" s="21">
        <f ca="1">Q27*1.35</f>
        <v>0.82175381005183512</v>
      </c>
      <c r="V27" s="21">
        <f ca="1">R27*1.35</f>
        <v>0.52063213790960605</v>
      </c>
      <c r="W27" s="21">
        <f ca="1">S27*1.3</f>
        <v>1.2780702834112871</v>
      </c>
      <c r="X27" s="21">
        <f ca="1">T27*1.25</f>
        <v>1.4372043781062054</v>
      </c>
      <c r="Y27" s="21">
        <f t="shared" ref="Y27" ca="1" si="74">U27*1.25</f>
        <v>1.0271922625647938</v>
      </c>
      <c r="Z27" s="21">
        <f ca="1">V27*1.22</f>
        <v>0.6351712082497194</v>
      </c>
      <c r="AA27" s="21">
        <f ca="1">W27*1.18</f>
        <v>1.5081229344253189</v>
      </c>
      <c r="AB27" s="21">
        <f ca="1">X27*1.18</f>
        <v>1.6959011661653223</v>
      </c>
      <c r="AC27" s="21">
        <f t="shared" ref="AC27" ca="1" si="75">Y27*1.18</f>
        <v>1.2120868698264566</v>
      </c>
      <c r="AD27" s="49">
        <f t="shared" ref="AD27" ca="1" si="76">Z27*1.18</f>
        <v>0.74950202573466884</v>
      </c>
    </row>
    <row r="28" spans="1:50" x14ac:dyDescent="0.2">
      <c r="A28" s="48" t="s">
        <v>171</v>
      </c>
      <c r="G28" s="22"/>
      <c r="H28" s="22"/>
      <c r="I28" s="22"/>
      <c r="J28" s="22"/>
      <c r="K28" s="11">
        <f t="shared" ref="K28" ca="1" si="77">(K25-G25)/G25</f>
        <v>-0.14273575230746682</v>
      </c>
      <c r="L28" s="11">
        <f ca="1">(L25-H25)/H25</f>
        <v>-0.25066799356772751</v>
      </c>
      <c r="M28" s="33">
        <v>4.8000000000000001E-2</v>
      </c>
      <c r="N28" s="33">
        <v>0.10400000000000001</v>
      </c>
      <c r="O28" s="33">
        <v>0.17600000000000002</v>
      </c>
      <c r="P28" s="33">
        <v>0.23200000000000004</v>
      </c>
      <c r="Q28" s="33">
        <v>0.25600000000000001</v>
      </c>
      <c r="R28" s="33">
        <v>0.27999999999999997</v>
      </c>
      <c r="S28" s="33">
        <v>0.30400000000000005</v>
      </c>
      <c r="T28" s="33">
        <v>0.28000000000000003</v>
      </c>
      <c r="U28" s="33">
        <v>0.23040000000000002</v>
      </c>
      <c r="V28" s="33">
        <v>0.23040000000000002</v>
      </c>
      <c r="W28" s="33">
        <v>0.19199999999999998</v>
      </c>
      <c r="X28" s="33">
        <v>0.19199999999999998</v>
      </c>
      <c r="Y28" s="33">
        <v>0.16319999999999998</v>
      </c>
      <c r="Z28" s="33">
        <v>0.14399999999999999</v>
      </c>
      <c r="AA28" s="33">
        <v>0.14399999999999999</v>
      </c>
      <c r="AB28" s="33">
        <v>9.6000000000000002E-2</v>
      </c>
      <c r="AC28" s="33">
        <v>9.6000000000000002E-2</v>
      </c>
      <c r="AD28" s="50">
        <v>9.6000000000000002E-2</v>
      </c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</row>
    <row r="29" spans="1:50" x14ac:dyDescent="0.2">
      <c r="A29" s="48" t="s">
        <v>157</v>
      </c>
      <c r="C29" s="7"/>
      <c r="D29" s="7"/>
      <c r="E29" s="7"/>
      <c r="F29" s="7"/>
      <c r="G29" s="21">
        <v>87</v>
      </c>
      <c r="H29" s="21">
        <v>87</v>
      </c>
      <c r="I29" s="21">
        <v>105</v>
      </c>
      <c r="J29" s="21">
        <v>96</v>
      </c>
      <c r="K29" s="21">
        <v>89</v>
      </c>
      <c r="L29" s="37">
        <v>91</v>
      </c>
      <c r="M29" s="21">
        <v>94</v>
      </c>
      <c r="N29" s="21">
        <v>97</v>
      </c>
      <c r="O29" s="21">
        <v>97</v>
      </c>
      <c r="P29" s="21">
        <v>97</v>
      </c>
      <c r="Q29" s="21">
        <v>97</v>
      </c>
      <c r="R29" s="21">
        <v>100</v>
      </c>
      <c r="S29" s="21">
        <v>104</v>
      </c>
      <c r="T29" s="21">
        <v>109</v>
      </c>
      <c r="U29" s="21">
        <v>109</v>
      </c>
      <c r="V29" s="21">
        <v>116</v>
      </c>
      <c r="W29" s="21">
        <v>116</v>
      </c>
      <c r="X29" s="21">
        <v>120</v>
      </c>
      <c r="Y29" s="21">
        <v>120</v>
      </c>
      <c r="Z29" s="21">
        <v>125</v>
      </c>
      <c r="AA29" s="21">
        <v>125</v>
      </c>
      <c r="AB29" s="21">
        <v>125</v>
      </c>
      <c r="AC29" s="21">
        <v>127</v>
      </c>
      <c r="AD29" s="49">
        <v>127</v>
      </c>
      <c r="AG29" s="26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</row>
    <row r="30" spans="1:50" x14ac:dyDescent="0.2">
      <c r="A30" s="48"/>
      <c r="C30" s="7"/>
      <c r="D30" s="7"/>
      <c r="E30" s="7"/>
      <c r="F30" s="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4"/>
    </row>
    <row r="31" spans="1:50" x14ac:dyDescent="0.2">
      <c r="A31" s="51" t="s">
        <v>101</v>
      </c>
      <c r="B31" s="5"/>
      <c r="C31" s="39">
        <v>170.18899999999999</v>
      </c>
      <c r="D31" s="39">
        <v>142.18200000000002</v>
      </c>
      <c r="E31" s="39">
        <v>136.76</v>
      </c>
      <c r="F31" s="39">
        <v>60.517000000000003</v>
      </c>
      <c r="G31" s="39">
        <v>204.76999999999998</v>
      </c>
      <c r="H31" s="39">
        <v>181.274</v>
      </c>
      <c r="I31" s="39">
        <v>143.46299999999997</v>
      </c>
      <c r="J31" s="39">
        <v>80.134</v>
      </c>
      <c r="K31" s="39">
        <v>175.542</v>
      </c>
      <c r="L31" s="39">
        <v>217.405</v>
      </c>
      <c r="M31" s="39">
        <f ca="1">M25+M19</f>
        <v>169.09290778589138</v>
      </c>
      <c r="N31" s="39">
        <f t="shared" ref="N31:Q31" ca="1" si="78">N25+N19</f>
        <v>101.00963588011116</v>
      </c>
      <c r="O31" s="39">
        <f t="shared" ca="1" si="78"/>
        <v>228.59135923764296</v>
      </c>
      <c r="P31" s="39">
        <f ca="1">P25+P19</f>
        <v>281.31533154368799</v>
      </c>
      <c r="Q31" s="39">
        <f t="shared" ca="1" si="78"/>
        <v>213.91096369947567</v>
      </c>
      <c r="R31" s="39">
        <f ca="1">R25+R19</f>
        <v>126.94216991158842</v>
      </c>
      <c r="S31" s="39">
        <f ca="1">S25+S19</f>
        <v>291.96490367070385</v>
      </c>
      <c r="T31" s="39">
        <f ca="1">T25+T19</f>
        <v>360.28748005279306</v>
      </c>
      <c r="U31" s="39">
        <f ca="1">U25+U19</f>
        <v>269.95958375280475</v>
      </c>
      <c r="V31" s="39">
        <f t="shared" ref="V31" ca="1" si="79">V25+V19</f>
        <v>161.60696873199879</v>
      </c>
      <c r="W31" s="39">
        <f ca="1">W25+W19</f>
        <v>365.53233191051436</v>
      </c>
      <c r="X31" s="39">
        <f t="shared" ref="X31:AA31" ca="1" si="80">X25+X19</f>
        <v>434.66643337841469</v>
      </c>
      <c r="Y31" s="39">
        <f t="shared" ca="1" si="80"/>
        <v>324.49923718376402</v>
      </c>
      <c r="Z31" s="39">
        <f ca="1">Z25+Z19</f>
        <v>192.30744681629915</v>
      </c>
      <c r="AA31" s="39">
        <f t="shared" ca="1" si="80"/>
        <v>424.53316825242922</v>
      </c>
      <c r="AB31" s="39">
        <f ca="1">AB25+AB19</f>
        <v>496.80634121259584</v>
      </c>
      <c r="AC31" s="39">
        <f ca="1">AC25+AC19</f>
        <v>372.46197437227721</v>
      </c>
      <c r="AD31" s="9">
        <f ca="1">AD25+AD19</f>
        <v>217.79943705052798</v>
      </c>
      <c r="AE31" s="39"/>
    </row>
    <row r="32" spans="1:50" x14ac:dyDescent="0.2">
      <c r="A32" s="54" t="s">
        <v>97</v>
      </c>
      <c r="B32" s="12"/>
      <c r="C32" s="13"/>
      <c r="D32" s="13"/>
      <c r="E32" s="13"/>
      <c r="F32" s="13"/>
      <c r="G32" s="14">
        <f>G31/C31-1</f>
        <v>0.20319174564748588</v>
      </c>
      <c r="H32" s="14">
        <f t="shared" ref="H32:L32" si="81">H31/D31-1</f>
        <v>0.274943382425342</v>
      </c>
      <c r="I32" s="14">
        <f t="shared" si="81"/>
        <v>4.9012869260017355E-2</v>
      </c>
      <c r="J32" s="14">
        <f t="shared" si="81"/>
        <v>0.3241568484888544</v>
      </c>
      <c r="K32" s="14">
        <f t="shared" si="81"/>
        <v>-0.14273575230746682</v>
      </c>
      <c r="L32" s="14">
        <f t="shared" si="81"/>
        <v>0.19931705594845361</v>
      </c>
      <c r="M32" s="14">
        <f t="shared" ref="M32" ca="1" si="82">M31/I31-1</f>
        <v>0.17865169267261538</v>
      </c>
      <c r="N32" s="14">
        <f t="shared" ref="N32" ca="1" si="83">N31/J31-1</f>
        <v>0.26050909576598147</v>
      </c>
      <c r="O32" s="14">
        <f t="shared" ref="O32" ca="1" si="84">O31/K31-1</f>
        <v>0.30220322907135011</v>
      </c>
      <c r="P32" s="14">
        <f t="shared" ref="P32" ca="1" si="85">P31/L31-1</f>
        <v>0.29396900505364632</v>
      </c>
      <c r="Q32" s="14">
        <f t="shared" ref="Q32" ca="1" si="86">Q31/M31-1</f>
        <v>0.26504988589074219</v>
      </c>
      <c r="R32" s="14">
        <f t="shared" ref="R32" ca="1" si="87">R31/N31-1</f>
        <v>0.25673326911361927</v>
      </c>
      <c r="S32" s="14">
        <f t="shared" ref="S32" ca="1" si="88">S31/O31-1</f>
        <v>0.27723508292007626</v>
      </c>
      <c r="T32" s="14">
        <f t="shared" ref="T32" ca="1" si="89">T31/P31-1</f>
        <v>0.28072465185510431</v>
      </c>
      <c r="U32" s="14">
        <f t="shared" ref="U32" ca="1" si="90">U31/Q31-1</f>
        <v>0.26201845423908243</v>
      </c>
      <c r="V32" s="14">
        <f t="shared" ref="V32" ca="1" si="91">V31/R31-1</f>
        <v>0.27307551812414577</v>
      </c>
      <c r="W32" s="14">
        <f t="shared" ref="W32" ca="1" si="92">W31/S31-1</f>
        <v>0.25197353282839918</v>
      </c>
      <c r="X32" s="14">
        <f t="shared" ref="X32" ca="1" si="93">X31/T31-1</f>
        <v>0.20644334717021762</v>
      </c>
      <c r="Y32" s="14">
        <f t="shared" ref="Y32" ca="1" si="94">Y31/U31-1</f>
        <v>0.20202895808618471</v>
      </c>
      <c r="Z32" s="14">
        <f t="shared" ref="Z32" ca="1" si="95">Z31/V31-1</f>
        <v>0.18997001382540968</v>
      </c>
      <c r="AA32" s="14">
        <f t="shared" ref="AA32" ca="1" si="96">AA31/W31-1</f>
        <v>0.1614107185362712</v>
      </c>
      <c r="AB32" s="14">
        <f t="shared" ref="AB32" ca="1" si="97">AB31/X31-1</f>
        <v>0.1429599873889571</v>
      </c>
      <c r="AC32" s="14">
        <f t="shared" ref="AC32" ca="1" si="98">AC31/Y31-1</f>
        <v>0.14780539271761639</v>
      </c>
      <c r="AD32" s="15">
        <f t="shared" ref="AD32" ca="1" si="99">AD31/Z31-1</f>
        <v>0.13255851843626187</v>
      </c>
    </row>
    <row r="33" spans="1:50" x14ac:dyDescent="0.2">
      <c r="A33" s="4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</row>
    <row r="34" spans="1:50" x14ac:dyDescent="0.2">
      <c r="A34" s="61" t="s">
        <v>88</v>
      </c>
      <c r="B34" s="16"/>
      <c r="C34" s="17"/>
      <c r="D34" s="17"/>
      <c r="E34" s="17"/>
      <c r="F34" s="17"/>
      <c r="G34" s="17">
        <v>50.802</v>
      </c>
      <c r="H34" s="17">
        <v>32.762999999999998</v>
      </c>
      <c r="I34" s="17">
        <f ca="1">I35*I46</f>
        <v>34.003587530203255</v>
      </c>
      <c r="J34" s="17">
        <f ca="1">J35*J46</f>
        <v>31.672926138247973</v>
      </c>
      <c r="K34" s="17">
        <f ca="1">K35*K46</f>
        <v>40.683479698678163</v>
      </c>
      <c r="L34" s="17">
        <f ca="1">L35*L46</f>
        <v>51.09563926659402</v>
      </c>
      <c r="M34" s="17">
        <f t="shared" ref="M34:AD34" ca="1" si="100">M36*M38</f>
        <v>58.758199252191233</v>
      </c>
      <c r="N34" s="17">
        <f t="shared" ca="1" si="100"/>
        <v>54.730816366892512</v>
      </c>
      <c r="O34" s="17">
        <f t="shared" ca="1" si="100"/>
        <v>63.372343376787136</v>
      </c>
      <c r="P34" s="17">
        <f t="shared" ca="1" si="100"/>
        <v>79.591284242194533</v>
      </c>
      <c r="Q34" s="17">
        <f t="shared" ca="1" si="100"/>
        <v>83.784839674420823</v>
      </c>
      <c r="R34" s="17">
        <f t="shared" ca="1" si="100"/>
        <v>78.042090004643015</v>
      </c>
      <c r="S34" s="17">
        <f t="shared" ca="1" si="100"/>
        <v>90.364267407640909</v>
      </c>
      <c r="T34" s="17">
        <f t="shared" ca="1" si="100"/>
        <v>109.43801583301747</v>
      </c>
      <c r="U34" s="17">
        <f t="shared" ca="1" si="100"/>
        <v>115.1660705342948</v>
      </c>
      <c r="V34" s="17">
        <f t="shared" ca="1" si="100"/>
        <v>103.29934822432749</v>
      </c>
      <c r="W34" s="17">
        <f t="shared" ca="1" si="100"/>
        <v>110.4087049053358</v>
      </c>
      <c r="X34" s="17">
        <f t="shared" ca="1" si="100"/>
        <v>131.48480156810535</v>
      </c>
      <c r="Y34" s="17">
        <f t="shared" ca="1" si="100"/>
        <v>138.32267685958334</v>
      </c>
      <c r="Z34" s="17">
        <f t="shared" ca="1" si="100"/>
        <v>124.06989574229048</v>
      </c>
      <c r="AA34" s="17">
        <f t="shared" ca="1" si="100"/>
        <v>132.60874092737296</v>
      </c>
      <c r="AB34" s="17">
        <f t="shared" ca="1" si="100"/>
        <v>157.92263845483509</v>
      </c>
      <c r="AC34" s="17">
        <f t="shared" ca="1" si="100"/>
        <v>166.08428077666463</v>
      </c>
      <c r="AD34" s="18">
        <f t="shared" ca="1" si="100"/>
        <v>148.97094148425194</v>
      </c>
    </row>
    <row r="35" spans="1:50" x14ac:dyDescent="0.2">
      <c r="A35" s="48" t="s">
        <v>95</v>
      </c>
      <c r="C35" s="7"/>
      <c r="D35" s="7"/>
      <c r="E35" s="7"/>
      <c r="F35" s="7"/>
      <c r="G35" s="11">
        <f t="shared" ref="G35:AD35" si="101">G34/G46</f>
        <v>0.80229307812574024</v>
      </c>
      <c r="H35" s="11">
        <f t="shared" si="101"/>
        <v>0.70126284246575343</v>
      </c>
      <c r="I35" s="11">
        <f t="shared" ca="1" si="101"/>
        <v>0.80229307812574024</v>
      </c>
      <c r="J35" s="11">
        <f t="shared" ca="1" si="101"/>
        <v>0.80229307812574024</v>
      </c>
      <c r="K35" s="11">
        <f t="shared" ca="1" si="101"/>
        <v>0.80229307812574024</v>
      </c>
      <c r="L35" s="11">
        <f t="shared" ca="1" si="101"/>
        <v>0.80229307812574024</v>
      </c>
      <c r="M35" s="11">
        <f t="shared" ca="1" si="101"/>
        <v>0.85765572945650004</v>
      </c>
      <c r="N35" s="11">
        <f t="shared" ca="1" si="101"/>
        <v>0.84223146068577548</v>
      </c>
      <c r="O35" s="11">
        <f t="shared" ca="1" si="101"/>
        <v>0.80554946914513514</v>
      </c>
      <c r="P35" s="11">
        <f t="shared" ca="1" si="101"/>
        <v>0.80900687168721896</v>
      </c>
      <c r="Q35" s="11">
        <f t="shared" ca="1" si="101"/>
        <v>0.85167457599359109</v>
      </c>
      <c r="R35" s="11">
        <f t="shared" ca="1" si="101"/>
        <v>0.83115328041964098</v>
      </c>
      <c r="S35" s="11">
        <f t="shared" ca="1" si="101"/>
        <v>0.78044017623855211</v>
      </c>
      <c r="T35" s="11">
        <f t="shared" ca="1" si="101"/>
        <v>0.76411666832189384</v>
      </c>
      <c r="U35" s="11">
        <f t="shared" ca="1" si="101"/>
        <v>0.81446356179580681</v>
      </c>
      <c r="V35" s="11">
        <f t="shared" ca="1" si="101"/>
        <v>0.77829915631119873</v>
      </c>
      <c r="W35" s="11">
        <f t="shared" ca="1" si="101"/>
        <v>0.72190063166156437</v>
      </c>
      <c r="X35" s="11">
        <f t="shared" ca="1" si="101"/>
        <v>0.70913953998392842</v>
      </c>
      <c r="Y35" s="11">
        <f t="shared" ca="1" si="101"/>
        <v>0.78650476811074488</v>
      </c>
      <c r="Z35" s="11">
        <f t="shared" ca="1" si="101"/>
        <v>0.76231646219903482</v>
      </c>
      <c r="AA35" s="11">
        <f t="shared" ca="1" si="101"/>
        <v>0.71030895724148146</v>
      </c>
      <c r="AB35" s="11">
        <f t="shared" ca="1" si="101"/>
        <v>0.70434733437719055</v>
      </c>
      <c r="AC35" s="11">
        <f t="shared" ca="1" si="101"/>
        <v>0.77983080913357961</v>
      </c>
      <c r="AD35" s="4">
        <f t="shared" ca="1" si="101"/>
        <v>0.76259147045069409</v>
      </c>
    </row>
    <row r="36" spans="1:50" x14ac:dyDescent="0.2">
      <c r="A36" s="48" t="s">
        <v>158</v>
      </c>
      <c r="C36" s="7"/>
      <c r="D36" s="7"/>
      <c r="E36" s="7"/>
      <c r="F36" s="7"/>
      <c r="G36" s="22">
        <f t="shared" ref="G36:L36" si="102">G34/G38</f>
        <v>1.1289333333333333</v>
      </c>
      <c r="H36" s="22">
        <f t="shared" si="102"/>
        <v>0.72806666666666664</v>
      </c>
      <c r="I36" s="22">
        <f t="shared" ca="1" si="102"/>
        <v>0.68007175060406511</v>
      </c>
      <c r="J36" s="22">
        <f t="shared" ca="1" si="102"/>
        <v>0.63345852276495951</v>
      </c>
      <c r="K36" s="22">
        <f t="shared" ca="1" si="102"/>
        <v>0.78237460958996463</v>
      </c>
      <c r="L36" s="22">
        <f t="shared" ca="1" si="102"/>
        <v>0.98260844743450038</v>
      </c>
      <c r="M36" s="22">
        <f ca="1">I36*1.6</f>
        <v>1.0881148009665043</v>
      </c>
      <c r="N36" s="22">
        <f ca="1">J36*1.6</f>
        <v>1.0135336364239353</v>
      </c>
      <c r="O36" s="22">
        <f ca="1">K36*1.5</f>
        <v>1.1735619143849469</v>
      </c>
      <c r="P36" s="22">
        <f ca="1">L36*1.5</f>
        <v>1.4739126711517505</v>
      </c>
      <c r="Q36" s="21">
        <f ca="1">M36*1.4</f>
        <v>1.523360721353106</v>
      </c>
      <c r="R36" s="21">
        <f t="shared" ref="R36:S36" ca="1" si="103">N36*1.4</f>
        <v>1.4189470909935094</v>
      </c>
      <c r="S36" s="21">
        <f t="shared" ca="1" si="103"/>
        <v>1.6429866801389257</v>
      </c>
      <c r="T36" s="21">
        <f ca="1">P36*1.35</f>
        <v>1.9897821060548633</v>
      </c>
      <c r="U36" s="21">
        <f ca="1">Q36*1.35</f>
        <v>2.056536973826693</v>
      </c>
      <c r="V36" s="21">
        <f ca="1">R36*1.3</f>
        <v>1.8446312182915623</v>
      </c>
      <c r="W36" s="21">
        <f ca="1">S36*1.2</f>
        <v>1.9715840161667106</v>
      </c>
      <c r="X36" s="21">
        <f t="shared" ref="X36" ca="1" si="104">T36*1.18</f>
        <v>2.3479428851447386</v>
      </c>
      <c r="Y36" s="21">
        <f t="shared" ref="Y36" ca="1" si="105">U36*1.18</f>
        <v>2.4267136291154974</v>
      </c>
      <c r="Z36" s="21">
        <f t="shared" ref="Z36" ca="1" si="106">V36*1.18</f>
        <v>2.1766648375840436</v>
      </c>
      <c r="AA36" s="21">
        <f t="shared" ref="AA36" ca="1" si="107">W36*1.18</f>
        <v>2.3264691390767185</v>
      </c>
      <c r="AB36" s="21">
        <f ca="1">X36*1.18</f>
        <v>2.7705726044707912</v>
      </c>
      <c r="AC36" s="21">
        <f t="shared" ref="AC36" ca="1" si="108">Y36*1.18</f>
        <v>2.8635220823562868</v>
      </c>
      <c r="AD36" s="49">
        <f t="shared" ref="AD36" ca="1" si="109">Z36*1.18</f>
        <v>2.5684645083491713</v>
      </c>
    </row>
    <row r="37" spans="1:50" x14ac:dyDescent="0.2">
      <c r="A37" s="48"/>
      <c r="C37" s="7"/>
      <c r="D37" s="7"/>
      <c r="E37" s="7"/>
      <c r="F37" s="7"/>
      <c r="G37" s="22"/>
      <c r="H37" s="22"/>
      <c r="I37" s="22"/>
      <c r="J37" s="22"/>
      <c r="K37" s="22"/>
      <c r="L37" s="22"/>
      <c r="M37" s="33">
        <v>0.45119999999999999</v>
      </c>
      <c r="N37" s="33">
        <v>0.53760000000000008</v>
      </c>
      <c r="O37" s="33">
        <v>0.47039999999999998</v>
      </c>
      <c r="P37" s="33">
        <v>0.44159999999999999</v>
      </c>
      <c r="Q37" s="33">
        <v>0.39360000000000001</v>
      </c>
      <c r="R37" s="33">
        <v>0.35519999999999996</v>
      </c>
      <c r="S37" s="33">
        <v>0.31680000000000003</v>
      </c>
      <c r="T37" s="33">
        <v>0.27840000000000004</v>
      </c>
      <c r="U37" s="33">
        <v>0.27840000000000004</v>
      </c>
      <c r="V37" s="33">
        <v>0.24</v>
      </c>
      <c r="W37" s="33">
        <v>0.24</v>
      </c>
      <c r="X37" s="33">
        <v>0.2016</v>
      </c>
      <c r="Y37" s="33">
        <v>0.2016</v>
      </c>
      <c r="Z37" s="33">
        <v>0.18240000000000001</v>
      </c>
      <c r="AA37" s="33">
        <v>0.18240000000000001</v>
      </c>
      <c r="AB37" s="33">
        <v>0.14400000000000002</v>
      </c>
      <c r="AC37" s="33">
        <v>0.14400000000000002</v>
      </c>
      <c r="AD37" s="50">
        <v>0.14400000000000002</v>
      </c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</row>
    <row r="38" spans="1:50" x14ac:dyDescent="0.2">
      <c r="A38" s="48" t="s">
        <v>159</v>
      </c>
      <c r="C38" s="7"/>
      <c r="D38" s="7"/>
      <c r="E38" s="7"/>
      <c r="F38" s="7"/>
      <c r="G38" s="21">
        <v>45</v>
      </c>
      <c r="H38" s="21">
        <v>45</v>
      </c>
      <c r="I38" s="21">
        <v>50</v>
      </c>
      <c r="J38" s="21">
        <v>50</v>
      </c>
      <c r="K38" s="21">
        <v>52</v>
      </c>
      <c r="L38" s="37">
        <v>52</v>
      </c>
      <c r="M38" s="21">
        <v>54</v>
      </c>
      <c r="N38" s="21">
        <v>54</v>
      </c>
      <c r="O38" s="21">
        <v>54</v>
      </c>
      <c r="P38" s="21">
        <v>54</v>
      </c>
      <c r="Q38" s="21">
        <v>55</v>
      </c>
      <c r="R38" s="21">
        <v>55</v>
      </c>
      <c r="S38" s="21">
        <v>55</v>
      </c>
      <c r="T38" s="21">
        <v>55</v>
      </c>
      <c r="U38" s="21">
        <v>56</v>
      </c>
      <c r="V38" s="21">
        <v>56</v>
      </c>
      <c r="W38" s="21">
        <v>56</v>
      </c>
      <c r="X38" s="21">
        <v>56</v>
      </c>
      <c r="Y38" s="21">
        <v>57</v>
      </c>
      <c r="Z38" s="21">
        <v>57</v>
      </c>
      <c r="AA38" s="21">
        <v>57</v>
      </c>
      <c r="AB38" s="21">
        <v>57</v>
      </c>
      <c r="AC38" s="21">
        <v>58</v>
      </c>
      <c r="AD38" s="49">
        <v>58</v>
      </c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</row>
    <row r="39" spans="1:50" x14ac:dyDescent="0.2">
      <c r="A39" s="48"/>
      <c r="C39" s="7"/>
      <c r="D39" s="7"/>
      <c r="E39" s="7"/>
      <c r="F39" s="7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4"/>
    </row>
    <row r="40" spans="1:50" x14ac:dyDescent="0.2">
      <c r="A40" s="48" t="s">
        <v>89</v>
      </c>
      <c r="C40" s="7"/>
      <c r="D40" s="7"/>
      <c r="E40" s="7"/>
      <c r="F40" s="7"/>
      <c r="G40" s="7">
        <v>12.519</v>
      </c>
      <c r="H40" s="7">
        <v>13.956999999999999</v>
      </c>
      <c r="I40" s="7">
        <f ca="1">I41*I46</f>
        <v>8.3794124697967511</v>
      </c>
      <c r="J40" s="7">
        <f t="shared" ref="J40:L40" ca="1" si="110">J41*J46</f>
        <v>7.8050738617520254</v>
      </c>
      <c r="K40" s="7">
        <f t="shared" ca="1" si="110"/>
        <v>10.025520301321837</v>
      </c>
      <c r="L40" s="7">
        <f t="shared" ca="1" si="110"/>
        <v>12.591360733405979</v>
      </c>
      <c r="M40" s="7">
        <f ca="1">M44*M42</f>
        <v>9.7520400362777426</v>
      </c>
      <c r="N40" s="7">
        <f t="shared" ref="N40:AD40" ca="1" si="111">N44*N42</f>
        <v>10.252289728822191</v>
      </c>
      <c r="O40" s="7">
        <f t="shared" ca="1" si="111"/>
        <v>15.297366931679836</v>
      </c>
      <c r="P40" s="7">
        <f t="shared" ca="1" si="111"/>
        <v>18.790184479082768</v>
      </c>
      <c r="Q40" s="7">
        <f t="shared" ca="1" si="111"/>
        <v>14.591749267047494</v>
      </c>
      <c r="R40" s="7">
        <f t="shared" ca="1" si="111"/>
        <v>15.854056281683802</v>
      </c>
      <c r="S40" s="7">
        <f t="shared" ca="1" si="111"/>
        <v>25.422015973059686</v>
      </c>
      <c r="T40" s="7">
        <f t="shared" ca="1" si="111"/>
        <v>33.783589413938508</v>
      </c>
      <c r="U40" s="7">
        <f t="shared" ca="1" si="111"/>
        <v>26.235062599722507</v>
      </c>
      <c r="V40" s="7">
        <f t="shared" ca="1" si="111"/>
        <v>29.425128458805137</v>
      </c>
      <c r="W40" s="7">
        <f t="shared" ca="1" si="111"/>
        <v>42.532988262619092</v>
      </c>
      <c r="X40" s="7">
        <f t="shared" ca="1" si="111"/>
        <v>53.92976658738808</v>
      </c>
      <c r="Y40" s="7">
        <f t="shared" ca="1" si="111"/>
        <v>37.547429041804691</v>
      </c>
      <c r="Z40" s="7">
        <f t="shared" ca="1" si="111"/>
        <v>38.683897327308479</v>
      </c>
      <c r="AA40" s="7">
        <f t="shared" ca="1" si="111"/>
        <v>54.082894558071693</v>
      </c>
      <c r="AB40" s="7">
        <f t="shared" ca="1" si="111"/>
        <v>66.288671430331178</v>
      </c>
      <c r="AC40" s="7">
        <f t="shared" ca="1" si="111"/>
        <v>46.890480968373758</v>
      </c>
      <c r="AD40" s="8">
        <f t="shared" ca="1" si="111"/>
        <v>46.377350827763586</v>
      </c>
    </row>
    <row r="41" spans="1:50" x14ac:dyDescent="0.2">
      <c r="A41" s="48" t="s">
        <v>96</v>
      </c>
      <c r="C41" s="7"/>
      <c r="D41" s="7"/>
      <c r="E41" s="7"/>
      <c r="F41" s="7"/>
      <c r="G41" s="11">
        <f>G40/G46</f>
        <v>0.19770692187425973</v>
      </c>
      <c r="H41" s="11">
        <f t="shared" ref="H41:AD41" si="112">H40/H46</f>
        <v>0.29873715753424657</v>
      </c>
      <c r="I41" s="11">
        <f t="shared" ca="1" si="112"/>
        <v>0.1977069218742597</v>
      </c>
      <c r="J41" s="11">
        <f t="shared" ca="1" si="112"/>
        <v>0.19770692187425973</v>
      </c>
      <c r="K41" s="11">
        <f t="shared" ca="1" si="112"/>
        <v>0.19770692187425973</v>
      </c>
      <c r="L41" s="11">
        <f t="shared" ca="1" si="112"/>
        <v>0.19770692187425973</v>
      </c>
      <c r="M41" s="11">
        <f t="shared" ca="1" si="112"/>
        <v>0.14234427054349988</v>
      </c>
      <c r="N41" s="11">
        <f t="shared" ca="1" si="112"/>
        <v>0.15776853931422458</v>
      </c>
      <c r="O41" s="11">
        <f t="shared" ca="1" si="112"/>
        <v>0.19445053085486483</v>
      </c>
      <c r="P41" s="11">
        <f t="shared" ca="1" si="112"/>
        <v>0.19099312831278101</v>
      </c>
      <c r="Q41" s="11">
        <f t="shared" ca="1" si="112"/>
        <v>0.148325424006409</v>
      </c>
      <c r="R41" s="11">
        <f t="shared" ca="1" si="112"/>
        <v>0.16884671958035913</v>
      </c>
      <c r="S41" s="11">
        <f t="shared" ca="1" si="112"/>
        <v>0.21955982376144789</v>
      </c>
      <c r="T41" s="11">
        <f t="shared" ca="1" si="112"/>
        <v>0.23588333167810616</v>
      </c>
      <c r="U41" s="11">
        <f t="shared" ca="1" si="112"/>
        <v>0.18553643820419327</v>
      </c>
      <c r="V41" s="11">
        <f t="shared" ca="1" si="112"/>
        <v>0.2217008436888013</v>
      </c>
      <c r="W41" s="11">
        <f t="shared" ca="1" si="112"/>
        <v>0.27809936833843563</v>
      </c>
      <c r="X41" s="11">
        <f t="shared" ca="1" si="112"/>
        <v>0.29086046001607158</v>
      </c>
      <c r="Y41" s="11">
        <f t="shared" ca="1" si="112"/>
        <v>0.21349523188925509</v>
      </c>
      <c r="Z41" s="11">
        <f t="shared" ca="1" si="112"/>
        <v>0.2376835378009651</v>
      </c>
      <c r="AA41" s="11">
        <f t="shared" ca="1" si="112"/>
        <v>0.28969104275851848</v>
      </c>
      <c r="AB41" s="11">
        <f t="shared" ca="1" si="112"/>
        <v>0.29565266562280951</v>
      </c>
      <c r="AC41" s="11">
        <f t="shared" ca="1" si="112"/>
        <v>0.22016919086642037</v>
      </c>
      <c r="AD41" s="4">
        <f t="shared" ca="1" si="112"/>
        <v>0.23740852954930589</v>
      </c>
    </row>
    <row r="42" spans="1:50" x14ac:dyDescent="0.2">
      <c r="A42" s="48" t="s">
        <v>160</v>
      </c>
      <c r="C42" s="7"/>
      <c r="D42" s="7"/>
      <c r="E42" s="7"/>
      <c r="F42" s="7"/>
      <c r="G42" s="22">
        <f>G40/G44</f>
        <v>0.14389655172413793</v>
      </c>
      <c r="H42" s="22">
        <f t="shared" ref="H42:L42" si="113">H40/H44</f>
        <v>0.16042528735632183</v>
      </c>
      <c r="I42" s="22">
        <f t="shared" ca="1" si="113"/>
        <v>7.980392828377858E-2</v>
      </c>
      <c r="J42" s="22">
        <f t="shared" ca="1" si="113"/>
        <v>8.1302852726583594E-2</v>
      </c>
      <c r="K42" s="22">
        <f t="shared" ca="1" si="113"/>
        <v>0.11264629552047008</v>
      </c>
      <c r="L42" s="22">
        <f t="shared" ca="1" si="113"/>
        <v>0.13836660146599977</v>
      </c>
      <c r="M42" s="22">
        <f ca="1">I42*1.3</f>
        <v>0.10374510676891216</v>
      </c>
      <c r="N42" s="22">
        <f ca="1">J42*1.3</f>
        <v>0.10569370854455867</v>
      </c>
      <c r="O42" s="22">
        <f ca="1">K42*1.4</f>
        <v>0.15770481372865811</v>
      </c>
      <c r="P42" s="22">
        <f ca="1">L42*1.4</f>
        <v>0.19371324205239968</v>
      </c>
      <c r="Q42" s="21">
        <f ca="1">M42*1.45</f>
        <v>0.15043040481492262</v>
      </c>
      <c r="R42" s="21">
        <f ca="1">N42*1.5</f>
        <v>0.15854056281683801</v>
      </c>
      <c r="S42" s="21">
        <f ca="1">O42*1.55</f>
        <v>0.24444246127942007</v>
      </c>
      <c r="T42" s="21">
        <f ca="1">P42*1.6</f>
        <v>0.30994118728383951</v>
      </c>
      <c r="U42" s="21">
        <f t="shared" ref="U42:V42" ca="1" si="114">Q42*1.6</f>
        <v>0.24068864770387621</v>
      </c>
      <c r="V42" s="21">
        <f t="shared" ca="1" si="114"/>
        <v>0.25366490050694085</v>
      </c>
      <c r="W42" s="21">
        <f ca="1">S42*1.5</f>
        <v>0.36666369191913012</v>
      </c>
      <c r="X42" s="21">
        <f ca="1">T42*1.45</f>
        <v>0.44941472156156731</v>
      </c>
      <c r="Y42" s="21">
        <f ca="1">U42*1.3</f>
        <v>0.3128952420150391</v>
      </c>
      <c r="Z42" s="21">
        <f ca="1">V42*1.22</f>
        <v>0.30947117861846785</v>
      </c>
      <c r="AA42" s="21">
        <f ca="1">W42*1.18</f>
        <v>0.43266315646457354</v>
      </c>
      <c r="AB42" s="21">
        <f ca="1">X42*1.18</f>
        <v>0.53030937144264945</v>
      </c>
      <c r="AC42" s="21">
        <f t="shared" ref="AC42" ca="1" si="115">Y42*1.18</f>
        <v>0.36921638557774611</v>
      </c>
      <c r="AD42" s="49">
        <f t="shared" ref="AD42" ca="1" si="116">Z42*1.18</f>
        <v>0.36517599076979201</v>
      </c>
    </row>
    <row r="43" spans="1:50" x14ac:dyDescent="0.2">
      <c r="A43" s="48"/>
      <c r="C43" s="7"/>
      <c r="D43" s="7"/>
      <c r="E43" s="7"/>
      <c r="F43" s="7"/>
      <c r="G43" s="22"/>
      <c r="H43" s="22"/>
      <c r="I43" s="22"/>
      <c r="J43" s="22"/>
      <c r="K43" s="22"/>
      <c r="L43" s="22"/>
      <c r="M43" s="33">
        <v>0.29759999999999998</v>
      </c>
      <c r="N43" s="33">
        <v>0.34559999999999996</v>
      </c>
      <c r="O43" s="33">
        <v>0.39360000000000001</v>
      </c>
      <c r="P43" s="33">
        <v>0.44159999999999999</v>
      </c>
      <c r="Q43" s="33">
        <v>0.44159999999999999</v>
      </c>
      <c r="R43" s="33">
        <v>0.44159999999999999</v>
      </c>
      <c r="S43" s="33">
        <v>0.39360000000000001</v>
      </c>
      <c r="T43" s="33">
        <v>0.39360000000000001</v>
      </c>
      <c r="U43" s="33">
        <v>0.34559999999999996</v>
      </c>
      <c r="V43" s="33">
        <v>0.31680000000000003</v>
      </c>
      <c r="W43" s="33">
        <v>0.29759999999999998</v>
      </c>
      <c r="X43" s="33">
        <v>0.25919999999999999</v>
      </c>
      <c r="Y43" s="33">
        <v>0.24</v>
      </c>
      <c r="Z43" s="33">
        <v>0.24</v>
      </c>
      <c r="AA43" s="33">
        <v>0.2208</v>
      </c>
      <c r="AB43" s="33">
        <v>0.2208</v>
      </c>
      <c r="AC43" s="33">
        <v>0.2016</v>
      </c>
      <c r="AD43" s="50">
        <v>0.2016</v>
      </c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</row>
    <row r="44" spans="1:50" x14ac:dyDescent="0.2">
      <c r="A44" s="48" t="s">
        <v>161</v>
      </c>
      <c r="C44" s="7"/>
      <c r="D44" s="7"/>
      <c r="E44" s="7"/>
      <c r="F44" s="7"/>
      <c r="G44" s="21">
        <v>87</v>
      </c>
      <c r="H44" s="21">
        <v>87</v>
      </c>
      <c r="I44" s="21">
        <v>105</v>
      </c>
      <c r="J44" s="21">
        <v>96</v>
      </c>
      <c r="K44" s="21">
        <v>89</v>
      </c>
      <c r="L44" s="37">
        <v>91</v>
      </c>
      <c r="M44" s="21">
        <v>94</v>
      </c>
      <c r="N44" s="21">
        <v>97</v>
      </c>
      <c r="O44" s="21">
        <v>97</v>
      </c>
      <c r="P44" s="21">
        <v>97</v>
      </c>
      <c r="Q44" s="21">
        <v>97</v>
      </c>
      <c r="R44" s="21">
        <v>100</v>
      </c>
      <c r="S44" s="21">
        <v>104</v>
      </c>
      <c r="T44" s="21">
        <v>109</v>
      </c>
      <c r="U44" s="21">
        <v>109</v>
      </c>
      <c r="V44" s="21">
        <v>116</v>
      </c>
      <c r="W44" s="21">
        <v>116</v>
      </c>
      <c r="X44" s="21">
        <v>120</v>
      </c>
      <c r="Y44" s="21">
        <v>120</v>
      </c>
      <c r="Z44" s="21">
        <v>125</v>
      </c>
      <c r="AA44" s="21">
        <v>125</v>
      </c>
      <c r="AB44" s="21">
        <v>125</v>
      </c>
      <c r="AC44" s="21">
        <v>127</v>
      </c>
      <c r="AD44" s="49">
        <v>127</v>
      </c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</row>
    <row r="45" spans="1:50" x14ac:dyDescent="0.2">
      <c r="A45" s="48"/>
      <c r="C45" s="7"/>
      <c r="D45" s="7"/>
      <c r="E45" s="7"/>
      <c r="F45" s="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4"/>
    </row>
    <row r="46" spans="1:50" x14ac:dyDescent="0.2">
      <c r="A46" s="51" t="s">
        <v>102</v>
      </c>
      <c r="B46" s="5"/>
      <c r="C46" s="39">
        <v>48.173999999999999</v>
      </c>
      <c r="D46" s="39">
        <v>35.119000000000007</v>
      </c>
      <c r="E46" s="39">
        <v>39.739999999999995</v>
      </c>
      <c r="F46" s="39">
        <v>26.913</v>
      </c>
      <c r="G46" s="39">
        <v>63.320999999999998</v>
      </c>
      <c r="H46" s="39">
        <v>46.72</v>
      </c>
      <c r="I46" s="39">
        <v>42.38300000000001</v>
      </c>
      <c r="J46" s="39">
        <v>39.478000000000002</v>
      </c>
      <c r="K46" s="39">
        <v>50.709000000000003</v>
      </c>
      <c r="L46" s="39">
        <v>63.686999999999998</v>
      </c>
      <c r="M46" s="39">
        <f t="shared" ref="M46:AD46" ca="1" si="117">M40+M34</f>
        <v>68.510239288468981</v>
      </c>
      <c r="N46" s="39">
        <f t="shared" ca="1" si="117"/>
        <v>64.983106095714703</v>
      </c>
      <c r="O46" s="39">
        <f t="shared" ca="1" si="117"/>
        <v>78.669710308466975</v>
      </c>
      <c r="P46" s="39">
        <f t="shared" ca="1" si="117"/>
        <v>98.381468721277301</v>
      </c>
      <c r="Q46" s="39">
        <f t="shared" ca="1" si="117"/>
        <v>98.376588941468313</v>
      </c>
      <c r="R46" s="39">
        <f t="shared" ca="1" si="117"/>
        <v>93.896146286326811</v>
      </c>
      <c r="S46" s="39">
        <f t="shared" ca="1" si="117"/>
        <v>115.7862833807006</v>
      </c>
      <c r="T46" s="39">
        <f t="shared" ca="1" si="117"/>
        <v>143.22160524695599</v>
      </c>
      <c r="U46" s="39">
        <f t="shared" ca="1" si="117"/>
        <v>141.4011331340173</v>
      </c>
      <c r="V46" s="39">
        <f t="shared" ca="1" si="117"/>
        <v>132.72447668313262</v>
      </c>
      <c r="W46" s="39">
        <f t="shared" ca="1" si="117"/>
        <v>152.9416931679549</v>
      </c>
      <c r="X46" s="39">
        <f t="shared" ca="1" si="117"/>
        <v>185.41456815549344</v>
      </c>
      <c r="Y46" s="39">
        <f t="shared" ca="1" si="117"/>
        <v>175.87010590138803</v>
      </c>
      <c r="Z46" s="39">
        <f t="shared" ca="1" si="117"/>
        <v>162.75379306959897</v>
      </c>
      <c r="AA46" s="39">
        <f t="shared" ca="1" si="117"/>
        <v>186.69163548544466</v>
      </c>
      <c r="AB46" s="39">
        <f t="shared" ca="1" si="117"/>
        <v>224.21130988516626</v>
      </c>
      <c r="AC46" s="39">
        <f t="shared" ca="1" si="117"/>
        <v>212.97476174503839</v>
      </c>
      <c r="AD46" s="9">
        <f t="shared" ca="1" si="117"/>
        <v>195.34829231201553</v>
      </c>
      <c r="AE46" s="39"/>
    </row>
    <row r="47" spans="1:50" x14ac:dyDescent="0.2">
      <c r="A47" s="54" t="s">
        <v>98</v>
      </c>
      <c r="B47" s="12"/>
      <c r="C47" s="12"/>
      <c r="D47" s="12"/>
      <c r="E47" s="12"/>
      <c r="F47" s="12"/>
      <c r="G47" s="62">
        <f>G46/C46-1</f>
        <v>0.31442271764852414</v>
      </c>
      <c r="H47" s="62">
        <f t="shared" ref="H47:K47" si="118">H46/D46-1</f>
        <v>0.3303340072325518</v>
      </c>
      <c r="I47" s="62">
        <f t="shared" si="118"/>
        <v>6.6507297433316959E-2</v>
      </c>
      <c r="J47" s="62">
        <f t="shared" si="118"/>
        <v>0.46687474454724498</v>
      </c>
      <c r="K47" s="62">
        <f t="shared" si="118"/>
        <v>-0.1991756289382669</v>
      </c>
      <c r="L47" s="62">
        <f>L46/H46-1</f>
        <v>0.36316352739726021</v>
      </c>
      <c r="M47" s="62">
        <f t="shared" ref="M47" ca="1" si="119">M46/I46-1</f>
        <v>0.61645563760160837</v>
      </c>
      <c r="N47" s="62">
        <f t="shared" ref="N47" ca="1" si="120">N46/J46-1</f>
        <v>0.64605871867153097</v>
      </c>
      <c r="O47" s="62">
        <f t="shared" ref="O47" ca="1" si="121">O46/K46-1</f>
        <v>0.55139541912613077</v>
      </c>
      <c r="P47" s="62">
        <f t="shared" ref="P47" ca="1" si="122">P46/L46-1</f>
        <v>0.54476531664668304</v>
      </c>
      <c r="Q47" s="62">
        <f t="shared" ref="Q47" ca="1" si="123">Q46/M46-1</f>
        <v>0.43593994070352293</v>
      </c>
      <c r="R47" s="62">
        <f t="shared" ref="R47" ca="1" si="124">R46/N46-1</f>
        <v>0.44493164343399672</v>
      </c>
      <c r="S47" s="62">
        <f t="shared" ref="S47" ca="1" si="125">S46/O46-1</f>
        <v>0.4718025899256284</v>
      </c>
      <c r="T47" s="62">
        <f t="shared" ref="T47" ca="1" si="126">T46/P46-1</f>
        <v>0.45577827926836956</v>
      </c>
      <c r="U47" s="62">
        <f t="shared" ref="U47" ca="1" si="127">U46/Q46-1</f>
        <v>0.43734535477894587</v>
      </c>
      <c r="V47" s="62">
        <f t="shared" ref="V47" ca="1" si="128">V46/R46-1</f>
        <v>0.41352421726023492</v>
      </c>
      <c r="W47" s="62">
        <f t="shared" ref="W47" ca="1" si="129">W46/S46-1</f>
        <v>0.32089647151976397</v>
      </c>
      <c r="X47" s="62">
        <f t="shared" ref="X47" ca="1" si="130">X46/T46-1</f>
        <v>0.29459914819265176</v>
      </c>
      <c r="Y47" s="62">
        <f t="shared" ref="Y47" ca="1" si="131">Y46/U46-1</f>
        <v>0.24376730230797872</v>
      </c>
      <c r="Z47" s="62">
        <f t="shared" ref="Z47" ca="1" si="132">Z46/V46-1</f>
        <v>0.22625304041061356</v>
      </c>
      <c r="AA47" s="62">
        <f t="shared" ref="AA47" ca="1" si="133">AA46/W46-1</f>
        <v>0.22067195424877917</v>
      </c>
      <c r="AB47" s="62">
        <f t="shared" ref="AB47" ca="1" si="134">AB46/X46-1</f>
        <v>0.20924322244807025</v>
      </c>
      <c r="AC47" s="62">
        <f t="shared" ref="AC47" ca="1" si="135">AC46/Y46-1</f>
        <v>0.21097761699452944</v>
      </c>
      <c r="AD47" s="63">
        <f t="shared" ref="AD47" ca="1" si="136">AD46/Z46-1</f>
        <v>0.20026875335850436</v>
      </c>
    </row>
    <row r="48" spans="1:50" x14ac:dyDescent="0.2">
      <c r="A48" s="48"/>
      <c r="AD48" s="1"/>
    </row>
    <row r="49" spans="1:30" x14ac:dyDescent="0.2">
      <c r="A49" s="48"/>
      <c r="AD49" s="1"/>
    </row>
    <row r="50" spans="1:30" s="30" customFormat="1" x14ac:dyDescent="0.2">
      <c r="A50" s="57" t="s">
        <v>99</v>
      </c>
      <c r="B50" s="58"/>
      <c r="C50" s="59">
        <f t="shared" ref="C50:AD50" si="137">SUM(C15, C31, C46)</f>
        <v>540.61899999999991</v>
      </c>
      <c r="D50" s="59">
        <f t="shared" si="137"/>
        <v>378.19200000000001</v>
      </c>
      <c r="E50" s="59">
        <f t="shared" si="137"/>
        <v>320.74</v>
      </c>
      <c r="F50" s="59">
        <f t="shared" si="137"/>
        <v>247.22900000000001</v>
      </c>
      <c r="G50" s="59">
        <f t="shared" si="137"/>
        <v>641.44200000000001</v>
      </c>
      <c r="H50" s="59">
        <f t="shared" si="137"/>
        <v>472.096</v>
      </c>
      <c r="I50" s="59">
        <f t="shared" si="137"/>
        <v>373.08300000000008</v>
      </c>
      <c r="J50" s="59">
        <f t="shared" si="137"/>
        <v>301.065</v>
      </c>
      <c r="K50" s="59">
        <f t="shared" si="137"/>
        <v>480.29699999999997</v>
      </c>
      <c r="L50" s="59">
        <f t="shared" si="137"/>
        <v>563.95699999999999</v>
      </c>
      <c r="M50" s="59">
        <f t="shared" ca="1" si="137"/>
        <v>444.51581412749675</v>
      </c>
      <c r="N50" s="59">
        <f t="shared" ca="1" si="137"/>
        <v>386.05267695678276</v>
      </c>
      <c r="O50" s="59">
        <f t="shared" ca="1" si="137"/>
        <v>632.52210863743983</v>
      </c>
      <c r="P50" s="59">
        <f t="shared" ca="1" si="137"/>
        <v>745.45858195146661</v>
      </c>
      <c r="Q50" s="59">
        <f t="shared" ca="1" si="137"/>
        <v>568.66592644062644</v>
      </c>
      <c r="R50" s="59">
        <f t="shared" ca="1" si="137"/>
        <v>493.25751487421849</v>
      </c>
      <c r="S50" s="59">
        <f t="shared" ca="1" si="137"/>
        <v>817.38664907311693</v>
      </c>
      <c r="T50" s="59">
        <f t="shared" ca="1" si="137"/>
        <v>970.69242558898031</v>
      </c>
      <c r="U50" s="59">
        <f t="shared" ca="1" si="137"/>
        <v>729.64664445099424</v>
      </c>
      <c r="V50" s="59">
        <f t="shared" ca="1" si="137"/>
        <v>636.75752081829626</v>
      </c>
      <c r="W50" s="59">
        <f t="shared" ca="1" si="137"/>
        <v>1021.5100417831937</v>
      </c>
      <c r="X50" s="59">
        <f t="shared" ca="1" si="137"/>
        <v>1183.8194624991315</v>
      </c>
      <c r="Y50" s="59">
        <f t="shared" ca="1" si="137"/>
        <v>876.02943052416606</v>
      </c>
      <c r="Z50" s="59">
        <f t="shared" ca="1" si="137"/>
        <v>755.11408062172177</v>
      </c>
      <c r="AA50" s="59">
        <f t="shared" ca="1" si="137"/>
        <v>1193.4819207818759</v>
      </c>
      <c r="AB50" s="59">
        <f t="shared" ca="1" si="137"/>
        <v>1349.0815668183798</v>
      </c>
      <c r="AC50" s="59">
        <f t="shared" ca="1" si="137"/>
        <v>1005.2001332131367</v>
      </c>
      <c r="AD50" s="60">
        <f t="shared" ca="1" si="137"/>
        <v>852.81798495202929</v>
      </c>
    </row>
    <row r="51" spans="1:30" x14ac:dyDescent="0.2">
      <c r="A51" s="48"/>
      <c r="G51" s="19">
        <f>G50/C50-1</f>
        <v>0.18649548018105189</v>
      </c>
      <c r="H51" s="19">
        <f t="shared" ref="H51:AD51" si="138">H50/D50-1</f>
        <v>0.24829716123027445</v>
      </c>
      <c r="I51" s="19">
        <f t="shared" si="138"/>
        <v>0.163194487747085</v>
      </c>
      <c r="J51" s="19">
        <f t="shared" si="138"/>
        <v>0.21775762552127786</v>
      </c>
      <c r="K51" s="19">
        <f t="shared" si="138"/>
        <v>-0.25122302562039911</v>
      </c>
      <c r="L51" s="19">
        <f t="shared" si="138"/>
        <v>0.19458118687724535</v>
      </c>
      <c r="M51" s="19">
        <f t="shared" ca="1" si="138"/>
        <v>0.19146627996316279</v>
      </c>
      <c r="N51" s="19">
        <f t="shared" ca="1" si="138"/>
        <v>0.28229012657327401</v>
      </c>
      <c r="O51" s="19">
        <f t="shared" ca="1" si="138"/>
        <v>0.31693953665636032</v>
      </c>
      <c r="P51" s="19">
        <f t="shared" ca="1" si="138"/>
        <v>0.32183585264739434</v>
      </c>
      <c r="Q51" s="19">
        <f t="shared" ca="1" si="138"/>
        <v>0.27929290335106227</v>
      </c>
      <c r="R51" s="19">
        <f t="shared" ca="1" si="138"/>
        <v>0.27769484403662603</v>
      </c>
      <c r="S51" s="19">
        <f t="shared" ca="1" si="138"/>
        <v>0.29226573729400029</v>
      </c>
      <c r="T51" s="19">
        <f t="shared" ca="1" si="138"/>
        <v>0.30214132493839574</v>
      </c>
      <c r="U51" s="19">
        <f t="shared" ca="1" si="138"/>
        <v>0.28308486674763977</v>
      </c>
      <c r="V51" s="19">
        <f t="shared" ca="1" si="138"/>
        <v>0.29092310125405896</v>
      </c>
      <c r="W51" s="19">
        <f t="shared" ca="1" si="138"/>
        <v>0.24972684951674262</v>
      </c>
      <c r="X51" s="19">
        <f t="shared" ca="1" si="138"/>
        <v>0.21956186253419419</v>
      </c>
      <c r="Y51" s="19">
        <f t="shared" ca="1" si="138"/>
        <v>0.20062147504743777</v>
      </c>
      <c r="Z51" s="19">
        <f t="shared" ca="1" si="138"/>
        <v>0.18587383098565624</v>
      </c>
      <c r="AA51" s="19">
        <f t="shared" ca="1" si="138"/>
        <v>0.16835064949384182</v>
      </c>
      <c r="AB51" s="19">
        <f t="shared" ca="1" si="138"/>
        <v>0.13960076646346686</v>
      </c>
      <c r="AC51" s="19">
        <f t="shared" ca="1" si="138"/>
        <v>0.1474501862473756</v>
      </c>
      <c r="AD51" s="6">
        <f t="shared" ca="1" si="138"/>
        <v>0.12938959401983774</v>
      </c>
    </row>
    <row r="52" spans="1:30" x14ac:dyDescent="0.2">
      <c r="A52" s="4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6"/>
    </row>
    <row r="53" spans="1:30" x14ac:dyDescent="0.2">
      <c r="A53" s="48" t="s">
        <v>104</v>
      </c>
      <c r="C53">
        <f t="shared" ref="C53:AD53" si="139">C9+C25+C40</f>
        <v>0</v>
      </c>
      <c r="D53">
        <f t="shared" si="139"/>
        <v>0</v>
      </c>
      <c r="E53">
        <f t="shared" si="139"/>
        <v>0</v>
      </c>
      <c r="F53">
        <f t="shared" si="139"/>
        <v>0</v>
      </c>
      <c r="G53" s="7">
        <f t="shared" si="139"/>
        <v>219.697</v>
      </c>
      <c r="H53" s="7">
        <f t="shared" si="139"/>
        <v>196.44099999999997</v>
      </c>
      <c r="I53" s="7">
        <f t="shared" ca="1" si="139"/>
        <v>123.4920061438645</v>
      </c>
      <c r="J53" s="7">
        <f t="shared" ca="1" si="139"/>
        <v>103.16458665734855</v>
      </c>
      <c r="K53" s="7">
        <f t="shared" ca="1" si="139"/>
        <v>160.95645314234861</v>
      </c>
      <c r="L53" s="7">
        <f t="shared" ca="1" si="139"/>
        <v>186.68015814561525</v>
      </c>
      <c r="M53" s="7">
        <f t="shared" ca="1" si="139"/>
        <v>123.12041299280173</v>
      </c>
      <c r="N53" s="7">
        <f t="shared" ca="1" si="139"/>
        <v>118.76344815187549</v>
      </c>
      <c r="O53" s="7">
        <f t="shared" ca="1" si="139"/>
        <v>212.64020056926489</v>
      </c>
      <c r="P53" s="7">
        <f t="shared" ca="1" si="139"/>
        <v>248.55608529080001</v>
      </c>
      <c r="Q53" s="7">
        <f t="shared" ca="1" si="139"/>
        <v>163.88006224314549</v>
      </c>
      <c r="R53" s="7">
        <f t="shared" ca="1" si="139"/>
        <v>162.3496394062779</v>
      </c>
      <c r="S53" s="7">
        <f t="shared" ca="1" si="139"/>
        <v>311.62271851025139</v>
      </c>
      <c r="T53" s="7">
        <f t="shared" ca="1" si="139"/>
        <v>375.0095674342914</v>
      </c>
      <c r="U53" s="7">
        <f t="shared" ca="1" si="139"/>
        <v>240.578580552239</v>
      </c>
      <c r="V53" s="7">
        <f t="shared" ca="1" si="139"/>
        <v>243.86340191414041</v>
      </c>
      <c r="W53" s="7">
        <f t="shared" ca="1" si="139"/>
        <v>435.36449501327962</v>
      </c>
      <c r="X53" s="7">
        <f t="shared" ca="1" si="139"/>
        <v>509.72078016130064</v>
      </c>
      <c r="Y53" s="7">
        <f t="shared" ca="1" si="139"/>
        <v>320.59237278128683</v>
      </c>
      <c r="Z53" s="7">
        <f t="shared" ca="1" si="139"/>
        <v>307.98053284531994</v>
      </c>
      <c r="AA53" s="7">
        <f t="shared" ca="1" si="139"/>
        <v>544.1006372588057</v>
      </c>
      <c r="AB53" s="7">
        <f t="shared" ca="1" si="139"/>
        <v>601.74072456399654</v>
      </c>
      <c r="AC53" s="7">
        <f t="shared" ca="1" si="139"/>
        <v>386.16183310029834</v>
      </c>
      <c r="AD53" s="8">
        <f t="shared" ca="1" si="139"/>
        <v>353.02485560555596</v>
      </c>
    </row>
    <row r="54" spans="1:30" s="31" customFormat="1" x14ac:dyDescent="0.2">
      <c r="A54" s="53" t="s">
        <v>169</v>
      </c>
      <c r="K54" s="40">
        <f ca="1">(K53-G53)/G53</f>
        <v>-0.2673707281285197</v>
      </c>
      <c r="L54" s="40">
        <f t="shared" ref="L54:AD54" ca="1" si="140">(L53-H53)/H53</f>
        <v>-4.968841460990691E-2</v>
      </c>
      <c r="M54" s="40">
        <f t="shared" ca="1" si="140"/>
        <v>-3.0090461938878329E-3</v>
      </c>
      <c r="N54" s="40">
        <f t="shared" ca="1" si="140"/>
        <v>0.15120364458335972</v>
      </c>
      <c r="O54" s="40">
        <f t="shared" ca="1" si="140"/>
        <v>0.32110391610833761</v>
      </c>
      <c r="P54" s="40">
        <f ca="1">(P53-L53)/L53</f>
        <v>0.33145422502224348</v>
      </c>
      <c r="Q54" s="40">
        <f t="shared" ca="1" si="140"/>
        <v>0.3310551699719102</v>
      </c>
      <c r="R54" s="40">
        <f t="shared" ca="1" si="140"/>
        <v>0.36700004869060465</v>
      </c>
      <c r="S54" s="40">
        <f t="shared" ca="1" si="140"/>
        <v>0.46549296735047135</v>
      </c>
      <c r="T54" s="40">
        <f t="shared" ca="1" si="140"/>
        <v>0.50875230833936813</v>
      </c>
      <c r="U54" s="40">
        <f t="shared" ca="1" si="140"/>
        <v>0.46801616535449869</v>
      </c>
      <c r="V54" s="40">
        <f t="shared" ca="1" si="140"/>
        <v>0.50208773364673365</v>
      </c>
      <c r="W54" s="40">
        <f t="shared" ca="1" si="140"/>
        <v>0.39708843146799494</v>
      </c>
      <c r="X54" s="40">
        <f t="shared" ca="1" si="140"/>
        <v>0.35922073574993024</v>
      </c>
      <c r="Y54" s="40">
        <f t="shared" ca="1" si="140"/>
        <v>0.33258901123025664</v>
      </c>
      <c r="Z54" s="40">
        <f t="shared" ca="1" si="140"/>
        <v>0.2629223181006633</v>
      </c>
      <c r="AA54" s="40">
        <f t="shared" ca="1" si="140"/>
        <v>0.2497588652519985</v>
      </c>
      <c r="AB54" s="40">
        <f t="shared" ca="1" si="140"/>
        <v>0.18053010193850891</v>
      </c>
      <c r="AC54" s="40">
        <f t="shared" ca="1" si="140"/>
        <v>0.20452595222452166</v>
      </c>
      <c r="AD54" s="32">
        <f t="shared" ca="1" si="140"/>
        <v>0.14625704535311998</v>
      </c>
    </row>
    <row r="55" spans="1:30" x14ac:dyDescent="0.2">
      <c r="A55" s="48" t="s">
        <v>167</v>
      </c>
      <c r="G55" s="41">
        <f t="shared" ref="G55:K55" si="141">G53/G50</f>
        <v>0.34250485624577126</v>
      </c>
      <c r="H55" s="41">
        <f t="shared" si="141"/>
        <v>0.41610392801464102</v>
      </c>
      <c r="I55" s="41">
        <f t="shared" ca="1" si="141"/>
        <v>0.33100410939084457</v>
      </c>
      <c r="J55" s="41">
        <f t="shared" ca="1" si="141"/>
        <v>0.34266549302425903</v>
      </c>
      <c r="K55" s="41">
        <f t="shared" ca="1" si="141"/>
        <v>0.33511858941935641</v>
      </c>
      <c r="L55" s="41">
        <f ca="1">L53/L50</f>
        <v>0.33101842542182341</v>
      </c>
      <c r="M55" s="41">
        <f t="shared" ref="M55:AD55" ca="1" si="142">M53/M50</f>
        <v>0.27697645186024389</v>
      </c>
      <c r="N55" s="41">
        <f t="shared" ca="1" si="142"/>
        <v>0.30763534419208455</v>
      </c>
      <c r="O55" s="41">
        <f t="shared" ca="1" si="142"/>
        <v>0.33617828952623968</v>
      </c>
      <c r="P55" s="41">
        <f t="shared" ca="1" si="142"/>
        <v>0.33342708945697314</v>
      </c>
      <c r="Q55" s="41">
        <f t="shared" ca="1" si="142"/>
        <v>0.28818336851813464</v>
      </c>
      <c r="R55" s="41">
        <f t="shared" ca="1" si="142"/>
        <v>0.32913769078141131</v>
      </c>
      <c r="S55" s="41">
        <f t="shared" ca="1" si="142"/>
        <v>0.3812427311647662</v>
      </c>
      <c r="T55" s="41">
        <f t="shared" ca="1" si="142"/>
        <v>0.38633202191389249</v>
      </c>
      <c r="U55" s="41">
        <f t="shared" ca="1" si="142"/>
        <v>0.3297192995840566</v>
      </c>
      <c r="V55" s="41">
        <f t="shared" ca="1" si="142"/>
        <v>0.38297686943807413</v>
      </c>
      <c r="W55" s="41">
        <f t="shared" ca="1" si="142"/>
        <v>0.42619698016212137</v>
      </c>
      <c r="X55" s="41">
        <f t="shared" ca="1" si="142"/>
        <v>0.43057306988790495</v>
      </c>
      <c r="Y55" s="41">
        <f t="shared" ca="1" si="142"/>
        <v>0.3659607332934724</v>
      </c>
      <c r="Z55" s="41">
        <f t="shared" ca="1" si="142"/>
        <v>0.40785960790420533</v>
      </c>
      <c r="AA55" s="41">
        <f t="shared" ca="1" si="142"/>
        <v>0.45589348928080414</v>
      </c>
      <c r="AB55" s="41">
        <f t="shared" ca="1" si="142"/>
        <v>0.4460373185463633</v>
      </c>
      <c r="AC55" s="41">
        <f t="shared" ca="1" si="142"/>
        <v>0.38416412845661535</v>
      </c>
      <c r="AD55" s="28">
        <f t="shared" ca="1" si="142"/>
        <v>0.41395099755713227</v>
      </c>
    </row>
    <row r="56" spans="1:30" x14ac:dyDescent="0.2">
      <c r="A56" s="48"/>
      <c r="AD56" s="1"/>
    </row>
    <row r="57" spans="1:30" x14ac:dyDescent="0.2">
      <c r="A57" s="48" t="s">
        <v>105</v>
      </c>
      <c r="C57" s="7">
        <f t="shared" ref="C57:AD57" si="143">C3+C19+C34</f>
        <v>0</v>
      </c>
      <c r="D57" s="7">
        <f t="shared" si="143"/>
        <v>0</v>
      </c>
      <c r="E57" s="7">
        <f t="shared" si="143"/>
        <v>0</v>
      </c>
      <c r="F57" s="7">
        <f t="shared" si="143"/>
        <v>0</v>
      </c>
      <c r="G57" s="7">
        <f t="shared" si="143"/>
        <v>421.745</v>
      </c>
      <c r="H57" s="7">
        <f t="shared" si="143"/>
        <v>275.65500000000003</v>
      </c>
      <c r="I57" s="7">
        <f t="shared" ca="1" si="143"/>
        <v>249.59099385613555</v>
      </c>
      <c r="J57" s="7">
        <f t="shared" ca="1" si="143"/>
        <v>197.90041334265146</v>
      </c>
      <c r="K57" s="7">
        <f t="shared" ca="1" si="143"/>
        <v>319.34054685765142</v>
      </c>
      <c r="L57" s="7">
        <f t="shared" ca="1" si="143"/>
        <v>377.27684185438477</v>
      </c>
      <c r="M57" s="7">
        <f t="shared" ca="1" si="143"/>
        <v>321.39540113469496</v>
      </c>
      <c r="N57" s="7">
        <f t="shared" ca="1" si="143"/>
        <v>267.28922880490734</v>
      </c>
      <c r="O57" s="7">
        <f t="shared" ca="1" si="143"/>
        <v>419.88190806817505</v>
      </c>
      <c r="P57" s="7">
        <f t="shared" ca="1" si="143"/>
        <v>496.90249666066654</v>
      </c>
      <c r="Q57" s="7">
        <f t="shared" ca="1" si="143"/>
        <v>404.78586419748103</v>
      </c>
      <c r="R57" s="7">
        <f t="shared" ca="1" si="143"/>
        <v>330.90787546794058</v>
      </c>
      <c r="S57" s="7">
        <f t="shared" ca="1" si="143"/>
        <v>505.76393056286543</v>
      </c>
      <c r="T57" s="7">
        <f t="shared" ca="1" si="143"/>
        <v>595.68285815468892</v>
      </c>
      <c r="U57" s="7">
        <f t="shared" ca="1" si="143"/>
        <v>489.06806389875527</v>
      </c>
      <c r="V57" s="7">
        <f t="shared" ca="1" si="143"/>
        <v>392.89411890415585</v>
      </c>
      <c r="W57" s="7">
        <f t="shared" ca="1" si="143"/>
        <v>586.14554676991406</v>
      </c>
      <c r="X57" s="7">
        <f t="shared" ca="1" si="143"/>
        <v>674.09868233783095</v>
      </c>
      <c r="Y57" s="7">
        <f t="shared" ca="1" si="143"/>
        <v>555.43705774287935</v>
      </c>
      <c r="Z57" s="7">
        <f t="shared" ca="1" si="143"/>
        <v>447.13354777640194</v>
      </c>
      <c r="AA57" s="7">
        <f t="shared" ca="1" si="143"/>
        <v>649.38128352307012</v>
      </c>
      <c r="AB57" s="7">
        <f t="shared" ca="1" si="143"/>
        <v>747.34084225438346</v>
      </c>
      <c r="AC57" s="7">
        <f t="shared" ca="1" si="143"/>
        <v>619.03830011283833</v>
      </c>
      <c r="AD57" s="8">
        <f t="shared" ca="1" si="143"/>
        <v>499.79312934647317</v>
      </c>
    </row>
    <row r="58" spans="1:30" s="31" customFormat="1" x14ac:dyDescent="0.2">
      <c r="A58" s="53" t="s">
        <v>168</v>
      </c>
      <c r="K58" s="40">
        <f ca="1">(K57-G57)/G57</f>
        <v>-0.24281130337608883</v>
      </c>
      <c r="L58" s="40">
        <f t="shared" ref="L58" ca="1" si="144">(L57-H57)/H57</f>
        <v>0.36865589905637386</v>
      </c>
      <c r="M58" s="40">
        <f t="shared" ref="M58" ca="1" si="145">(M57-I57)/I57</f>
        <v>0.28768829423367548</v>
      </c>
      <c r="N58" s="40">
        <f t="shared" ref="N58" ca="1" si="146">(N57-J57)/J57</f>
        <v>0.35062491426995523</v>
      </c>
      <c r="O58" s="40">
        <f t="shared" ref="O58" ca="1" si="147">(O57-K57)/K57</f>
        <v>0.31484057442708879</v>
      </c>
      <c r="P58" s="40">
        <f t="shared" ref="P58" ca="1" si="148">(P57-L57)/L57</f>
        <v>0.31707659080875406</v>
      </c>
      <c r="Q58" s="40">
        <f t="shared" ref="Q58" ca="1" si="149">(Q57-M57)/M57</f>
        <v>0.25946377194064951</v>
      </c>
      <c r="R58" s="40">
        <f t="shared" ref="R58" ca="1" si="150">(R57-N57)/N57</f>
        <v>0.23801425499816187</v>
      </c>
      <c r="S58" s="40">
        <f t="shared" ref="S58" ca="1" si="151">(S57-O57)/O57</f>
        <v>0.20453851629336206</v>
      </c>
      <c r="T58" s="40">
        <f t="shared" ref="T58" ca="1" si="152">(T57-P57)/P57</f>
        <v>0.19879224225649086</v>
      </c>
      <c r="U58" s="40">
        <f t="shared" ref="U58" ca="1" si="153">(U57-Q57)/Q57</f>
        <v>0.20821428601112382</v>
      </c>
      <c r="V58" s="40">
        <f t="shared" ref="V58" ca="1" si="154">(V57-R57)/R57</f>
        <v>0.18732175336884868</v>
      </c>
      <c r="W58" s="40">
        <f t="shared" ref="W58" ca="1" si="155">(W57-S57)/S57</f>
        <v>0.15893109680160825</v>
      </c>
      <c r="X58" s="40">
        <f t="shared" ref="X58" ca="1" si="156">(X57-T57)/T57</f>
        <v>0.13164022282940824</v>
      </c>
      <c r="Y58" s="40">
        <f t="shared" ref="Y58" ca="1" si="157">(Y57-U57)/U57</f>
        <v>0.1357050250123539</v>
      </c>
      <c r="Z58" s="40">
        <f t="shared" ref="Z58" ca="1" si="158">(Z57-V57)/V57</f>
        <v>0.13805100728799016</v>
      </c>
      <c r="AA58" s="40">
        <f t="shared" ref="AA58" ca="1" si="159">(AA57-W57)/W57</f>
        <v>0.10788401805938937</v>
      </c>
      <c r="AB58" s="40">
        <f t="shared" ref="AB58" ca="1" si="160">(AB57-X57)/X57</f>
        <v>0.10865198499208237</v>
      </c>
      <c r="AC58" s="40">
        <f t="shared" ref="AC58" ca="1" si="161">(AC57-Y57)/Y57</f>
        <v>0.11450666008568879</v>
      </c>
      <c r="AD58" s="32">
        <f t="shared" ref="AD58" ca="1" si="162">(AD57-Z57)/Z57</f>
        <v>0.11777148422870005</v>
      </c>
    </row>
    <row r="59" spans="1:30" x14ac:dyDescent="0.2">
      <c r="A59" s="54" t="s">
        <v>170</v>
      </c>
      <c r="B59" s="12"/>
      <c r="C59" s="12"/>
      <c r="D59" s="12"/>
      <c r="E59" s="12"/>
      <c r="F59" s="12"/>
      <c r="G59" s="55">
        <f t="shared" ref="G59:K59" si="163">G57/G50</f>
        <v>0.65749514375422879</v>
      </c>
      <c r="H59" s="55">
        <f t="shared" si="163"/>
        <v>0.58389607198535898</v>
      </c>
      <c r="I59" s="55">
        <f t="shared" ca="1" si="163"/>
        <v>0.66899589060915532</v>
      </c>
      <c r="J59" s="55">
        <f t="shared" ca="1" si="163"/>
        <v>0.65733450697574103</v>
      </c>
      <c r="K59" s="55">
        <f t="shared" ca="1" si="163"/>
        <v>0.66488141058064376</v>
      </c>
      <c r="L59" s="55">
        <f ca="1">L57/L50</f>
        <v>0.66898157457817664</v>
      </c>
      <c r="M59" s="55">
        <f t="shared" ref="M59:AD59" ca="1" si="164">M57/M50</f>
        <v>0.723023548139756</v>
      </c>
      <c r="N59" s="55">
        <f t="shared" ca="1" si="164"/>
        <v>0.69236465580791562</v>
      </c>
      <c r="O59" s="55">
        <f t="shared" ca="1" si="164"/>
        <v>0.66382171047376048</v>
      </c>
      <c r="P59" s="55">
        <f t="shared" ca="1" si="164"/>
        <v>0.66657291054302681</v>
      </c>
      <c r="Q59" s="55">
        <f t="shared" ca="1" si="164"/>
        <v>0.71181663148186547</v>
      </c>
      <c r="R59" s="55">
        <f t="shared" ca="1" si="164"/>
        <v>0.67086230921858869</v>
      </c>
      <c r="S59" s="55">
        <f t="shared" ca="1" si="164"/>
        <v>0.61875726883523363</v>
      </c>
      <c r="T59" s="55">
        <f t="shared" ca="1" si="164"/>
        <v>0.61366797808610751</v>
      </c>
      <c r="U59" s="55">
        <f t="shared" ca="1" si="164"/>
        <v>0.67028070041594345</v>
      </c>
      <c r="V59" s="55">
        <f t="shared" ca="1" si="164"/>
        <v>0.61702313056192593</v>
      </c>
      <c r="W59" s="55">
        <f t="shared" ca="1" si="164"/>
        <v>0.57380301983787851</v>
      </c>
      <c r="X59" s="55">
        <f t="shared" ca="1" si="164"/>
        <v>0.56942693011209511</v>
      </c>
      <c r="Y59" s="55">
        <f t="shared" ca="1" si="164"/>
        <v>0.63403926670652777</v>
      </c>
      <c r="Z59" s="55">
        <f t="shared" ca="1" si="164"/>
        <v>0.59214039209579483</v>
      </c>
      <c r="AA59" s="55">
        <f t="shared" ca="1" si="164"/>
        <v>0.5441065107191958</v>
      </c>
      <c r="AB59" s="55">
        <f t="shared" ca="1" si="164"/>
        <v>0.55396268145363692</v>
      </c>
      <c r="AC59" s="55">
        <f t="shared" ca="1" si="164"/>
        <v>0.61583587154338459</v>
      </c>
      <c r="AD59" s="56">
        <f t="shared" ca="1" si="164"/>
        <v>0.58604900244286751</v>
      </c>
    </row>
    <row r="60" spans="1:30" x14ac:dyDescent="0.2">
      <c r="A60" s="270" t="s">
        <v>326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744F-7ACF-9E45-8DBC-BECB35D76B93}">
  <dimension ref="B2:L28"/>
  <sheetViews>
    <sheetView showGridLines="0" topLeftCell="C1" zoomScale="125" workbookViewId="0">
      <selection activeCell="C5" sqref="C5"/>
    </sheetView>
  </sheetViews>
  <sheetFormatPr baseColWidth="10" defaultColWidth="11" defaultRowHeight="16" x14ac:dyDescent="0.2"/>
  <cols>
    <col min="1" max="1" width="11" style="34"/>
    <col min="2" max="2" width="40.83203125" style="34" customWidth="1"/>
    <col min="3" max="3" width="13.83203125" style="34" customWidth="1"/>
    <col min="4" max="4" width="12.33203125" style="34" customWidth="1"/>
    <col min="5" max="5" width="12" style="34" customWidth="1"/>
    <col min="6" max="6" width="10.83203125" style="34" customWidth="1"/>
    <col min="7" max="7" width="10.6640625" style="34" customWidth="1"/>
    <col min="8" max="8" width="13.1640625" style="34" bestFit="1" customWidth="1"/>
    <col min="9" max="9" width="13.83203125" style="34" bestFit="1" customWidth="1"/>
    <col min="10" max="11" width="11.1640625" style="34" bestFit="1" customWidth="1"/>
    <col min="12" max="12" width="12.1640625" style="34" bestFit="1" customWidth="1"/>
    <col min="13" max="16384" width="11" style="34"/>
  </cols>
  <sheetData>
    <row r="2" spans="2:12" ht="51" x14ac:dyDescent="0.2">
      <c r="B2" s="199" t="s">
        <v>125</v>
      </c>
      <c r="C2" s="200" t="s">
        <v>138</v>
      </c>
      <c r="D2" s="200" t="s">
        <v>139</v>
      </c>
      <c r="E2" s="200" t="s">
        <v>140</v>
      </c>
      <c r="F2" s="200" t="s">
        <v>141</v>
      </c>
      <c r="G2" s="200" t="s">
        <v>142</v>
      </c>
      <c r="H2" s="200" t="s">
        <v>143</v>
      </c>
      <c r="I2" s="200" t="s">
        <v>144</v>
      </c>
      <c r="J2" s="200" t="s">
        <v>251</v>
      </c>
      <c r="K2" s="200" t="s">
        <v>252</v>
      </c>
      <c r="L2" s="201" t="s">
        <v>253</v>
      </c>
    </row>
    <row r="3" spans="2:12" ht="17" x14ac:dyDescent="0.2">
      <c r="B3" s="172" t="s">
        <v>133</v>
      </c>
      <c r="C3" s="173">
        <v>15471.4</v>
      </c>
      <c r="D3" s="174">
        <v>6.8</v>
      </c>
      <c r="E3" s="174">
        <v>51.4</v>
      </c>
      <c r="F3" s="175">
        <v>0.6</v>
      </c>
      <c r="G3" s="175">
        <v>0.107</v>
      </c>
      <c r="H3" s="176">
        <v>0.28489999999999999</v>
      </c>
      <c r="I3" s="176">
        <v>0.3427</v>
      </c>
      <c r="J3" s="177">
        <v>2.2400000000000002</v>
      </c>
      <c r="K3" s="173">
        <v>1.7</v>
      </c>
      <c r="L3" s="178">
        <v>22.9</v>
      </c>
    </row>
    <row r="4" spans="2:12" ht="17" x14ac:dyDescent="0.2">
      <c r="B4" s="172" t="s">
        <v>127</v>
      </c>
      <c r="C4" s="173">
        <v>1372.2</v>
      </c>
      <c r="D4" s="174">
        <v>1.2</v>
      </c>
      <c r="E4" s="174">
        <v>38.299999999999997</v>
      </c>
      <c r="F4" s="175">
        <v>0.41199999999999998</v>
      </c>
      <c r="G4" s="175">
        <v>5.0000000000000001E-3</v>
      </c>
      <c r="H4" s="176">
        <v>-0.26340000000000002</v>
      </c>
      <c r="I4" s="176">
        <v>-0.93669999999999998</v>
      </c>
      <c r="J4" s="177">
        <v>1.78</v>
      </c>
      <c r="K4" s="173">
        <v>0.8</v>
      </c>
      <c r="L4" s="178">
        <v>1</v>
      </c>
    </row>
    <row r="5" spans="2:12" ht="53" customHeight="1" x14ac:dyDescent="0.2">
      <c r="B5" s="172" t="s">
        <v>132</v>
      </c>
      <c r="C5" s="173">
        <v>1873.7</v>
      </c>
      <c r="D5" s="174">
        <v>1.6</v>
      </c>
      <c r="E5" s="174">
        <v>36.5</v>
      </c>
      <c r="F5" s="175">
        <v>0.52500000000000002</v>
      </c>
      <c r="G5" s="175">
        <v>3.2000000000000001E-2</v>
      </c>
      <c r="H5" s="176">
        <v>-1.18E-2</v>
      </c>
      <c r="I5" s="176">
        <v>-0.39500000000000002</v>
      </c>
      <c r="J5" s="177">
        <v>2.0499999999999998</v>
      </c>
      <c r="K5" s="173">
        <v>2.2999999999999998</v>
      </c>
      <c r="L5" s="179" t="s">
        <v>21</v>
      </c>
    </row>
    <row r="6" spans="2:12" ht="17" x14ac:dyDescent="0.2">
      <c r="B6" s="180" t="s">
        <v>137</v>
      </c>
      <c r="C6" s="185">
        <v>9725.7999999999993</v>
      </c>
      <c r="D6" s="186">
        <v>5.9</v>
      </c>
      <c r="E6" s="186">
        <v>22.7</v>
      </c>
      <c r="F6" s="187">
        <v>0.60199999999999998</v>
      </c>
      <c r="G6" s="187">
        <v>0.24099999999999999</v>
      </c>
      <c r="H6" s="188">
        <v>0.19769999999999999</v>
      </c>
      <c r="I6" s="188">
        <v>-9.8000000000000004E-2</v>
      </c>
      <c r="J6" s="189" t="s">
        <v>21</v>
      </c>
      <c r="K6" s="185">
        <v>1.1000000000000001</v>
      </c>
      <c r="L6" s="190">
        <v>2.9</v>
      </c>
    </row>
    <row r="7" spans="2:12" ht="17" x14ac:dyDescent="0.2">
      <c r="B7" s="172" t="s">
        <v>128</v>
      </c>
      <c r="C7" s="173">
        <v>24676.2</v>
      </c>
      <c r="D7" s="174">
        <v>5.3</v>
      </c>
      <c r="E7" s="174">
        <v>19.899999999999999</v>
      </c>
      <c r="F7" s="175">
        <v>0.56499999999999995</v>
      </c>
      <c r="G7" s="175">
        <v>0.23899999999999999</v>
      </c>
      <c r="H7" s="176">
        <v>0.20300000000000001</v>
      </c>
      <c r="I7" s="176">
        <v>0.47889999999999999</v>
      </c>
      <c r="J7" s="177">
        <v>1.05</v>
      </c>
      <c r="K7" s="173">
        <v>0.6</v>
      </c>
      <c r="L7" s="179" t="s">
        <v>254</v>
      </c>
    </row>
    <row r="8" spans="2:12" ht="17" x14ac:dyDescent="0.2">
      <c r="B8" s="172" t="s">
        <v>126</v>
      </c>
      <c r="C8" s="173">
        <v>123426.1</v>
      </c>
      <c r="D8" s="174">
        <v>2.5</v>
      </c>
      <c r="E8" s="174">
        <v>15.2</v>
      </c>
      <c r="F8" s="175">
        <v>0.45</v>
      </c>
      <c r="G8" s="175">
        <v>0.14399999999999999</v>
      </c>
      <c r="H8" s="176">
        <v>-2.8299999999999999E-2</v>
      </c>
      <c r="I8" s="176">
        <v>7.3300000000000004E-2</v>
      </c>
      <c r="J8" s="177">
        <v>1.02</v>
      </c>
      <c r="K8" s="173">
        <v>0.9</v>
      </c>
      <c r="L8" s="178">
        <v>29.4</v>
      </c>
    </row>
    <row r="9" spans="2:12" ht="17" x14ac:dyDescent="0.2">
      <c r="B9" s="172" t="s">
        <v>130</v>
      </c>
      <c r="C9" s="173">
        <v>35805.300000000003</v>
      </c>
      <c r="D9" s="174">
        <v>3.6</v>
      </c>
      <c r="E9" s="174">
        <v>11.3</v>
      </c>
      <c r="F9" s="175">
        <v>0.58499999999999996</v>
      </c>
      <c r="G9" s="175">
        <v>0.27</v>
      </c>
      <c r="H9" s="176">
        <v>0.13020000000000001</v>
      </c>
      <c r="I9" s="176">
        <v>0.17749999999999999</v>
      </c>
      <c r="J9" s="177">
        <v>1.25</v>
      </c>
      <c r="K9" s="173">
        <v>1.2</v>
      </c>
      <c r="L9" s="179" t="s">
        <v>21</v>
      </c>
    </row>
    <row r="10" spans="2:12" ht="17" x14ac:dyDescent="0.2">
      <c r="B10" s="172" t="s">
        <v>129</v>
      </c>
      <c r="C10" s="173">
        <v>3526.3</v>
      </c>
      <c r="D10" s="174">
        <v>1.6</v>
      </c>
      <c r="E10" s="174">
        <v>11</v>
      </c>
      <c r="F10" s="175">
        <v>0.41399999999999998</v>
      </c>
      <c r="G10" s="175">
        <v>0.122</v>
      </c>
      <c r="H10" s="176">
        <v>0.1095</v>
      </c>
      <c r="I10" s="176">
        <v>0.1479</v>
      </c>
      <c r="J10" s="177">
        <v>1.1000000000000001</v>
      </c>
      <c r="K10" s="173">
        <v>1.2</v>
      </c>
      <c r="L10" s="179" t="s">
        <v>21</v>
      </c>
    </row>
    <row r="11" spans="2:12" ht="17" x14ac:dyDescent="0.2">
      <c r="B11" s="172" t="s">
        <v>136</v>
      </c>
      <c r="C11" s="173">
        <v>6379.8</v>
      </c>
      <c r="D11" s="174">
        <v>0.9</v>
      </c>
      <c r="E11" s="174">
        <v>7.9</v>
      </c>
      <c r="F11" s="175">
        <v>0.47099999999999997</v>
      </c>
      <c r="G11" s="175">
        <v>8.8999999999999996E-2</v>
      </c>
      <c r="H11" s="176">
        <v>-3.9100000000000003E-2</v>
      </c>
      <c r="I11" s="176">
        <v>-7.3700000000000002E-2</v>
      </c>
      <c r="J11" s="177">
        <v>1.08</v>
      </c>
      <c r="K11" s="173">
        <v>1</v>
      </c>
      <c r="L11" s="178">
        <v>4.9000000000000004</v>
      </c>
    </row>
    <row r="12" spans="2:12" ht="17" x14ac:dyDescent="0.2">
      <c r="B12" s="172" t="s">
        <v>135</v>
      </c>
      <c r="C12" s="173">
        <v>8278.2999999999993</v>
      </c>
      <c r="D12" s="174">
        <v>2.5</v>
      </c>
      <c r="E12" s="174">
        <v>7.8</v>
      </c>
      <c r="F12" s="175">
        <v>0.57099999999999995</v>
      </c>
      <c r="G12" s="175">
        <v>0.27900000000000003</v>
      </c>
      <c r="H12" s="176">
        <v>4.3499999999999997E-2</v>
      </c>
      <c r="I12" s="176">
        <v>9.0399999999999994E-2</v>
      </c>
      <c r="J12" s="177">
        <v>1.99</v>
      </c>
      <c r="K12" s="173">
        <v>1.2</v>
      </c>
      <c r="L12" s="178">
        <v>9.4</v>
      </c>
    </row>
    <row r="13" spans="2:12" ht="17" x14ac:dyDescent="0.2">
      <c r="B13" s="172" t="s">
        <v>131</v>
      </c>
      <c r="C13" s="173">
        <v>4944.8</v>
      </c>
      <c r="D13" s="174">
        <v>1.6</v>
      </c>
      <c r="E13" s="174">
        <v>7.5</v>
      </c>
      <c r="F13" s="175">
        <v>0.64200000000000002</v>
      </c>
      <c r="G13" s="175">
        <v>9.8000000000000004E-2</v>
      </c>
      <c r="H13" s="176">
        <v>-8.7499999999999994E-2</v>
      </c>
      <c r="I13" s="176">
        <v>-0.41839999999999999</v>
      </c>
      <c r="J13" s="177">
        <v>1.66</v>
      </c>
      <c r="K13" s="173">
        <v>1.3</v>
      </c>
      <c r="L13" s="179" t="s">
        <v>21</v>
      </c>
    </row>
    <row r="14" spans="2:12" ht="17" x14ac:dyDescent="0.2">
      <c r="B14" s="172" t="s">
        <v>134</v>
      </c>
      <c r="C14" s="173">
        <v>3892.3</v>
      </c>
      <c r="D14" s="174">
        <v>0.8</v>
      </c>
      <c r="E14" s="174">
        <v>7.3</v>
      </c>
      <c r="F14" s="175">
        <v>0.46400000000000002</v>
      </c>
      <c r="G14" s="175">
        <v>6.5000000000000002E-2</v>
      </c>
      <c r="H14" s="176">
        <v>-5.1499999999999997E-2</v>
      </c>
      <c r="I14" s="176">
        <v>-6.9599999999999995E-2</v>
      </c>
      <c r="J14" s="177">
        <v>1.97</v>
      </c>
      <c r="K14" s="173">
        <v>1.1000000000000001</v>
      </c>
      <c r="L14" s="178">
        <v>11.8</v>
      </c>
    </row>
    <row r="15" spans="2:12" x14ac:dyDescent="0.2">
      <c r="B15" s="232"/>
      <c r="C15" s="107"/>
      <c r="D15" s="107"/>
      <c r="E15" s="107"/>
      <c r="F15" s="107"/>
      <c r="G15" s="107"/>
      <c r="H15" s="107"/>
      <c r="I15" s="107"/>
      <c r="J15" s="107"/>
      <c r="K15" s="107"/>
      <c r="L15" s="108"/>
    </row>
    <row r="16" spans="2:12" ht="17" x14ac:dyDescent="0.2">
      <c r="B16" s="233" t="s">
        <v>106</v>
      </c>
      <c r="C16" s="191">
        <f>MEDIAN(C3:C14)</f>
        <v>7329.0499999999993</v>
      </c>
      <c r="D16" s="191">
        <f t="shared" ref="D16:L16" si="0">MEDIAN(D3:D14)</f>
        <v>2.0499999999999998</v>
      </c>
      <c r="E16" s="191">
        <f t="shared" si="0"/>
        <v>13.25</v>
      </c>
      <c r="F16" s="192">
        <f t="shared" si="0"/>
        <v>0.54499999999999993</v>
      </c>
      <c r="G16" s="192">
        <f t="shared" si="0"/>
        <v>0.11449999999999999</v>
      </c>
      <c r="H16" s="192">
        <f t="shared" si="0"/>
        <v>1.5849999999999996E-2</v>
      </c>
      <c r="I16" s="192">
        <f t="shared" si="0"/>
        <v>1.8500000000000044E-3</v>
      </c>
      <c r="J16" s="193">
        <f t="shared" si="0"/>
        <v>1.66</v>
      </c>
      <c r="K16" s="193">
        <f t="shared" si="0"/>
        <v>1.1499999999999999</v>
      </c>
      <c r="L16" s="194">
        <f t="shared" si="0"/>
        <v>9.4</v>
      </c>
    </row>
    <row r="17" spans="2:12" ht="17" x14ac:dyDescent="0.2">
      <c r="B17" s="234" t="s">
        <v>145</v>
      </c>
      <c r="C17" s="195">
        <f>STDEV(C3:C14)</f>
        <v>34179.516322468335</v>
      </c>
      <c r="D17" s="195">
        <f t="shared" ref="D17:L17" si="1">STDEV(D3:D14)</f>
        <v>2.0698960594604014</v>
      </c>
      <c r="E17" s="195">
        <f t="shared" si="1"/>
        <v>14.746545563643238</v>
      </c>
      <c r="F17" s="196">
        <f t="shared" si="1"/>
        <v>7.9721627421847602E-2</v>
      </c>
      <c r="G17" s="196">
        <f t="shared" si="1"/>
        <v>9.415698528939781E-2</v>
      </c>
      <c r="H17" s="196">
        <f t="shared" si="1"/>
        <v>0.15215826688622008</v>
      </c>
      <c r="I17" s="196">
        <f t="shared" si="1"/>
        <v>0.38179859070409933</v>
      </c>
      <c r="J17" s="197">
        <f t="shared" si="1"/>
        <v>0.4694271170073343</v>
      </c>
      <c r="K17" s="197">
        <f t="shared" si="1"/>
        <v>0.4410730716621169</v>
      </c>
      <c r="L17" s="198">
        <f t="shared" si="1"/>
        <v>10.662841576061723</v>
      </c>
    </row>
    <row r="18" spans="2:12" x14ac:dyDescent="0.2">
      <c r="B18" s="91"/>
      <c r="L18" s="93"/>
    </row>
    <row r="19" spans="2:12" ht="17" x14ac:dyDescent="0.2">
      <c r="B19" s="180" t="s">
        <v>323</v>
      </c>
      <c r="C19" s="181">
        <f>(C6-C16)/C17</f>
        <v>7.0122408327483149E-2</v>
      </c>
      <c r="D19" s="182">
        <f t="shared" ref="D19:I19" si="2">(D6-D16)/D17</f>
        <v>1.8599967773278683</v>
      </c>
      <c r="E19" s="181">
        <f t="shared" si="2"/>
        <v>0.64082804743766109</v>
      </c>
      <c r="F19" s="183">
        <f t="shared" si="2"/>
        <v>0.71498791285812713</v>
      </c>
      <c r="G19" s="184">
        <f t="shared" si="2"/>
        <v>1.3435009586510631</v>
      </c>
      <c r="H19" s="184">
        <f t="shared" si="2"/>
        <v>1.1951371668552362</v>
      </c>
      <c r="I19" s="183">
        <f t="shared" si="2"/>
        <v>-0.26152532364213343</v>
      </c>
      <c r="J19" s="107" t="s">
        <v>21</v>
      </c>
      <c r="K19" s="107" t="s">
        <v>21</v>
      </c>
      <c r="L19" s="108"/>
    </row>
    <row r="20" spans="2:12" x14ac:dyDescent="0.2">
      <c r="B20" s="270" t="s">
        <v>326</v>
      </c>
    </row>
    <row r="25" spans="2:12" x14ac:dyDescent="0.2">
      <c r="E25" s="35"/>
      <c r="F25" s="35"/>
      <c r="G25" s="35"/>
      <c r="H25" s="35"/>
    </row>
    <row r="26" spans="2:12" x14ac:dyDescent="0.2">
      <c r="E26" s="35"/>
      <c r="F26" s="35"/>
      <c r="G26" s="35"/>
      <c r="H26" s="35"/>
    </row>
    <row r="28" spans="2:12" x14ac:dyDescent="0.2">
      <c r="E28" s="36"/>
    </row>
  </sheetData>
  <sortState xmlns:xlrd2="http://schemas.microsoft.com/office/spreadsheetml/2017/richdata2" ref="B3:I14">
    <sortCondition descending="1" ref="E3:E1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0567-F36F-434D-99EF-E7BCE1B81A03}">
  <dimension ref="B2:E46"/>
  <sheetViews>
    <sheetView showGridLines="0" topLeftCell="A20" workbookViewId="0">
      <selection activeCell="P40" sqref="P40"/>
    </sheetView>
  </sheetViews>
  <sheetFormatPr baseColWidth="10" defaultColWidth="10.6640625" defaultRowHeight="16" x14ac:dyDescent="0.2"/>
  <cols>
    <col min="2" max="2" width="24.6640625" customWidth="1"/>
    <col min="3" max="3" width="10.5" customWidth="1"/>
    <col min="4" max="4" width="10.33203125" customWidth="1"/>
    <col min="5" max="5" width="9.83203125" bestFit="1" customWidth="1"/>
  </cols>
  <sheetData>
    <row r="2" spans="2:5" x14ac:dyDescent="0.2">
      <c r="B2" s="157" t="s">
        <v>315</v>
      </c>
      <c r="C2" s="100"/>
      <c r="D2" s="100"/>
      <c r="E2" s="101"/>
    </row>
    <row r="3" spans="2:5" x14ac:dyDescent="0.2">
      <c r="B3" s="61" t="s">
        <v>271</v>
      </c>
      <c r="C3" s="355" t="s">
        <v>272</v>
      </c>
      <c r="D3" s="355"/>
      <c r="E3" s="356"/>
    </row>
    <row r="4" spans="2:5" x14ac:dyDescent="0.2">
      <c r="B4" s="54"/>
      <c r="C4" s="12" t="s">
        <v>255</v>
      </c>
      <c r="D4" s="12" t="s">
        <v>270</v>
      </c>
      <c r="E4" s="20" t="s">
        <v>256</v>
      </c>
    </row>
    <row r="5" spans="2:5" x14ac:dyDescent="0.2">
      <c r="B5" s="48" t="s">
        <v>257</v>
      </c>
      <c r="C5">
        <v>19.88</v>
      </c>
      <c r="D5">
        <v>19</v>
      </c>
      <c r="E5" s="98">
        <v>8.8000000000000005E-3</v>
      </c>
    </row>
    <row r="6" spans="2:5" x14ac:dyDescent="0.2">
      <c r="B6" s="165" t="s">
        <v>258</v>
      </c>
      <c r="C6" s="166">
        <v>163.30000000000001</v>
      </c>
      <c r="D6" s="166">
        <v>169.2</v>
      </c>
      <c r="E6" s="167">
        <v>3.5999999999999997E-2</v>
      </c>
    </row>
    <row r="7" spans="2:5" x14ac:dyDescent="0.2">
      <c r="B7" s="168" t="s">
        <v>259</v>
      </c>
      <c r="C7" s="169">
        <v>125.7</v>
      </c>
      <c r="D7" s="169">
        <v>114.3</v>
      </c>
      <c r="E7" s="235">
        <v>-9.0999999999999998E-2</v>
      </c>
    </row>
    <row r="8" spans="2:5" x14ac:dyDescent="0.2">
      <c r="B8" s="48" t="s">
        <v>260</v>
      </c>
      <c r="C8">
        <v>288.7</v>
      </c>
      <c r="D8">
        <v>282.89999999999998</v>
      </c>
      <c r="E8" s="98">
        <v>-0.02</v>
      </c>
    </row>
    <row r="9" spans="2:5" x14ac:dyDescent="0.2">
      <c r="B9" s="48" t="s">
        <v>261</v>
      </c>
      <c r="C9">
        <v>116.1</v>
      </c>
      <c r="D9">
        <v>118</v>
      </c>
      <c r="E9" s="98">
        <v>1.6E-2</v>
      </c>
    </row>
    <row r="10" spans="2:5" x14ac:dyDescent="0.2">
      <c r="B10" s="48" t="s">
        <v>262</v>
      </c>
      <c r="C10">
        <v>99.1</v>
      </c>
      <c r="D10">
        <v>98.5</v>
      </c>
      <c r="E10" s="98">
        <v>-6.0000000000000001E-3</v>
      </c>
    </row>
    <row r="11" spans="2:5" x14ac:dyDescent="0.2">
      <c r="B11" s="48" t="s">
        <v>263</v>
      </c>
      <c r="C11">
        <v>215</v>
      </c>
      <c r="D11">
        <v>217.4</v>
      </c>
      <c r="E11" s="98">
        <v>1.0999999999999999E-2</v>
      </c>
    </row>
    <row r="12" spans="2:5" x14ac:dyDescent="0.2">
      <c r="B12" s="165" t="s">
        <v>264</v>
      </c>
      <c r="C12" s="166">
        <v>38.700000000000003</v>
      </c>
      <c r="D12" s="166">
        <v>41</v>
      </c>
      <c r="E12" s="167">
        <v>5.8999999999999997E-2</v>
      </c>
    </row>
    <row r="13" spans="2:5" x14ac:dyDescent="0.2">
      <c r="B13" s="168" t="s">
        <v>265</v>
      </c>
      <c r="C13" s="169">
        <v>22.7</v>
      </c>
      <c r="D13" s="169">
        <v>21.9</v>
      </c>
      <c r="E13" s="170">
        <v>-3.5000000000000003E-2</v>
      </c>
    </row>
    <row r="14" spans="2:5" x14ac:dyDescent="0.2">
      <c r="B14" s="48" t="s">
        <v>266</v>
      </c>
      <c r="C14">
        <v>61</v>
      </c>
      <c r="D14">
        <v>63.7</v>
      </c>
      <c r="E14" s="98">
        <v>4.3999999999999997E-2</v>
      </c>
    </row>
    <row r="15" spans="2:5" x14ac:dyDescent="0.2">
      <c r="B15" s="48" t="s">
        <v>267</v>
      </c>
      <c r="C15">
        <v>567.5</v>
      </c>
      <c r="D15">
        <v>564.79999999999995</v>
      </c>
      <c r="E15" s="98">
        <v>-5.0000000000000001E-3</v>
      </c>
    </row>
    <row r="16" spans="2:5" x14ac:dyDescent="0.2">
      <c r="B16" s="168" t="s">
        <v>268</v>
      </c>
      <c r="C16" s="169">
        <v>95.4</v>
      </c>
      <c r="D16" s="169">
        <v>74.599999999999994</v>
      </c>
      <c r="E16" s="170">
        <v>-0.218</v>
      </c>
    </row>
    <row r="17" spans="2:5" x14ac:dyDescent="0.2">
      <c r="B17" s="48" t="s">
        <v>269</v>
      </c>
      <c r="C17">
        <v>98.8</v>
      </c>
      <c r="D17">
        <v>91.9</v>
      </c>
      <c r="E17" s="98">
        <v>-7.0000000000000007E-2</v>
      </c>
    </row>
    <row r="18" spans="2:5" x14ac:dyDescent="0.2">
      <c r="B18" s="202" t="s">
        <v>271</v>
      </c>
      <c r="C18" s="12"/>
      <c r="D18" s="12"/>
      <c r="E18" s="20"/>
    </row>
    <row r="21" spans="2:5" x14ac:dyDescent="0.2">
      <c r="B21" s="152" t="s">
        <v>316</v>
      </c>
      <c r="C21" s="171" t="s">
        <v>274</v>
      </c>
      <c r="D21" s="171" t="s">
        <v>273</v>
      </c>
    </row>
    <row r="22" spans="2:5" x14ac:dyDescent="0.2">
      <c r="B22" s="158" t="s">
        <v>277</v>
      </c>
      <c r="C22" s="203"/>
      <c r="D22" s="83"/>
    </row>
    <row r="23" spans="2:5" x14ac:dyDescent="0.2">
      <c r="B23" s="48" t="s">
        <v>20</v>
      </c>
      <c r="D23" s="1">
        <v>3281</v>
      </c>
    </row>
    <row r="24" spans="2:5" x14ac:dyDescent="0.2">
      <c r="B24" s="48" t="s">
        <v>246</v>
      </c>
      <c r="D24" s="204">
        <v>0.33</v>
      </c>
    </row>
    <row r="25" spans="2:5" x14ac:dyDescent="0.2">
      <c r="B25" s="48" t="s">
        <v>275</v>
      </c>
      <c r="C25">
        <v>425.11</v>
      </c>
      <c r="D25" s="1"/>
    </row>
    <row r="26" spans="2:5" x14ac:dyDescent="0.2">
      <c r="B26" s="48"/>
      <c r="D26" s="1"/>
    </row>
    <row r="27" spans="2:5" x14ac:dyDescent="0.2">
      <c r="B27" s="212" t="s">
        <v>276</v>
      </c>
      <c r="C27" s="213"/>
      <c r="D27" s="214"/>
    </row>
    <row r="28" spans="2:5" x14ac:dyDescent="0.2">
      <c r="B28" s="48" t="s">
        <v>20</v>
      </c>
      <c r="D28" s="207">
        <v>3325</v>
      </c>
    </row>
    <row r="29" spans="2:5" x14ac:dyDescent="0.2">
      <c r="B29" s="48" t="s">
        <v>246</v>
      </c>
      <c r="D29" s="98">
        <v>0.32120300751879699</v>
      </c>
    </row>
    <row r="30" spans="2:5" x14ac:dyDescent="0.2">
      <c r="B30" s="48" t="s">
        <v>275</v>
      </c>
      <c r="C30" t="s">
        <v>21</v>
      </c>
      <c r="D30" s="1"/>
    </row>
    <row r="31" spans="2:5" x14ac:dyDescent="0.2">
      <c r="B31" s="208"/>
      <c r="C31" s="205"/>
      <c r="D31" s="206"/>
    </row>
    <row r="32" spans="2:5" x14ac:dyDescent="0.2">
      <c r="B32" s="212" t="s">
        <v>278</v>
      </c>
      <c r="C32" s="213"/>
      <c r="D32" s="214"/>
    </row>
    <row r="33" spans="2:4" x14ac:dyDescent="0.2">
      <c r="B33" s="48" t="s">
        <v>20</v>
      </c>
      <c r="D33" s="1">
        <v>2998</v>
      </c>
    </row>
    <row r="34" spans="2:4" x14ac:dyDescent="0.2">
      <c r="B34" s="48" t="s">
        <v>246</v>
      </c>
      <c r="D34" s="98">
        <v>0.29699999999999999</v>
      </c>
    </row>
    <row r="35" spans="2:4" x14ac:dyDescent="0.2">
      <c r="B35" s="48" t="s">
        <v>275</v>
      </c>
      <c r="C35">
        <v>378.42</v>
      </c>
      <c r="D35" s="1"/>
    </row>
    <row r="36" spans="2:4" x14ac:dyDescent="0.2">
      <c r="B36" s="48"/>
      <c r="D36" s="1"/>
    </row>
    <row r="37" spans="2:4" x14ac:dyDescent="0.2">
      <c r="B37" s="158" t="s">
        <v>324</v>
      </c>
      <c r="C37" s="203"/>
      <c r="D37" s="83"/>
    </row>
    <row r="38" spans="2:4" x14ac:dyDescent="0.2">
      <c r="B38" s="48" t="s">
        <v>20</v>
      </c>
      <c r="C38" s="31"/>
      <c r="D38" s="209">
        <f>D33/AVERAGE(D23, D28)-1</f>
        <v>-9.2340296699969682E-2</v>
      </c>
    </row>
    <row r="39" spans="2:4" x14ac:dyDescent="0.2">
      <c r="B39" s="48" t="s">
        <v>246</v>
      </c>
      <c r="C39" s="31"/>
      <c r="D39" s="209">
        <f>D34/AVERAGE(D24, D29)-1</f>
        <v>-8.7842050571527608E-2</v>
      </c>
    </row>
    <row r="40" spans="2:4" x14ac:dyDescent="0.2">
      <c r="B40" s="54" t="s">
        <v>275</v>
      </c>
      <c r="C40" s="210">
        <f>C35/C25-1</f>
        <v>-0.10983039683846529</v>
      </c>
      <c r="D40" s="211"/>
    </row>
    <row r="42" spans="2:4" x14ac:dyDescent="0.2">
      <c r="B42" s="152" t="s">
        <v>279</v>
      </c>
      <c r="C42" s="152" t="s">
        <v>274</v>
      </c>
      <c r="D42" s="152" t="s">
        <v>273</v>
      </c>
    </row>
    <row r="43" spans="2:4" x14ac:dyDescent="0.2">
      <c r="B43" s="48" t="s">
        <v>20</v>
      </c>
      <c r="C43" s="105"/>
      <c r="D43" s="209">
        <v>-9.2340296699969682E-2</v>
      </c>
    </row>
    <row r="44" spans="2:4" x14ac:dyDescent="0.2">
      <c r="B44" s="48" t="s">
        <v>246</v>
      </c>
      <c r="C44" s="105"/>
      <c r="D44" s="209">
        <v>-8.7842050571527608E-2</v>
      </c>
    </row>
    <row r="45" spans="2:4" x14ac:dyDescent="0.2">
      <c r="B45" s="48" t="s">
        <v>275</v>
      </c>
      <c r="C45" s="215">
        <v>-0.10983039683846529</v>
      </c>
      <c r="D45" s="106"/>
    </row>
    <row r="46" spans="2:4" x14ac:dyDescent="0.2">
      <c r="B46" s="216" t="s">
        <v>280</v>
      </c>
      <c r="C46" s="12"/>
      <c r="D46" s="20"/>
    </row>
  </sheetData>
  <mergeCells count="1">
    <mergeCell ref="C3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E079-D3B9-49C5-A619-2AC8618747B3}">
  <dimension ref="A1:AR20"/>
  <sheetViews>
    <sheetView showGridLines="0" workbookViewId="0">
      <selection activeCell="AN22" sqref="AN22"/>
    </sheetView>
  </sheetViews>
  <sheetFormatPr baseColWidth="10" defaultColWidth="8.83203125" defaultRowHeight="15" x14ac:dyDescent="0.2"/>
  <cols>
    <col min="1" max="1" width="13.5" style="150" customWidth="1"/>
    <col min="2" max="5" width="8.83203125" style="150"/>
    <col min="6" max="11" width="0" style="150" hidden="1" customWidth="1"/>
    <col min="12" max="12" width="8.83203125" style="150"/>
    <col min="13" max="18" width="0" style="150" hidden="1" customWidth="1"/>
    <col min="19" max="19" width="8.83203125" style="150"/>
    <col min="20" max="25" width="0" style="150" hidden="1" customWidth="1"/>
    <col min="26" max="26" width="8.83203125" style="150"/>
    <col min="27" max="32" width="0" style="150" hidden="1" customWidth="1"/>
    <col min="33" max="33" width="8.83203125" style="150"/>
    <col min="34" max="38" width="0" style="150" hidden="1" customWidth="1"/>
    <col min="39" max="16384" width="8.83203125" style="150"/>
  </cols>
  <sheetData>
    <row r="1" spans="1:44" x14ac:dyDescent="0.2">
      <c r="A1" s="241" t="s">
        <v>176</v>
      </c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2"/>
      <c r="AF1" s="242"/>
      <c r="AG1" s="242"/>
      <c r="AH1" s="242"/>
      <c r="AI1" s="242"/>
      <c r="AJ1" s="242"/>
      <c r="AK1" s="242"/>
      <c r="AL1" s="242"/>
      <c r="AM1" s="242"/>
      <c r="AN1" s="243"/>
      <c r="AO1" s="244"/>
      <c r="AP1" s="244"/>
      <c r="AQ1" s="244"/>
      <c r="AR1" s="245"/>
    </row>
    <row r="2" spans="1:44" x14ac:dyDescent="0.2">
      <c r="A2" s="257" t="s">
        <v>177</v>
      </c>
      <c r="B2" s="258"/>
      <c r="C2" s="258"/>
      <c r="D2" s="258" t="s">
        <v>178</v>
      </c>
      <c r="E2" s="258" t="s">
        <v>179</v>
      </c>
      <c r="F2" s="258" t="s">
        <v>180</v>
      </c>
      <c r="G2" s="258" t="s">
        <v>181</v>
      </c>
      <c r="H2" s="258" t="s">
        <v>182</v>
      </c>
      <c r="I2" s="258" t="s">
        <v>183</v>
      </c>
      <c r="J2" s="258" t="s">
        <v>184</v>
      </c>
      <c r="K2" s="258" t="s">
        <v>185</v>
      </c>
      <c r="L2" s="258" t="s">
        <v>186</v>
      </c>
      <c r="M2" s="258" t="s">
        <v>187</v>
      </c>
      <c r="N2" s="258" t="s">
        <v>188</v>
      </c>
      <c r="O2" s="258" t="s">
        <v>189</v>
      </c>
      <c r="P2" s="258" t="s">
        <v>190</v>
      </c>
      <c r="Q2" s="258" t="s">
        <v>191</v>
      </c>
      <c r="R2" s="258" t="s">
        <v>192</v>
      </c>
      <c r="S2" s="258" t="s">
        <v>193</v>
      </c>
      <c r="T2" s="258" t="str">
        <f>"1Q"&amp;RIGHT(Z2,2)</f>
        <v>1Q22</v>
      </c>
      <c r="U2" s="258" t="str">
        <f>"2Q"&amp;RIGHT(Z2,2)</f>
        <v>2Q22</v>
      </c>
      <c r="V2" s="258" t="str">
        <f>"1H"&amp;RIGHT(Z2,2)</f>
        <v>1H22</v>
      </c>
      <c r="W2" s="258" t="str">
        <f>"3Q"&amp;RIGHT(Z2,2)</f>
        <v>3Q22</v>
      </c>
      <c r="X2" s="258" t="str">
        <f>"4Q"&amp;RIGHT(Z2,2)</f>
        <v>4Q22</v>
      </c>
      <c r="Y2" s="258" t="str">
        <f>"2H"&amp;RIGHT(Z2,2)</f>
        <v>2H22</v>
      </c>
      <c r="Z2" s="258" t="s">
        <v>194</v>
      </c>
      <c r="AA2" s="258" t="s">
        <v>195</v>
      </c>
      <c r="AB2" s="258" t="s">
        <v>196</v>
      </c>
      <c r="AC2" s="258" t="s">
        <v>197</v>
      </c>
      <c r="AD2" s="258" t="s">
        <v>198</v>
      </c>
      <c r="AE2" s="258" t="s">
        <v>199</v>
      </c>
      <c r="AF2" s="258" t="s">
        <v>200</v>
      </c>
      <c r="AG2" s="258" t="s">
        <v>201</v>
      </c>
      <c r="AH2" s="258" t="s">
        <v>202</v>
      </c>
      <c r="AI2" s="258" t="s">
        <v>203</v>
      </c>
      <c r="AJ2" s="258" t="s">
        <v>204</v>
      </c>
      <c r="AK2" s="258" t="s">
        <v>205</v>
      </c>
      <c r="AL2" s="258" t="s">
        <v>206</v>
      </c>
      <c r="AM2" s="258" t="s">
        <v>207</v>
      </c>
      <c r="AN2" s="258" t="s">
        <v>208</v>
      </c>
      <c r="AO2" s="259" t="s">
        <v>209</v>
      </c>
      <c r="AP2" s="259" t="s">
        <v>210</v>
      </c>
      <c r="AQ2" s="259" t="s">
        <v>211</v>
      </c>
      <c r="AR2" s="260" t="s">
        <v>212</v>
      </c>
    </row>
    <row r="3" spans="1:44" x14ac:dyDescent="0.2">
      <c r="A3" s="246"/>
      <c r="AR3" s="247"/>
    </row>
    <row r="4" spans="1:44" x14ac:dyDescent="0.2">
      <c r="A4" s="246" t="s">
        <v>213</v>
      </c>
      <c r="AA4" s="150" t="s">
        <v>214</v>
      </c>
      <c r="AB4" s="150" t="s">
        <v>215</v>
      </c>
      <c r="AD4" s="150" t="s">
        <v>216</v>
      </c>
      <c r="AE4" s="150" t="s">
        <v>217</v>
      </c>
      <c r="AH4" s="150" t="s">
        <v>214</v>
      </c>
      <c r="AI4" s="150" t="s">
        <v>215</v>
      </c>
      <c r="AK4" s="150" t="s">
        <v>216</v>
      </c>
      <c r="AL4" s="150" t="s">
        <v>217</v>
      </c>
      <c r="AR4" s="247"/>
    </row>
    <row r="5" spans="1:44" x14ac:dyDescent="0.2">
      <c r="A5" s="248" t="s">
        <v>218</v>
      </c>
      <c r="B5" s="249"/>
      <c r="C5" s="249"/>
      <c r="D5" s="249"/>
      <c r="E5" s="249">
        <v>1.1280971915064102</v>
      </c>
      <c r="F5" s="249">
        <v>1.1072060606060605</v>
      </c>
      <c r="G5" s="249">
        <v>1.1022015384615389</v>
      </c>
      <c r="H5" s="249">
        <f>AVERAGE(F5,G5)</f>
        <v>1.1047037995337998</v>
      </c>
      <c r="I5" s="249">
        <v>1.1014746153846156</v>
      </c>
      <c r="J5" s="249">
        <v>1.169160606060607</v>
      </c>
      <c r="K5" s="249">
        <f>AVERAGE(I5,J5)</f>
        <v>1.1353176107226113</v>
      </c>
      <c r="L5" s="249">
        <f t="shared" ref="L5:L19" si="0">AVERAGE(H5,K5)</f>
        <v>1.1200107051282056</v>
      </c>
      <c r="M5" s="249">
        <v>1.1928727272727271</v>
      </c>
      <c r="N5" s="249">
        <v>1.2049398437499996</v>
      </c>
      <c r="O5" s="249">
        <f>AVERAGE(M5,N5)</f>
        <v>1.1989062855113635</v>
      </c>
      <c r="P5" s="249">
        <v>1.2053023076923075</v>
      </c>
      <c r="Q5" s="249">
        <v>1.178759090909091</v>
      </c>
      <c r="R5" s="249">
        <f>AVERAGE(P5,Q5)</f>
        <v>1.1920306993006993</v>
      </c>
      <c r="S5" s="249">
        <f>AVERAGE(O5,R5)</f>
        <v>1.1954684924060315</v>
      </c>
      <c r="T5" s="249">
        <v>1.143210606060606</v>
      </c>
      <c r="U5" s="249">
        <v>1.1221484375000002</v>
      </c>
      <c r="V5" s="249">
        <f>AVERAGE(T5,U5)</f>
        <v>1.132679521780303</v>
      </c>
      <c r="W5" s="249">
        <v>1.0646999999999998</v>
      </c>
      <c r="X5" s="249">
        <v>1.0070227272727277</v>
      </c>
      <c r="Y5" s="249">
        <f>AVERAGE(W5,X5)</f>
        <v>1.0358613636363638</v>
      </c>
      <c r="Z5" s="249">
        <f>AVERAGE(V5,Y5)</f>
        <v>1.0842704427083334</v>
      </c>
      <c r="AA5" s="249">
        <v>1.0217546153846153</v>
      </c>
      <c r="AB5" s="249">
        <v>1.0729684615384614</v>
      </c>
      <c r="AC5" s="249">
        <f>AVERAGE(AA5,AB5)</f>
        <v>1.0473615384615385</v>
      </c>
      <c r="AD5" s="249">
        <v>1.0885076923076924</v>
      </c>
      <c r="AE5" s="249">
        <v>1.0881284615384619</v>
      </c>
      <c r="AF5" s="249">
        <f>AVERAGE(AD5,AE5)</f>
        <v>1.0883180769230771</v>
      </c>
      <c r="AG5" s="249">
        <f>AVERAGE(AC5,AF5)</f>
        <v>1.0678398076923079</v>
      </c>
      <c r="AH5" s="249">
        <v>1.0761115384615383</v>
      </c>
      <c r="AI5" s="249">
        <v>1.0856061538461532</v>
      </c>
      <c r="AJ5" s="249">
        <f>AVERAGE(AH5,AI5)</f>
        <v>1.0808588461538458</v>
      </c>
      <c r="AK5" s="151">
        <v>1.0798361538461543</v>
      </c>
      <c r="AL5" s="151">
        <v>1.0860000000000001</v>
      </c>
      <c r="AM5" s="281">
        <f>AVERAGE(AK5,AL5)</f>
        <v>1.0829180769230771</v>
      </c>
      <c r="AN5" s="281">
        <f>AVERAGE(AJ5,AM5)</f>
        <v>1.0818884615384614</v>
      </c>
      <c r="AO5" s="250">
        <f>AL5</f>
        <v>1.0860000000000001</v>
      </c>
      <c r="AP5" s="250">
        <f>AO5</f>
        <v>1.0860000000000001</v>
      </c>
      <c r="AQ5" s="250">
        <f t="shared" ref="AQ5:AR5" si="1">AP5</f>
        <v>1.0860000000000001</v>
      </c>
      <c r="AR5" s="251">
        <f t="shared" si="1"/>
        <v>1.0860000000000001</v>
      </c>
    </row>
    <row r="6" spans="1:44" x14ac:dyDescent="0.2">
      <c r="A6" s="248" t="s">
        <v>219</v>
      </c>
      <c r="B6" s="249"/>
      <c r="C6" s="249"/>
      <c r="D6" s="249"/>
      <c r="E6" s="249">
        <v>8.8399605229275906</v>
      </c>
      <c r="F6" s="249">
        <v>8.663790909090908</v>
      </c>
      <c r="G6" s="249">
        <v>8.5653476923076894</v>
      </c>
      <c r="H6" s="249">
        <f t="shared" ref="H6:H19" si="2">AVERAGE(F6,G6)</f>
        <v>8.6145693006992978</v>
      </c>
      <c r="I6" s="249">
        <v>8.53780230769231</v>
      </c>
      <c r="J6" s="249">
        <v>9.0615568181818169</v>
      </c>
      <c r="K6" s="249">
        <f t="shared" ref="K6:K19" si="3">AVERAGE(I6,J6)</f>
        <v>8.7996795629370634</v>
      </c>
      <c r="L6" s="249">
        <f t="shared" si="0"/>
        <v>8.7071244318181797</v>
      </c>
      <c r="M6" s="249">
        <v>9.2468325757575744</v>
      </c>
      <c r="N6" s="249">
        <v>9.3472734375000002</v>
      </c>
      <c r="O6" s="249">
        <f t="shared" ref="O6:O19" si="4">AVERAGE(M6,N6)</f>
        <v>9.2970530066287864</v>
      </c>
      <c r="P6" s="249">
        <v>9.3595169230769244</v>
      </c>
      <c r="Q6" s="249">
        <v>9.1682765151515149</v>
      </c>
      <c r="R6" s="249">
        <f t="shared" ref="R6:R19" si="5">AVERAGE(P6,Q6)</f>
        <v>9.2638967191142196</v>
      </c>
      <c r="S6" s="249">
        <f t="shared" ref="S6:S19" si="6">AVERAGE(O6,R6)</f>
        <v>9.2804748628715039</v>
      </c>
      <c r="T6" s="249">
        <v>8.9052151515151508</v>
      </c>
      <c r="U6" s="249">
        <v>8.7582015625000018</v>
      </c>
      <c r="V6" s="249">
        <f t="shared" ref="V6:V19" si="7">AVERAGE(T6,U6)</f>
        <v>8.8317083570075763</v>
      </c>
      <c r="W6" s="249">
        <v>8.3538469230769223</v>
      </c>
      <c r="X6" s="249">
        <v>7.9033090909090902</v>
      </c>
      <c r="Y6" s="249">
        <f t="shared" ref="Y6:Y19" si="8">AVERAGE(W6,X6)</f>
        <v>8.1285780069930063</v>
      </c>
      <c r="Z6" s="249">
        <f t="shared" ref="Z6:Z19" si="9">AVERAGE(V6,Y6)</f>
        <v>8.4801431820002904</v>
      </c>
      <c r="AA6" s="249">
        <v>7.9907876923076913</v>
      </c>
      <c r="AB6" s="249">
        <v>8.4097584615384591</v>
      </c>
      <c r="AC6" s="249">
        <f t="shared" ref="AC6:AC19" si="10">AVERAGE(AA6,AB6)</f>
        <v>8.2002730769230752</v>
      </c>
      <c r="AD6" s="249">
        <v>8.533079230769232</v>
      </c>
      <c r="AE6" s="249">
        <v>8.5136576923076905</v>
      </c>
      <c r="AF6" s="249">
        <f t="shared" ref="AF6:AF18" si="11">AVERAGE(AD6,AE6)</f>
        <v>8.5233684615384604</v>
      </c>
      <c r="AG6" s="249">
        <f t="shared" ref="AG6:AG19" si="12">AVERAGE(AC6,AF6)</f>
        <v>8.3618207692307678</v>
      </c>
      <c r="AH6" s="249">
        <v>8.408837692307694</v>
      </c>
      <c r="AI6" s="249">
        <v>8.489849999999997</v>
      </c>
      <c r="AJ6" s="249">
        <f t="shared" ref="AJ6:AJ19" si="13">AVERAGE(AH6,AI6)</f>
        <v>8.4493438461538446</v>
      </c>
      <c r="AK6" s="151">
        <v>8.4389138461538469</v>
      </c>
      <c r="AL6" s="151">
        <v>8.4757499999999997</v>
      </c>
      <c r="AM6" s="281">
        <f t="shared" ref="AM6:AM19" si="14">AVERAGE(AK6,AL6)</f>
        <v>8.4573319230769233</v>
      </c>
      <c r="AN6" s="281">
        <f t="shared" ref="AN6:AN19" si="15">AVERAGE(AJ6,AM6)</f>
        <v>8.453337884615383</v>
      </c>
      <c r="AO6" s="250">
        <f t="shared" ref="AO6:AO19" si="16">AL6</f>
        <v>8.4757499999999997</v>
      </c>
      <c r="AP6" s="250">
        <f t="shared" ref="AP6:AR19" si="17">AO6</f>
        <v>8.4757499999999997</v>
      </c>
      <c r="AQ6" s="250">
        <f t="shared" si="17"/>
        <v>8.4757499999999997</v>
      </c>
      <c r="AR6" s="251">
        <f t="shared" si="17"/>
        <v>8.4757499999999997</v>
      </c>
    </row>
    <row r="7" spans="1:44" x14ac:dyDescent="0.2">
      <c r="A7" s="248" t="s">
        <v>220</v>
      </c>
      <c r="B7" s="249"/>
      <c r="C7" s="249"/>
      <c r="D7" s="249"/>
      <c r="E7" s="249">
        <v>7.7557097115384597</v>
      </c>
      <c r="F7" s="249">
        <v>7.7998575757575743</v>
      </c>
      <c r="G7" s="249">
        <v>7.6914038461538459</v>
      </c>
      <c r="H7" s="249">
        <f t="shared" si="2"/>
        <v>7.7456307109557105</v>
      </c>
      <c r="I7" s="249">
        <v>7.807146153846154</v>
      </c>
      <c r="J7" s="249">
        <v>8.0877871212121217</v>
      </c>
      <c r="K7" s="249">
        <f t="shared" si="3"/>
        <v>7.9474666375291374</v>
      </c>
      <c r="L7" s="249">
        <f t="shared" si="0"/>
        <v>7.846548674242424</v>
      </c>
      <c r="M7" s="249">
        <v>7.9019992424242451</v>
      </c>
      <c r="N7" s="249">
        <v>7.8079742187500019</v>
      </c>
      <c r="O7" s="249">
        <f t="shared" si="4"/>
        <v>7.8549867305871235</v>
      </c>
      <c r="P7" s="249">
        <v>7.7845953846153835</v>
      </c>
      <c r="Q7" s="249">
        <v>7.6253477272727279</v>
      </c>
      <c r="R7" s="249">
        <f t="shared" si="5"/>
        <v>7.7049715559440557</v>
      </c>
      <c r="S7" s="249">
        <f t="shared" si="6"/>
        <v>7.7799791432655896</v>
      </c>
      <c r="T7" s="249">
        <v>7.309328030303031</v>
      </c>
      <c r="U7" s="249">
        <v>7.124408593750001</v>
      </c>
      <c r="V7" s="249">
        <f t="shared" si="7"/>
        <v>7.2168683120265165</v>
      </c>
      <c r="W7" s="249">
        <v>7.034897692307692</v>
      </c>
      <c r="X7" s="249">
        <v>6.8992590909090943</v>
      </c>
      <c r="Y7" s="249">
        <f t="shared" si="8"/>
        <v>6.9670783916083927</v>
      </c>
      <c r="Z7" s="249">
        <f t="shared" si="9"/>
        <v>7.0919733518174546</v>
      </c>
      <c r="AA7" s="249">
        <v>7.2660523076923091</v>
      </c>
      <c r="AB7" s="249">
        <v>7.3425430769230768</v>
      </c>
      <c r="AC7" s="249">
        <f t="shared" si="10"/>
        <v>7.304297692307693</v>
      </c>
      <c r="AD7" s="249">
        <v>7.6384600000000002</v>
      </c>
      <c r="AE7" s="249">
        <v>7.8846415384615369</v>
      </c>
      <c r="AF7" s="249">
        <f t="shared" si="11"/>
        <v>7.7615507692307686</v>
      </c>
      <c r="AG7" s="249">
        <f t="shared" si="12"/>
        <v>7.5329242307692308</v>
      </c>
      <c r="AH7" s="249">
        <v>7.7760292307692351</v>
      </c>
      <c r="AI7" s="249">
        <v>7.8025615384615365</v>
      </c>
      <c r="AJ7" s="249">
        <f t="shared" si="13"/>
        <v>7.7892953846153858</v>
      </c>
      <c r="AK7" s="151">
        <v>7.8134992307692315</v>
      </c>
      <c r="AL7" s="151">
        <v>7.8594499999999998</v>
      </c>
      <c r="AM7" s="281">
        <f t="shared" si="14"/>
        <v>7.8364746153846152</v>
      </c>
      <c r="AN7" s="281">
        <f t="shared" si="15"/>
        <v>7.8128850000000005</v>
      </c>
      <c r="AO7" s="250">
        <f t="shared" si="16"/>
        <v>7.8594499999999998</v>
      </c>
      <c r="AP7" s="250">
        <f t="shared" si="17"/>
        <v>7.8594499999999998</v>
      </c>
      <c r="AQ7" s="250">
        <f t="shared" si="17"/>
        <v>7.8594499999999998</v>
      </c>
      <c r="AR7" s="251">
        <f t="shared" si="17"/>
        <v>7.8594499999999998</v>
      </c>
    </row>
    <row r="8" spans="1:44" x14ac:dyDescent="0.2">
      <c r="A8" s="248" t="s">
        <v>221</v>
      </c>
      <c r="B8" s="249"/>
      <c r="C8" s="249"/>
      <c r="D8" s="249"/>
      <c r="E8" s="249">
        <v>124.27137210445805</v>
      </c>
      <c r="F8" s="249">
        <v>120.35045454545455</v>
      </c>
      <c r="G8" s="249">
        <v>120.20938461538462</v>
      </c>
      <c r="H8" s="249">
        <f t="shared" si="2"/>
        <v>120.27991958041959</v>
      </c>
      <c r="I8" s="249">
        <v>118.50015384615385</v>
      </c>
      <c r="J8" s="249">
        <v>124.08454545454548</v>
      </c>
      <c r="K8" s="249">
        <f t="shared" si="3"/>
        <v>121.29234965034966</v>
      </c>
      <c r="L8" s="249">
        <f t="shared" si="0"/>
        <v>120.78613461538463</v>
      </c>
      <c r="M8" s="249">
        <v>124.56060606060612</v>
      </c>
      <c r="N8" s="249">
        <v>127.77328125000001</v>
      </c>
      <c r="O8" s="249">
        <f t="shared" si="4"/>
        <v>126.16694365530307</v>
      </c>
      <c r="P8" s="249">
        <v>131.93323076923073</v>
      </c>
      <c r="Q8" s="249">
        <v>129.78272727272727</v>
      </c>
      <c r="R8" s="249">
        <f t="shared" si="5"/>
        <v>130.857979020979</v>
      </c>
      <c r="S8" s="249">
        <f t="shared" si="6"/>
        <v>128.51246133814104</v>
      </c>
      <c r="T8" s="249">
        <v>130.065</v>
      </c>
      <c r="U8" s="249">
        <v>130.44593750000001</v>
      </c>
      <c r="V8" s="249">
        <f t="shared" si="7"/>
        <v>130.25546875000001</v>
      </c>
      <c r="W8" s="249">
        <v>138.16461538461536</v>
      </c>
      <c r="X8" s="249">
        <v>139.33757575757576</v>
      </c>
      <c r="Y8" s="249">
        <f t="shared" si="8"/>
        <v>138.75109557109556</v>
      </c>
      <c r="Z8" s="249">
        <f t="shared" si="9"/>
        <v>134.50328216054777</v>
      </c>
      <c r="AA8" s="249">
        <v>144.26569230769232</v>
      </c>
      <c r="AB8" s="249">
        <v>142.13538461538454</v>
      </c>
      <c r="AC8" s="249">
        <f t="shared" si="10"/>
        <v>143.20053846153843</v>
      </c>
      <c r="AD8" s="249">
        <v>149.6543076923077</v>
      </c>
      <c r="AE8" s="249">
        <v>157.29123076923076</v>
      </c>
      <c r="AF8" s="249">
        <f t="shared" si="11"/>
        <v>153.47276923076925</v>
      </c>
      <c r="AG8" s="249">
        <f t="shared" si="12"/>
        <v>148.33665384615384</v>
      </c>
      <c r="AH8" s="249">
        <v>159.08061538461541</v>
      </c>
      <c r="AI8" s="249">
        <v>161.13692307692313</v>
      </c>
      <c r="AJ8" s="249">
        <f t="shared" si="13"/>
        <v>160.10876923076927</v>
      </c>
      <c r="AK8" s="151">
        <v>167.78015384615387</v>
      </c>
      <c r="AL8" s="151">
        <v>169.98</v>
      </c>
      <c r="AM8" s="281">
        <f t="shared" si="14"/>
        <v>168.88007692307693</v>
      </c>
      <c r="AN8" s="281">
        <f t="shared" si="15"/>
        <v>164.49442307692311</v>
      </c>
      <c r="AO8" s="250">
        <f t="shared" si="16"/>
        <v>169.98</v>
      </c>
      <c r="AP8" s="250">
        <f t="shared" si="17"/>
        <v>169.98</v>
      </c>
      <c r="AQ8" s="250">
        <f t="shared" si="17"/>
        <v>169.98</v>
      </c>
      <c r="AR8" s="251">
        <f t="shared" si="17"/>
        <v>169.98</v>
      </c>
    </row>
    <row r="9" spans="1:44" x14ac:dyDescent="0.2">
      <c r="A9" s="248" t="s">
        <v>222</v>
      </c>
      <c r="B9" s="249"/>
      <c r="C9" s="249"/>
      <c r="D9" s="249"/>
      <c r="E9" s="249">
        <v>73.834850509906758</v>
      </c>
      <c r="F9" s="249">
        <v>70.518416666666653</v>
      </c>
      <c r="G9" s="249">
        <v>73.750730769230771</v>
      </c>
      <c r="H9" s="249">
        <f t="shared" si="2"/>
        <v>72.134573717948712</v>
      </c>
      <c r="I9" s="249">
        <v>79.677050769230775</v>
      </c>
      <c r="J9" s="249">
        <v>86.300643939393936</v>
      </c>
      <c r="K9" s="249">
        <f t="shared" si="3"/>
        <v>82.988847354312355</v>
      </c>
      <c r="L9" s="249">
        <f t="shared" si="0"/>
        <v>77.561710536130533</v>
      </c>
      <c r="M9" s="249">
        <v>90.76925454545453</v>
      </c>
      <c r="N9" s="249">
        <v>89.672842187500009</v>
      </c>
      <c r="O9" s="249">
        <f t="shared" si="4"/>
        <v>90.221048366477277</v>
      </c>
      <c r="P9" s="249">
        <v>89.408090769230753</v>
      </c>
      <c r="Q9" s="249">
        <v>86.647804545454562</v>
      </c>
      <c r="R9" s="249">
        <f t="shared" si="5"/>
        <v>88.027947657342651</v>
      </c>
      <c r="S9" s="249">
        <f t="shared" si="6"/>
        <v>89.124498011909964</v>
      </c>
      <c r="T9" s="249">
        <v>83.149327272727263</v>
      </c>
      <c r="U9" s="249">
        <v>100.10616718750001</v>
      </c>
      <c r="V9" s="249">
        <f t="shared" si="7"/>
        <v>91.627747230113641</v>
      </c>
      <c r="W9" s="249">
        <v>71.756418461538473</v>
      </c>
      <c r="X9" s="249">
        <v>60.736309090909067</v>
      </c>
      <c r="Y9" s="249">
        <f t="shared" si="8"/>
        <v>66.246363776223774</v>
      </c>
      <c r="Z9" s="249">
        <f t="shared" si="9"/>
        <v>78.937055503168708</v>
      </c>
      <c r="AA9" s="249">
        <v>64.75209076923079</v>
      </c>
      <c r="AB9" s="249">
        <v>78.711446153846182</v>
      </c>
      <c r="AC9" s="249">
        <f t="shared" si="10"/>
        <v>71.731768461538479</v>
      </c>
      <c r="AD9" s="249">
        <v>88.711303076923059</v>
      </c>
      <c r="AE9" s="249">
        <v>102.71784461538459</v>
      </c>
      <c r="AF9" s="249">
        <f t="shared" si="11"/>
        <v>95.714573846153826</v>
      </c>
      <c r="AG9" s="249">
        <f t="shared" si="12"/>
        <v>83.723171153846152</v>
      </c>
      <c r="AH9" s="249">
        <v>99.944561538461556</v>
      </c>
      <c r="AI9" s="249">
        <v>98.785069230769238</v>
      </c>
      <c r="AJ9" s="249">
        <f t="shared" si="13"/>
        <v>99.364815384615397</v>
      </c>
      <c r="AK9" s="151">
        <v>98.80628923076921</v>
      </c>
      <c r="AL9" s="151">
        <v>97.984399999999994</v>
      </c>
      <c r="AM9" s="281">
        <f t="shared" si="14"/>
        <v>98.395344615384602</v>
      </c>
      <c r="AN9" s="281">
        <f t="shared" si="15"/>
        <v>98.880079999999992</v>
      </c>
      <c r="AO9" s="250">
        <f t="shared" si="16"/>
        <v>97.984399999999994</v>
      </c>
      <c r="AP9" s="250">
        <f t="shared" si="17"/>
        <v>97.984399999999994</v>
      </c>
      <c r="AQ9" s="250">
        <f t="shared" si="17"/>
        <v>97.984399999999994</v>
      </c>
      <c r="AR9" s="251">
        <f t="shared" si="17"/>
        <v>97.984399999999994</v>
      </c>
    </row>
    <row r="10" spans="1:44" x14ac:dyDescent="0.2">
      <c r="A10" s="248" t="s">
        <v>223</v>
      </c>
      <c r="B10" s="249"/>
      <c r="C10" s="249"/>
      <c r="D10" s="249"/>
      <c r="E10" s="249">
        <v>0.88391693017919604</v>
      </c>
      <c r="F10" s="249">
        <v>0.86039015151515175</v>
      </c>
      <c r="G10" s="249">
        <v>0.86197307692307712</v>
      </c>
      <c r="H10" s="249">
        <f t="shared" si="2"/>
        <v>0.86118161421911443</v>
      </c>
      <c r="I10" s="249">
        <v>0.88713230769230766</v>
      </c>
      <c r="J10" s="249">
        <v>0.90493636363636376</v>
      </c>
      <c r="K10" s="249">
        <f t="shared" si="3"/>
        <v>0.89603433566433566</v>
      </c>
      <c r="L10" s="249">
        <f t="shared" si="0"/>
        <v>0.87860797494172505</v>
      </c>
      <c r="M10" s="249">
        <v>0.90284999999999982</v>
      </c>
      <c r="N10" s="249">
        <v>0.87399140625000027</v>
      </c>
      <c r="O10" s="249">
        <f t="shared" si="4"/>
        <v>0.88842070312499999</v>
      </c>
      <c r="P10" s="249">
        <v>0.86188846153846133</v>
      </c>
      <c r="Q10" s="249">
        <v>0.85548712121212123</v>
      </c>
      <c r="R10" s="249">
        <f t="shared" si="5"/>
        <v>0.85868779137529128</v>
      </c>
      <c r="S10" s="249">
        <f t="shared" si="6"/>
        <v>0.87355424725014563</v>
      </c>
      <c r="T10" s="249">
        <v>0.84810530303030307</v>
      </c>
      <c r="U10" s="249">
        <v>0.83656937500000006</v>
      </c>
      <c r="V10" s="249">
        <f t="shared" si="7"/>
        <v>0.84233733901515162</v>
      </c>
      <c r="W10" s="249">
        <v>0.84801999999999988</v>
      </c>
      <c r="X10" s="249">
        <v>0.85614318181818172</v>
      </c>
      <c r="Y10" s="249">
        <f t="shared" si="8"/>
        <v>0.85208159090909086</v>
      </c>
      <c r="Z10" s="249">
        <f t="shared" si="9"/>
        <v>0.84720946496212124</v>
      </c>
      <c r="AA10" s="249">
        <v>0.86981000000000019</v>
      </c>
      <c r="AB10" s="249">
        <v>0.88310538461538457</v>
      </c>
      <c r="AC10" s="249">
        <f t="shared" si="10"/>
        <v>0.87645769230769233</v>
      </c>
      <c r="AD10" s="249">
        <v>0.86958153846153818</v>
      </c>
      <c r="AE10" s="249">
        <v>0.85962000000000016</v>
      </c>
      <c r="AF10" s="249">
        <f t="shared" si="11"/>
        <v>0.86460076923076912</v>
      </c>
      <c r="AG10" s="249">
        <f t="shared" si="12"/>
        <v>0.87052923076923072</v>
      </c>
      <c r="AH10" s="249">
        <v>0.8668315384615386</v>
      </c>
      <c r="AI10" s="249">
        <v>0.85615153846153846</v>
      </c>
      <c r="AJ10" s="249">
        <f t="shared" si="13"/>
        <v>0.86149153846153848</v>
      </c>
      <c r="AK10" s="151">
        <v>0.85564107692307689</v>
      </c>
      <c r="AL10" s="151">
        <v>0.85365000000000002</v>
      </c>
      <c r="AM10" s="281">
        <f t="shared" si="14"/>
        <v>0.85464553846153846</v>
      </c>
      <c r="AN10" s="281">
        <f t="shared" si="15"/>
        <v>0.85806853846153852</v>
      </c>
      <c r="AO10" s="250">
        <f t="shared" si="16"/>
        <v>0.85365000000000002</v>
      </c>
      <c r="AP10" s="250">
        <f t="shared" si="17"/>
        <v>0.85365000000000002</v>
      </c>
      <c r="AQ10" s="250">
        <f t="shared" si="17"/>
        <v>0.85365000000000002</v>
      </c>
      <c r="AR10" s="251">
        <f t="shared" si="17"/>
        <v>0.85365000000000002</v>
      </c>
    </row>
    <row r="11" spans="1:44" x14ac:dyDescent="0.2">
      <c r="A11" s="248" t="s">
        <v>224</v>
      </c>
      <c r="B11" s="249"/>
      <c r="C11" s="249"/>
      <c r="D11" s="249"/>
      <c r="E11" s="249">
        <v>4.1436454843203681</v>
      </c>
      <c r="F11" s="249">
        <v>4.0668893939393937</v>
      </c>
      <c r="G11" s="249">
        <v>4.0485423076923075</v>
      </c>
      <c r="H11" s="249">
        <f t="shared" si="2"/>
        <v>4.0577158508158506</v>
      </c>
      <c r="I11" s="249">
        <v>4.0458592307692305</v>
      </c>
      <c r="J11" s="249">
        <v>4.2944909090909089</v>
      </c>
      <c r="K11" s="249">
        <f t="shared" si="3"/>
        <v>4.1701750699300693</v>
      </c>
      <c r="L11" s="249">
        <f t="shared" si="0"/>
        <v>4.1139454603729604</v>
      </c>
      <c r="M11" s="249">
        <v>4.3815977272727276</v>
      </c>
      <c r="N11" s="249">
        <v>4.4259195312500008</v>
      </c>
      <c r="O11" s="249">
        <f t="shared" si="4"/>
        <v>4.4037586292613646</v>
      </c>
      <c r="P11" s="249">
        <v>4.4272461538461538</v>
      </c>
      <c r="Q11" s="249">
        <v>4.3297484848484826</v>
      </c>
      <c r="R11" s="249">
        <f t="shared" si="5"/>
        <v>4.3784973193473178</v>
      </c>
      <c r="S11" s="249">
        <f t="shared" si="6"/>
        <v>4.3911279743043412</v>
      </c>
      <c r="T11" s="249">
        <v>4.1991295454545456</v>
      </c>
      <c r="U11" s="249">
        <v>4.1217085937499993</v>
      </c>
      <c r="V11" s="249">
        <f t="shared" si="7"/>
        <v>4.1604190696022725</v>
      </c>
      <c r="W11" s="249">
        <v>3.9106992307692319</v>
      </c>
      <c r="X11" s="249">
        <v>3.6988393939393944</v>
      </c>
      <c r="Y11" s="249">
        <f t="shared" si="8"/>
        <v>3.8047693123543134</v>
      </c>
      <c r="Z11" s="249">
        <f t="shared" si="9"/>
        <v>3.9825941909782929</v>
      </c>
      <c r="AA11" s="249">
        <v>3.7528684615384602</v>
      </c>
      <c r="AB11" s="249">
        <v>3.9408646153846156</v>
      </c>
      <c r="AC11" s="249">
        <f t="shared" si="10"/>
        <v>3.8468665384615379</v>
      </c>
      <c r="AD11" s="249">
        <v>3.997593076923077</v>
      </c>
      <c r="AE11" s="249">
        <v>3.9967215384615384</v>
      </c>
      <c r="AF11" s="249">
        <f t="shared" si="11"/>
        <v>3.9971573076923077</v>
      </c>
      <c r="AG11" s="249">
        <f t="shared" si="12"/>
        <v>3.9220119230769228</v>
      </c>
      <c r="AH11" s="249">
        <v>3.952341538461539</v>
      </c>
      <c r="AI11" s="249">
        <v>3.9872200000000002</v>
      </c>
      <c r="AJ11" s="249">
        <f t="shared" si="13"/>
        <v>3.9697807692307698</v>
      </c>
      <c r="AK11" s="151">
        <v>3.966048461538461</v>
      </c>
      <c r="AL11" s="151">
        <v>3.9887999999999999</v>
      </c>
      <c r="AM11" s="281">
        <f t="shared" si="14"/>
        <v>3.9774242307692305</v>
      </c>
      <c r="AN11" s="281">
        <f t="shared" si="15"/>
        <v>3.9736025000000001</v>
      </c>
      <c r="AO11" s="250">
        <f t="shared" si="16"/>
        <v>3.9887999999999999</v>
      </c>
      <c r="AP11" s="250">
        <f t="shared" si="17"/>
        <v>3.9887999999999999</v>
      </c>
      <c r="AQ11" s="250">
        <f t="shared" si="17"/>
        <v>3.9887999999999999</v>
      </c>
      <c r="AR11" s="251">
        <f t="shared" si="17"/>
        <v>3.9887999999999999</v>
      </c>
    </row>
    <row r="12" spans="1:44" x14ac:dyDescent="0.2">
      <c r="A12" s="248" t="s">
        <v>225</v>
      </c>
      <c r="B12" s="249"/>
      <c r="C12" s="249"/>
      <c r="D12" s="249"/>
      <c r="E12" s="249">
        <v>1.122839162751311</v>
      </c>
      <c r="F12" s="249">
        <v>1.095787878787879</v>
      </c>
      <c r="G12" s="249">
        <v>1.067145384615384</v>
      </c>
      <c r="H12" s="249">
        <f t="shared" si="2"/>
        <v>1.0814666317016315</v>
      </c>
      <c r="I12" s="249">
        <v>1.0611599999999999</v>
      </c>
      <c r="J12" s="249">
        <v>1.0752325757575754</v>
      </c>
      <c r="K12" s="249">
        <f t="shared" si="3"/>
        <v>1.0681962878787876</v>
      </c>
      <c r="L12" s="249">
        <f t="shared" si="0"/>
        <v>1.0748314597902096</v>
      </c>
      <c r="M12" s="249">
        <v>1.0777280303030301</v>
      </c>
      <c r="N12" s="249">
        <v>1.0910593749999999</v>
      </c>
      <c r="O12" s="249">
        <f t="shared" si="4"/>
        <v>1.0843937026515151</v>
      </c>
      <c r="P12" s="249">
        <v>1.0977992307692312</v>
      </c>
      <c r="Q12" s="249">
        <v>1.082344696969697</v>
      </c>
      <c r="R12" s="249">
        <f t="shared" si="5"/>
        <v>1.0900719638694643</v>
      </c>
      <c r="S12" s="249">
        <f t="shared" si="6"/>
        <v>1.0872328332604897</v>
      </c>
      <c r="T12" s="249">
        <v>1.0538613636363634</v>
      </c>
      <c r="U12" s="249">
        <v>1.0366523437500004</v>
      </c>
      <c r="V12" s="249">
        <f t="shared" si="7"/>
        <v>1.0452568536931819</v>
      </c>
      <c r="W12" s="249">
        <v>1.0270361538461539</v>
      </c>
      <c r="X12" s="249">
        <v>0.97340606060606061</v>
      </c>
      <c r="Y12" s="249">
        <f t="shared" si="8"/>
        <v>1.0002211072261074</v>
      </c>
      <c r="Z12" s="249">
        <f t="shared" si="9"/>
        <v>1.0227389804596445</v>
      </c>
      <c r="AA12" s="249">
        <v>0.98356692307692273</v>
      </c>
      <c r="AB12" s="249">
        <v>0.99266615384615398</v>
      </c>
      <c r="AC12" s="249">
        <f t="shared" si="10"/>
        <v>0.98811653846153835</v>
      </c>
      <c r="AD12" s="249">
        <v>0.97846999999999984</v>
      </c>
      <c r="AE12" s="249">
        <v>0.96113923076923058</v>
      </c>
      <c r="AF12" s="249">
        <f t="shared" si="11"/>
        <v>0.96980461538461515</v>
      </c>
      <c r="AG12" s="249">
        <f t="shared" si="12"/>
        <v>0.9789605769230767</v>
      </c>
      <c r="AH12" s="249">
        <v>0.95390076923076927</v>
      </c>
      <c r="AI12" s="249">
        <v>0.94903538461538428</v>
      </c>
      <c r="AJ12" s="249">
        <f t="shared" si="13"/>
        <v>0.95146807692307678</v>
      </c>
      <c r="AK12" s="151">
        <v>0.98171384615384616</v>
      </c>
      <c r="AL12" s="151">
        <v>0.98734999999999995</v>
      </c>
      <c r="AM12" s="281">
        <f t="shared" si="14"/>
        <v>0.98453192307692305</v>
      </c>
      <c r="AN12" s="281">
        <f t="shared" si="15"/>
        <v>0.96799999999999997</v>
      </c>
      <c r="AO12" s="250">
        <f t="shared" si="16"/>
        <v>0.98734999999999995</v>
      </c>
      <c r="AP12" s="250">
        <f t="shared" si="17"/>
        <v>0.98734999999999995</v>
      </c>
      <c r="AQ12" s="250">
        <f t="shared" si="17"/>
        <v>0.98734999999999995</v>
      </c>
      <c r="AR12" s="251">
        <f t="shared" si="17"/>
        <v>0.98734999999999995</v>
      </c>
    </row>
    <row r="13" spans="1:44" x14ac:dyDescent="0.2">
      <c r="A13" s="248" t="s">
        <v>226</v>
      </c>
      <c r="B13" s="249"/>
      <c r="C13" s="249"/>
      <c r="D13" s="249"/>
      <c r="E13" s="249">
        <v>7.4638473347355756</v>
      </c>
      <c r="F13" s="249">
        <v>7.4711848484848495</v>
      </c>
      <c r="G13" s="249">
        <v>7.4715546153846155</v>
      </c>
      <c r="H13" s="249">
        <f t="shared" si="2"/>
        <v>7.4713697319347325</v>
      </c>
      <c r="I13" s="249">
        <v>7.4580807692307696</v>
      </c>
      <c r="J13" s="249">
        <v>7.444725</v>
      </c>
      <c r="K13" s="249">
        <f t="shared" si="3"/>
        <v>7.4514028846153852</v>
      </c>
      <c r="L13" s="249">
        <f t="shared" si="0"/>
        <v>7.4613863082750589</v>
      </c>
      <c r="M13" s="249">
        <v>7.4430500000000004</v>
      </c>
      <c r="N13" s="249">
        <v>7.4372406250000003</v>
      </c>
      <c r="O13" s="249">
        <f t="shared" si="4"/>
        <v>7.4401453125000003</v>
      </c>
      <c r="P13" s="249">
        <v>7.4364946153846123</v>
      </c>
      <c r="Q13" s="249">
        <v>7.4366712121212144</v>
      </c>
      <c r="R13" s="249">
        <f t="shared" si="5"/>
        <v>7.4365829137529129</v>
      </c>
      <c r="S13" s="249">
        <f t="shared" si="6"/>
        <v>7.4383641131264566</v>
      </c>
      <c r="T13" s="249">
        <v>7.4376393939393921</v>
      </c>
      <c r="U13" s="249">
        <v>7.4405984375000012</v>
      </c>
      <c r="V13" s="249">
        <f t="shared" si="7"/>
        <v>7.4391189157196962</v>
      </c>
      <c r="W13" s="249">
        <v>7.4393599999999998</v>
      </c>
      <c r="X13" s="249">
        <v>7.439390151515151</v>
      </c>
      <c r="Y13" s="249">
        <f t="shared" si="8"/>
        <v>7.4393750757575754</v>
      </c>
      <c r="Z13" s="249">
        <f t="shared" si="9"/>
        <v>7.4392469957386353</v>
      </c>
      <c r="AA13" s="249">
        <v>7.4383992307692282</v>
      </c>
      <c r="AB13" s="249">
        <v>7.4431636363636331</v>
      </c>
      <c r="AC13" s="249">
        <f t="shared" si="10"/>
        <v>7.4407814335664302</v>
      </c>
      <c r="AD13" s="249">
        <v>7.4498623076923076</v>
      </c>
      <c r="AE13" s="249">
        <v>7.4531207692307708</v>
      </c>
      <c r="AF13" s="249">
        <f t="shared" si="11"/>
        <v>7.4514915384615392</v>
      </c>
      <c r="AG13" s="249">
        <f t="shared" si="12"/>
        <v>7.4461364860139847</v>
      </c>
      <c r="AH13" s="249">
        <v>7.4578130769230802</v>
      </c>
      <c r="AI13" s="249">
        <v>7.4559461538461571</v>
      </c>
      <c r="AJ13" s="249">
        <f t="shared" si="13"/>
        <v>7.4568796153846186</v>
      </c>
      <c r="AK13" s="151">
        <v>7.4605453846153855</v>
      </c>
      <c r="AL13" s="151">
        <v>7.4616499999999997</v>
      </c>
      <c r="AM13" s="281">
        <f t="shared" si="14"/>
        <v>7.4610976923076926</v>
      </c>
      <c r="AN13" s="281">
        <f t="shared" si="15"/>
        <v>7.4589886538461556</v>
      </c>
      <c r="AO13" s="250">
        <f t="shared" si="16"/>
        <v>7.4616499999999997</v>
      </c>
      <c r="AP13" s="250">
        <f t="shared" si="17"/>
        <v>7.4616499999999997</v>
      </c>
      <c r="AQ13" s="250">
        <f t="shared" si="17"/>
        <v>7.4616499999999997</v>
      </c>
      <c r="AR13" s="251">
        <f t="shared" si="17"/>
        <v>7.4616499999999997</v>
      </c>
    </row>
    <row r="14" spans="1:44" x14ac:dyDescent="0.2">
      <c r="A14" s="248" t="s">
        <v>227</v>
      </c>
      <c r="B14" s="249"/>
      <c r="C14" s="249"/>
      <c r="D14" s="249"/>
      <c r="E14" s="249">
        <v>4.3610367818800988</v>
      </c>
      <c r="F14" s="249">
        <v>4.5568449545454524</v>
      </c>
      <c r="G14" s="249">
        <v>4.910565261538463</v>
      </c>
      <c r="H14" s="249">
        <f t="shared" si="2"/>
        <v>4.7337051080419581</v>
      </c>
      <c r="I14" s="249">
        <v>5.9124900000000027</v>
      </c>
      <c r="J14" s="249">
        <v>6.2858143939393925</v>
      </c>
      <c r="K14" s="249">
        <f t="shared" si="3"/>
        <v>6.0991521969696976</v>
      </c>
      <c r="L14" s="249">
        <f t="shared" si="0"/>
        <v>5.4164286525058278</v>
      </c>
      <c r="M14" s="249">
        <v>6.434104545454546</v>
      </c>
      <c r="N14" s="249">
        <v>6.5961039062499989</v>
      </c>
      <c r="O14" s="249">
        <f t="shared" si="4"/>
        <v>6.5151042258522729</v>
      </c>
      <c r="P14" s="249">
        <v>6.3848138461538486</v>
      </c>
      <c r="Q14" s="249">
        <v>6.1609643939393939</v>
      </c>
      <c r="R14" s="249">
        <f t="shared" si="5"/>
        <v>6.2728891200466208</v>
      </c>
      <c r="S14" s="249">
        <f t="shared" si="6"/>
        <v>6.3939966729494468</v>
      </c>
      <c r="T14" s="249">
        <v>6.3819765151515142</v>
      </c>
      <c r="U14" s="249">
        <v>5.869327343750002</v>
      </c>
      <c r="V14" s="249">
        <f t="shared" si="7"/>
        <v>6.1256519294507576</v>
      </c>
      <c r="W14" s="249">
        <v>5.2387523076923079</v>
      </c>
      <c r="X14" s="249">
        <v>5.281115909090909</v>
      </c>
      <c r="Y14" s="249">
        <f t="shared" si="8"/>
        <v>5.259934108391608</v>
      </c>
      <c r="Z14" s="249">
        <f t="shared" si="9"/>
        <v>5.6927930189211828</v>
      </c>
      <c r="AA14" s="249">
        <v>5.3694530769230777</v>
      </c>
      <c r="AB14" s="249">
        <v>5.5733439393939381</v>
      </c>
      <c r="AC14" s="249">
        <f t="shared" si="10"/>
        <v>5.4713985081585079</v>
      </c>
      <c r="AD14" s="249">
        <v>5.3904176923076923</v>
      </c>
      <c r="AE14" s="249">
        <v>5.3113361538461543</v>
      </c>
      <c r="AF14" s="249">
        <f t="shared" si="11"/>
        <v>5.3508769230769229</v>
      </c>
      <c r="AG14" s="249">
        <f t="shared" si="12"/>
        <v>5.4111377156177154</v>
      </c>
      <c r="AH14" s="249">
        <v>5.330545384615383</v>
      </c>
      <c r="AI14" s="249">
        <v>5.3752561538461539</v>
      </c>
      <c r="AJ14" s="249">
        <f t="shared" si="13"/>
        <v>5.352900769230768</v>
      </c>
      <c r="AK14" s="151">
        <v>5.522178461538461</v>
      </c>
      <c r="AL14" s="151">
        <v>5.53925</v>
      </c>
      <c r="AM14" s="281">
        <f t="shared" si="14"/>
        <v>5.530714230769231</v>
      </c>
      <c r="AN14" s="281">
        <f t="shared" si="15"/>
        <v>5.4418074999999995</v>
      </c>
      <c r="AO14" s="250">
        <f t="shared" si="16"/>
        <v>5.53925</v>
      </c>
      <c r="AP14" s="250">
        <f t="shared" si="17"/>
        <v>5.53925</v>
      </c>
      <c r="AQ14" s="250">
        <f t="shared" si="17"/>
        <v>5.53925</v>
      </c>
      <c r="AR14" s="251">
        <f t="shared" si="17"/>
        <v>5.53925</v>
      </c>
    </row>
    <row r="15" spans="1:44" x14ac:dyDescent="0.2">
      <c r="A15" s="248" t="s">
        <v>228</v>
      </c>
      <c r="B15" s="249"/>
      <c r="C15" s="249"/>
      <c r="D15" s="249"/>
      <c r="E15" s="249">
        <v>79.689116726216483</v>
      </c>
      <c r="F15" s="249">
        <v>78.867128787878798</v>
      </c>
      <c r="G15" s="249">
        <v>79.840663076923065</v>
      </c>
      <c r="H15" s="249">
        <f t="shared" si="2"/>
        <v>79.353895932400931</v>
      </c>
      <c r="I15" s="249">
        <v>83.568872307692303</v>
      </c>
      <c r="J15" s="249">
        <v>86.948151515151551</v>
      </c>
      <c r="K15" s="249">
        <f t="shared" si="3"/>
        <v>85.25851191142192</v>
      </c>
      <c r="L15" s="249">
        <f t="shared" si="0"/>
        <v>82.306203921911418</v>
      </c>
      <c r="M15" s="249">
        <v>88.014251515151471</v>
      </c>
      <c r="N15" s="249">
        <v>87.836534375000028</v>
      </c>
      <c r="O15" s="249">
        <f t="shared" si="4"/>
        <v>87.925392945075743</v>
      </c>
      <c r="P15" s="249">
        <v>88.881216923076948</v>
      </c>
      <c r="Q15" s="249">
        <v>87.335106060606037</v>
      </c>
      <c r="R15" s="249">
        <f t="shared" si="5"/>
        <v>88.108161491841486</v>
      </c>
      <c r="S15" s="249">
        <f t="shared" si="6"/>
        <v>88.016777218458614</v>
      </c>
      <c r="T15" s="249">
        <v>85.681239393939393</v>
      </c>
      <c r="U15" s="249">
        <v>84.421935937499981</v>
      </c>
      <c r="V15" s="249">
        <f t="shared" si="7"/>
        <v>85.051587665719694</v>
      </c>
      <c r="W15" s="249">
        <v>82.178466153846202</v>
      </c>
      <c r="X15" s="249">
        <v>82.430924999999988</v>
      </c>
      <c r="Y15" s="249">
        <f t="shared" si="8"/>
        <v>82.304695576923095</v>
      </c>
      <c r="Z15" s="249">
        <f t="shared" si="9"/>
        <v>83.678141621321402</v>
      </c>
      <c r="AA15" s="249">
        <v>84.016104615384606</v>
      </c>
      <c r="AB15" s="249">
        <v>88.274412121212123</v>
      </c>
      <c r="AC15" s="249">
        <f t="shared" si="10"/>
        <v>86.145258368298357</v>
      </c>
      <c r="AD15" s="249">
        <v>89.459853846153806</v>
      </c>
      <c r="AE15" s="249">
        <v>89.954933846153878</v>
      </c>
      <c r="AF15" s="249">
        <f t="shared" si="11"/>
        <v>89.707393846153849</v>
      </c>
      <c r="AG15" s="249">
        <f t="shared" si="12"/>
        <v>87.926326107226103</v>
      </c>
      <c r="AH15" s="249">
        <v>89.60349076923076</v>
      </c>
      <c r="AI15" s="249">
        <v>90.154652307692331</v>
      </c>
      <c r="AJ15" s="249">
        <f t="shared" si="13"/>
        <v>89.879071538461545</v>
      </c>
      <c r="AK15" s="151">
        <v>90.02863538461537</v>
      </c>
      <c r="AL15" s="151">
        <v>90.475999999999999</v>
      </c>
      <c r="AM15" s="281">
        <f t="shared" si="14"/>
        <v>90.252317692307685</v>
      </c>
      <c r="AN15" s="281">
        <f t="shared" si="15"/>
        <v>90.065694615384615</v>
      </c>
      <c r="AO15" s="250">
        <f t="shared" si="16"/>
        <v>90.475999999999999</v>
      </c>
      <c r="AP15" s="250">
        <f t="shared" si="17"/>
        <v>90.475999999999999</v>
      </c>
      <c r="AQ15" s="250">
        <f t="shared" si="17"/>
        <v>90.475999999999999</v>
      </c>
      <c r="AR15" s="251">
        <f t="shared" si="17"/>
        <v>90.475999999999999</v>
      </c>
    </row>
    <row r="16" spans="1:44" x14ac:dyDescent="0.2">
      <c r="A16" s="248" t="s">
        <v>229</v>
      </c>
      <c r="B16" s="249"/>
      <c r="C16" s="249"/>
      <c r="D16" s="249"/>
      <c r="E16" s="249">
        <v>1.6030890074118589</v>
      </c>
      <c r="F16" s="249">
        <v>1.6197424242424243</v>
      </c>
      <c r="G16" s="249">
        <v>1.6781723076923081</v>
      </c>
      <c r="H16" s="249">
        <f t="shared" si="2"/>
        <v>1.6489573659673662</v>
      </c>
      <c r="I16" s="249">
        <v>1.6763292307692306</v>
      </c>
      <c r="J16" s="249">
        <v>1.6346416666666663</v>
      </c>
      <c r="K16" s="249">
        <f t="shared" si="3"/>
        <v>1.6554854487179484</v>
      </c>
      <c r="L16" s="249">
        <f t="shared" si="0"/>
        <v>1.6522214073426573</v>
      </c>
      <c r="M16" s="249">
        <v>1.6306424242424244</v>
      </c>
      <c r="N16" s="249">
        <v>1.5595023437499997</v>
      </c>
      <c r="O16" s="249">
        <f t="shared" si="4"/>
        <v>1.5950723839962122</v>
      </c>
      <c r="P16" s="249">
        <v>1.5649569230769236</v>
      </c>
      <c r="Q16" s="249">
        <v>1.6046386363636369</v>
      </c>
      <c r="R16" s="249">
        <f t="shared" si="5"/>
        <v>1.5847977797202804</v>
      </c>
      <c r="S16" s="249">
        <f t="shared" si="6"/>
        <v>1.5899350818582463</v>
      </c>
      <c r="T16" s="249">
        <v>1.5688143939393944</v>
      </c>
      <c r="U16" s="249">
        <v>1.5493546874999999</v>
      </c>
      <c r="V16" s="249">
        <f t="shared" si="7"/>
        <v>1.5590845407196972</v>
      </c>
      <c r="W16" s="249">
        <v>1.4913023076923073</v>
      </c>
      <c r="X16" s="249">
        <v>1.4741901515151516</v>
      </c>
      <c r="Y16" s="249">
        <f t="shared" si="8"/>
        <v>1.4827462296037295</v>
      </c>
      <c r="Z16" s="249">
        <f t="shared" si="9"/>
        <v>1.5209153851617132</v>
      </c>
      <c r="AA16" s="249">
        <v>1.5536984615384619</v>
      </c>
      <c r="AB16" s="249">
        <v>1.5701238461538458</v>
      </c>
      <c r="AC16" s="249">
        <f t="shared" si="10"/>
        <v>1.5619111538461539</v>
      </c>
      <c r="AD16" s="249">
        <v>1.6296469230769228</v>
      </c>
      <c r="AE16" s="249">
        <v>1.6619715384615386</v>
      </c>
      <c r="AF16" s="249">
        <f t="shared" si="11"/>
        <v>1.6458092307692307</v>
      </c>
      <c r="AG16" s="249">
        <f t="shared" si="12"/>
        <v>1.6038601923076923</v>
      </c>
      <c r="AH16" s="249">
        <v>1.6527599999999996</v>
      </c>
      <c r="AI16" s="249">
        <v>1.6505938461538463</v>
      </c>
      <c r="AJ16" s="249">
        <f t="shared" si="13"/>
        <v>1.651676923076923</v>
      </c>
      <c r="AK16" s="151">
        <v>1.6356146153846154</v>
      </c>
      <c r="AL16" s="151">
        <v>1.62805</v>
      </c>
      <c r="AM16" s="281">
        <f t="shared" si="14"/>
        <v>1.6318323076923078</v>
      </c>
      <c r="AN16" s="281">
        <f t="shared" si="15"/>
        <v>1.6417546153846154</v>
      </c>
      <c r="AO16" s="250">
        <f t="shared" si="16"/>
        <v>1.62805</v>
      </c>
      <c r="AP16" s="250">
        <f t="shared" si="17"/>
        <v>1.62805</v>
      </c>
      <c r="AQ16" s="250">
        <f t="shared" si="17"/>
        <v>1.62805</v>
      </c>
      <c r="AR16" s="251">
        <f t="shared" si="17"/>
        <v>1.62805</v>
      </c>
    </row>
    <row r="17" spans="1:44" x14ac:dyDescent="0.2">
      <c r="A17" s="248" t="s">
        <v>230</v>
      </c>
      <c r="B17" s="249"/>
      <c r="C17" s="249"/>
      <c r="D17" s="249"/>
      <c r="E17" s="249">
        <v>35.761425524657639</v>
      </c>
      <c r="F17" s="249">
        <v>33.514693939393929</v>
      </c>
      <c r="G17" s="249">
        <v>34.467020000000005</v>
      </c>
      <c r="H17" s="249">
        <f t="shared" si="2"/>
        <v>33.990856969696964</v>
      </c>
      <c r="I17" s="249">
        <v>35.192470769230773</v>
      </c>
      <c r="J17" s="249">
        <v>36.649937878787867</v>
      </c>
      <c r="K17" s="249">
        <f t="shared" si="3"/>
        <v>35.921204324009324</v>
      </c>
      <c r="L17" s="249">
        <f t="shared" si="0"/>
        <v>34.956030646853144</v>
      </c>
      <c r="M17" s="249">
        <v>36.480809090909091</v>
      </c>
      <c r="N17" s="249">
        <v>36.482229687500002</v>
      </c>
      <c r="O17" s="249">
        <f t="shared" si="4"/>
        <v>36.48151938920455</v>
      </c>
      <c r="P17" s="249">
        <v>37.800227692307686</v>
      </c>
      <c r="Q17" s="249">
        <v>38.823331818181828</v>
      </c>
      <c r="R17" s="249">
        <f t="shared" si="5"/>
        <v>38.311779755244757</v>
      </c>
      <c r="S17" s="249">
        <f t="shared" si="6"/>
        <v>37.396649572224653</v>
      </c>
      <c r="T17" s="249">
        <v>38.158627272727287</v>
      </c>
      <c r="U17" s="249">
        <v>37.090962499999996</v>
      </c>
      <c r="V17" s="249">
        <f t="shared" si="7"/>
        <v>37.624794886363645</v>
      </c>
      <c r="W17" s="249">
        <v>36.600986153846165</v>
      </c>
      <c r="X17" s="249">
        <v>36.664304545454563</v>
      </c>
      <c r="Y17" s="249">
        <f t="shared" si="8"/>
        <v>36.63264534965036</v>
      </c>
      <c r="Z17" s="249">
        <f t="shared" si="9"/>
        <v>37.128720118007003</v>
      </c>
      <c r="AA17" s="249">
        <v>37.103318461538457</v>
      </c>
      <c r="AB17" s="249">
        <v>36.420873846153832</v>
      </c>
      <c r="AC17" s="249">
        <f t="shared" si="10"/>
        <v>36.762096153846144</v>
      </c>
      <c r="AD17" s="249">
        <v>37.509066153846156</v>
      </c>
      <c r="AE17" s="249">
        <v>38.231983076923058</v>
      </c>
      <c r="AF17" s="249">
        <f t="shared" si="11"/>
        <v>37.87052461538461</v>
      </c>
      <c r="AG17" s="249">
        <f t="shared" si="12"/>
        <v>37.316310384615377</v>
      </c>
      <c r="AH17" s="249">
        <v>38.342626153846162</v>
      </c>
      <c r="AI17" s="249">
        <v>38.692260000000005</v>
      </c>
      <c r="AJ17" s="249">
        <f t="shared" si="13"/>
        <v>38.517443076923087</v>
      </c>
      <c r="AK17" s="151">
        <v>39.45563076923078</v>
      </c>
      <c r="AL17" s="151">
        <v>39.438099999999999</v>
      </c>
      <c r="AM17" s="281">
        <f t="shared" si="14"/>
        <v>39.446865384615393</v>
      </c>
      <c r="AN17" s="281">
        <f t="shared" si="15"/>
        <v>38.98215423076924</v>
      </c>
      <c r="AO17" s="250">
        <f t="shared" si="16"/>
        <v>39.438099999999999</v>
      </c>
      <c r="AP17" s="250">
        <f t="shared" si="17"/>
        <v>39.438099999999999</v>
      </c>
      <c r="AQ17" s="250">
        <f t="shared" si="17"/>
        <v>39.438099999999999</v>
      </c>
      <c r="AR17" s="251">
        <f t="shared" si="17"/>
        <v>39.438099999999999</v>
      </c>
    </row>
    <row r="18" spans="1:44" x14ac:dyDescent="0.2">
      <c r="A18" s="248" t="s">
        <v>231</v>
      </c>
      <c r="B18" s="249"/>
      <c r="C18" s="249"/>
      <c r="D18" s="249"/>
      <c r="E18" s="249">
        <v>1300.8893796237617</v>
      </c>
      <c r="F18" s="249">
        <v>1301.8608030303035</v>
      </c>
      <c r="G18" s="249">
        <v>1315.2373538461536</v>
      </c>
      <c r="H18" s="249">
        <f t="shared" si="2"/>
        <v>1308.5490784382287</v>
      </c>
      <c r="I18" s="249">
        <v>1344.0910923076924</v>
      </c>
      <c r="J18" s="249">
        <v>1388.4333181818179</v>
      </c>
      <c r="K18" s="249">
        <f t="shared" si="3"/>
        <v>1366.262205244755</v>
      </c>
      <c r="L18" s="249">
        <f t="shared" si="0"/>
        <v>1337.4056418414918</v>
      </c>
      <c r="M18" s="249">
        <v>1333.150651515152</v>
      </c>
      <c r="N18" s="249">
        <v>1342.3774999999996</v>
      </c>
      <c r="O18" s="249">
        <f t="shared" si="4"/>
        <v>1337.7640757575759</v>
      </c>
      <c r="P18" s="249">
        <v>1351.5550000000001</v>
      </c>
      <c r="Q18" s="249">
        <v>1366.3812121212127</v>
      </c>
      <c r="R18" s="249">
        <f t="shared" si="5"/>
        <v>1358.9681060606063</v>
      </c>
      <c r="S18" s="249">
        <f t="shared" si="6"/>
        <v>1348.3660909090911</v>
      </c>
      <c r="T18" s="249">
        <v>1352.8862727272722</v>
      </c>
      <c r="U18" s="249">
        <v>1352.7920468750001</v>
      </c>
      <c r="V18" s="249">
        <f t="shared" si="7"/>
        <v>1352.8391598011362</v>
      </c>
      <c r="W18" s="249">
        <v>1341.6956769230769</v>
      </c>
      <c r="X18" s="249">
        <v>1349.7414242424245</v>
      </c>
      <c r="Y18" s="249">
        <f t="shared" si="8"/>
        <v>1345.7185505827506</v>
      </c>
      <c r="Z18" s="249">
        <f t="shared" si="9"/>
        <v>1349.2788551919434</v>
      </c>
      <c r="AA18" s="249">
        <v>1385.5518615384617</v>
      </c>
      <c r="AB18" s="249">
        <v>1369.9364242424247</v>
      </c>
      <c r="AC18" s="249">
        <f t="shared" si="10"/>
        <v>1377.7441428904431</v>
      </c>
      <c r="AD18" s="249">
        <v>1432.2529076923074</v>
      </c>
      <c r="AE18" s="249">
        <v>1428.4873538461541</v>
      </c>
      <c r="AF18" s="249">
        <f t="shared" si="11"/>
        <v>1430.3701307692309</v>
      </c>
      <c r="AG18" s="249">
        <f t="shared" si="12"/>
        <v>1404.057136829837</v>
      </c>
      <c r="AH18" s="249">
        <v>1421.4555846153849</v>
      </c>
      <c r="AI18" s="249">
        <v>1442.4656769230762</v>
      </c>
      <c r="AJ18" s="249">
        <f t="shared" si="13"/>
        <v>1431.9606307692306</v>
      </c>
      <c r="AK18" s="151">
        <v>1474.3587076923077</v>
      </c>
      <c r="AL18" s="151">
        <v>1480.5440000000001</v>
      </c>
      <c r="AM18" s="281">
        <f t="shared" si="14"/>
        <v>1477.4513538461538</v>
      </c>
      <c r="AN18" s="281">
        <f t="shared" si="15"/>
        <v>1454.7059923076922</v>
      </c>
      <c r="AO18" s="250">
        <f t="shared" si="16"/>
        <v>1480.5440000000001</v>
      </c>
      <c r="AP18" s="250">
        <f t="shared" si="17"/>
        <v>1480.5440000000001</v>
      </c>
      <c r="AQ18" s="250">
        <f t="shared" si="17"/>
        <v>1480.5440000000001</v>
      </c>
      <c r="AR18" s="251">
        <f t="shared" si="17"/>
        <v>1480.5440000000001</v>
      </c>
    </row>
    <row r="19" spans="1:44" x14ac:dyDescent="0.2">
      <c r="A19" s="252" t="s">
        <v>232</v>
      </c>
      <c r="B19" s="253"/>
      <c r="C19" s="253"/>
      <c r="D19" s="253"/>
      <c r="E19" s="254">
        <v>1.4969486590038317</v>
      </c>
      <c r="F19" s="254">
        <v>1.4613516666666668</v>
      </c>
      <c r="G19" s="254">
        <v>1.4818387692307695</v>
      </c>
      <c r="H19" s="254">
        <f t="shared" si="2"/>
        <v>1.4715952179487182</v>
      </c>
      <c r="I19" s="254">
        <v>1.5255583076923076</v>
      </c>
      <c r="J19" s="254">
        <v>1.5572286363636365</v>
      </c>
      <c r="K19" s="254">
        <f t="shared" si="3"/>
        <v>1.5413934720279721</v>
      </c>
      <c r="L19" s="254">
        <f t="shared" si="0"/>
        <v>1.506494344988345</v>
      </c>
      <c r="M19" s="254">
        <v>1.5538877272727274</v>
      </c>
      <c r="N19" s="254">
        <v>1.5256168749999999</v>
      </c>
      <c r="O19" s="254">
        <f t="shared" si="4"/>
        <v>1.5397523011363636</v>
      </c>
      <c r="P19" s="254">
        <v>1.4802787692307691</v>
      </c>
      <c r="Q19" s="254">
        <v>1.4846745454545454</v>
      </c>
      <c r="R19" s="254">
        <f t="shared" si="5"/>
        <v>1.4824766573426573</v>
      </c>
      <c r="S19" s="254">
        <f t="shared" si="6"/>
        <v>1.5111144792395104</v>
      </c>
      <c r="T19" s="254">
        <v>1.4535355681818183</v>
      </c>
      <c r="U19" s="254">
        <v>1.4207098437500001</v>
      </c>
      <c r="V19" s="254">
        <f t="shared" si="7"/>
        <v>1.4371227059659093</v>
      </c>
      <c r="W19" s="254">
        <v>1.3590318461538466</v>
      </c>
      <c r="X19" s="254">
        <v>1.3146854545454543</v>
      </c>
      <c r="Y19" s="254">
        <f t="shared" si="8"/>
        <v>1.3368586503496505</v>
      </c>
      <c r="Z19" s="254">
        <f t="shared" si="9"/>
        <v>1.3869906781577799</v>
      </c>
      <c r="AA19" s="254">
        <v>1.3869413846153846</v>
      </c>
      <c r="AB19" s="254">
        <v>1.4512192307692304</v>
      </c>
      <c r="AC19" s="254">
        <f t="shared" si="10"/>
        <v>1.4190803076923075</v>
      </c>
      <c r="AD19" s="254">
        <v>1.4621187692307691</v>
      </c>
      <c r="AE19" s="254">
        <v>1.4592438461538459</v>
      </c>
      <c r="AF19" s="254">
        <f>AVERAGE(AD19,AE19)</f>
        <v>1.4606813076923075</v>
      </c>
      <c r="AG19" s="254">
        <f t="shared" si="12"/>
        <v>1.4398808076923075</v>
      </c>
      <c r="AH19" s="254">
        <v>1.4648599999999998</v>
      </c>
      <c r="AI19" s="254">
        <v>1.4635838461538462</v>
      </c>
      <c r="AJ19" s="254">
        <f t="shared" si="13"/>
        <v>1.4642219230769231</v>
      </c>
      <c r="AK19" s="151">
        <v>1.4747699999999999</v>
      </c>
      <c r="AL19" s="151">
        <v>1.48125</v>
      </c>
      <c r="AM19" s="282">
        <f t="shared" si="14"/>
        <v>1.4780099999999998</v>
      </c>
      <c r="AN19" s="282">
        <f t="shared" si="15"/>
        <v>1.4711159615384615</v>
      </c>
      <c r="AO19" s="255">
        <f t="shared" si="16"/>
        <v>1.48125</v>
      </c>
      <c r="AP19" s="255">
        <f t="shared" si="17"/>
        <v>1.48125</v>
      </c>
      <c r="AQ19" s="255">
        <f t="shared" si="17"/>
        <v>1.48125</v>
      </c>
      <c r="AR19" s="256">
        <f t="shared" si="17"/>
        <v>1.48125</v>
      </c>
    </row>
    <row r="20" spans="1:44" ht="16" x14ac:dyDescent="0.2">
      <c r="A20" s="270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BADD-D875-8E43-8081-6755D9673E1E}">
  <dimension ref="B3:L267"/>
  <sheetViews>
    <sheetView zoomScale="106" workbookViewId="0">
      <selection activeCell="H3" sqref="H3"/>
    </sheetView>
  </sheetViews>
  <sheetFormatPr baseColWidth="10" defaultColWidth="10.6640625" defaultRowHeight="16" x14ac:dyDescent="0.2"/>
  <cols>
    <col min="12" max="12" width="14" bestFit="1" customWidth="1"/>
  </cols>
  <sheetData>
    <row r="3" spans="2:12" x14ac:dyDescent="0.2">
      <c r="B3" s="264" t="s">
        <v>281</v>
      </c>
      <c r="C3" s="101" t="s">
        <v>282</v>
      </c>
    </row>
    <row r="4" spans="2:12" x14ac:dyDescent="0.2">
      <c r="B4" s="265">
        <v>45219</v>
      </c>
      <c r="C4" s="266">
        <v>45595</v>
      </c>
    </row>
    <row r="7" spans="2:12" x14ac:dyDescent="0.2">
      <c r="B7" s="261" t="str" cm="1">
        <f t="array" aca="1" ref="B7:C266" ca="1">_xlfn.STOCKHISTORY(B3, B4, C4, 0, 1, 0, 1)</f>
        <v>Date</v>
      </c>
      <c r="C7" s="262" t="str">
        <f ca="1"/>
        <v>Close</v>
      </c>
      <c r="D7" s="262"/>
      <c r="E7" s="262"/>
      <c r="F7" s="262" t="str" cm="1">
        <f t="array" aca="1" ref="F7:G266" ca="1">_xlfn.STOCKHISTORY(C3, B4, C4, 0, 1, 0, 1)</f>
        <v>Date</v>
      </c>
      <c r="G7" s="262" t="str">
        <f ca="1"/>
        <v>Close</v>
      </c>
      <c r="H7" s="262"/>
      <c r="I7" s="262"/>
      <c r="J7" s="262" t="s">
        <v>283</v>
      </c>
      <c r="K7" s="262" t="s">
        <v>281</v>
      </c>
      <c r="L7" s="263" t="s">
        <v>325</v>
      </c>
    </row>
    <row r="8" spans="2:12" x14ac:dyDescent="0.2">
      <c r="B8" s="48" vm="1">
        <f ca="1"/>
        <v>45219</v>
      </c>
      <c r="C8" vm="2">
        <f ca="1"/>
        <v>38.700000000000003</v>
      </c>
      <c r="D8">
        <v>38.700000000000003</v>
      </c>
      <c r="F8" vm="1">
        <f ca="1"/>
        <v>45219</v>
      </c>
      <c r="G8" vm="3">
        <f ca="1"/>
        <v>386.99</v>
      </c>
      <c r="H8">
        <f ca="1">G8/$G$8 * $C$8</f>
        <v>38.700000000000003</v>
      </c>
      <c r="J8" vm="1">
        <v>45219</v>
      </c>
      <c r="K8" vm="2">
        <v>38.700000000000003</v>
      </c>
      <c r="L8" s="1">
        <v>38.700000000000003</v>
      </c>
    </row>
    <row r="9" spans="2:12" x14ac:dyDescent="0.2">
      <c r="B9" s="48" vm="4">
        <f ca="1"/>
        <v>45222</v>
      </c>
      <c r="C9" vm="5">
        <f ca="1"/>
        <v>38.82</v>
      </c>
      <c r="D9">
        <v>38.631998242848653</v>
      </c>
      <c r="F9" vm="4">
        <f ca="1"/>
        <v>45222</v>
      </c>
      <c r="G9" vm="6">
        <f ca="1"/>
        <v>386.31</v>
      </c>
      <c r="H9">
        <f t="shared" ref="H9:H72" ca="1" si="0">G9/$G$8 * $C$8</f>
        <v>38.631998242848653</v>
      </c>
      <c r="J9" vm="4">
        <v>45222</v>
      </c>
      <c r="K9" vm="5">
        <v>38.82</v>
      </c>
      <c r="L9" s="1">
        <v>38.631998242848653</v>
      </c>
    </row>
    <row r="10" spans="2:12" x14ac:dyDescent="0.2">
      <c r="B10" s="48" vm="7">
        <f ca="1"/>
        <v>45223</v>
      </c>
      <c r="C10" vm="5">
        <f ca="1"/>
        <v>38.82</v>
      </c>
      <c r="D10">
        <v>38.921005710741881</v>
      </c>
      <c r="F10" vm="7">
        <f ca="1"/>
        <v>45223</v>
      </c>
      <c r="G10" vm="8">
        <f ca="1"/>
        <v>389.2</v>
      </c>
      <c r="H10">
        <f t="shared" ca="1" si="0"/>
        <v>38.921005710741881</v>
      </c>
      <c r="J10" vm="7">
        <v>45223</v>
      </c>
      <c r="K10" vm="5">
        <v>38.82</v>
      </c>
      <c r="L10" s="1">
        <v>38.921005710741881</v>
      </c>
    </row>
    <row r="11" spans="2:12" x14ac:dyDescent="0.2">
      <c r="B11" s="48" vm="9">
        <f ca="1"/>
        <v>45224</v>
      </c>
      <c r="C11" vm="10">
        <f ca="1"/>
        <v>39.200000000000003</v>
      </c>
      <c r="D11">
        <v>38.371991524328791</v>
      </c>
      <c r="F11" vm="9">
        <f ca="1"/>
        <v>45224</v>
      </c>
      <c r="G11" vm="11">
        <f ca="1"/>
        <v>383.71</v>
      </c>
      <c r="H11">
        <f t="shared" ca="1" si="0"/>
        <v>38.371991524328791</v>
      </c>
      <c r="J11" vm="9">
        <v>45224</v>
      </c>
      <c r="K11" vm="10">
        <v>39.200000000000003</v>
      </c>
      <c r="L11" s="1">
        <v>38.371991524328791</v>
      </c>
    </row>
    <row r="12" spans="2:12" x14ac:dyDescent="0.2">
      <c r="B12" s="48" vm="12">
        <f ca="1"/>
        <v>45225</v>
      </c>
      <c r="C12" vm="13">
        <f ca="1"/>
        <v>38.549999999999997</v>
      </c>
      <c r="D12">
        <v>37.900979353471669</v>
      </c>
      <c r="F12" vm="12">
        <f ca="1"/>
        <v>45225</v>
      </c>
      <c r="G12" vm="14">
        <f ca="1"/>
        <v>379</v>
      </c>
      <c r="H12">
        <f t="shared" ca="1" si="0"/>
        <v>37.900979353471669</v>
      </c>
      <c r="J12" vm="12">
        <v>45225</v>
      </c>
      <c r="K12" vm="13">
        <v>38.549999999999997</v>
      </c>
      <c r="L12" s="1">
        <v>37.900979353471669</v>
      </c>
    </row>
    <row r="13" spans="2:12" x14ac:dyDescent="0.2">
      <c r="B13" s="48" vm="15">
        <f ca="1"/>
        <v>45226</v>
      </c>
      <c r="C13" vm="16">
        <f ca="1"/>
        <v>38.07</v>
      </c>
      <c r="D13">
        <v>37.732975012274224</v>
      </c>
      <c r="F13" vm="15">
        <f ca="1"/>
        <v>45226</v>
      </c>
      <c r="G13" vm="17">
        <f ca="1"/>
        <v>377.32</v>
      </c>
      <c r="H13">
        <f t="shared" ca="1" si="0"/>
        <v>37.732975012274224</v>
      </c>
      <c r="J13" vm="15">
        <v>45226</v>
      </c>
      <c r="K13" vm="16">
        <v>38.07</v>
      </c>
      <c r="L13" s="1">
        <v>37.732975012274224</v>
      </c>
    </row>
    <row r="14" spans="2:12" x14ac:dyDescent="0.2">
      <c r="B14" s="48" vm="18">
        <f ca="1"/>
        <v>45229</v>
      </c>
      <c r="C14" vm="19">
        <f ca="1"/>
        <v>38.54</v>
      </c>
      <c r="D14">
        <v>38.186986743843512</v>
      </c>
      <c r="F14" vm="18">
        <f ca="1"/>
        <v>45229</v>
      </c>
      <c r="G14" vm="20">
        <f ca="1"/>
        <v>381.86</v>
      </c>
      <c r="H14">
        <f t="shared" ca="1" si="0"/>
        <v>38.186986743843512</v>
      </c>
      <c r="J14" vm="18">
        <v>45229</v>
      </c>
      <c r="K14" vm="19">
        <v>38.54</v>
      </c>
      <c r="L14" s="1">
        <v>38.186986743843512</v>
      </c>
    </row>
    <row r="15" spans="2:12" x14ac:dyDescent="0.2">
      <c r="B15" s="48" vm="21">
        <f ca="1"/>
        <v>45230</v>
      </c>
      <c r="C15" vm="22">
        <f ca="1"/>
        <v>39.07</v>
      </c>
      <c r="D15">
        <v>38.417992712990007</v>
      </c>
      <c r="F15" vm="21">
        <f ca="1"/>
        <v>45230</v>
      </c>
      <c r="G15" vm="23">
        <f ca="1"/>
        <v>384.17</v>
      </c>
      <c r="H15">
        <f t="shared" ca="1" si="0"/>
        <v>38.417992712990007</v>
      </c>
      <c r="J15" vm="21">
        <v>45230</v>
      </c>
      <c r="K15" vm="22">
        <v>39.07</v>
      </c>
      <c r="L15" s="1">
        <v>38.417992712990007</v>
      </c>
    </row>
    <row r="16" spans="2:12" x14ac:dyDescent="0.2">
      <c r="B16" s="48" vm="24">
        <f ca="1"/>
        <v>45231</v>
      </c>
      <c r="C16" vm="25">
        <f ca="1"/>
        <v>38.5</v>
      </c>
      <c r="D16">
        <v>38.841003643504997</v>
      </c>
      <c r="F16" vm="24">
        <f ca="1"/>
        <v>45231</v>
      </c>
      <c r="G16" vm="26">
        <f ca="1"/>
        <v>388.4</v>
      </c>
      <c r="H16">
        <f t="shared" ca="1" si="0"/>
        <v>38.841003643504997</v>
      </c>
      <c r="J16" vm="24">
        <v>45231</v>
      </c>
      <c r="K16" vm="25">
        <v>38.5</v>
      </c>
      <c r="L16" s="1">
        <v>38.841003643504997</v>
      </c>
    </row>
    <row r="17" spans="2:12" x14ac:dyDescent="0.2">
      <c r="B17" s="48" vm="27">
        <f ca="1"/>
        <v>45232</v>
      </c>
      <c r="C17" vm="28">
        <f ca="1"/>
        <v>40.200000000000003</v>
      </c>
      <c r="D17">
        <v>39.579022713765212</v>
      </c>
      <c r="F17" vm="27">
        <f ca="1"/>
        <v>45232</v>
      </c>
      <c r="G17" vm="29">
        <f ca="1"/>
        <v>395.78</v>
      </c>
      <c r="H17">
        <f t="shared" ca="1" si="0"/>
        <v>39.579022713765212</v>
      </c>
      <c r="J17" vm="27">
        <v>45232</v>
      </c>
      <c r="K17" vm="28">
        <v>40.200000000000003</v>
      </c>
      <c r="L17" s="1">
        <v>39.579022713765212</v>
      </c>
    </row>
    <row r="18" spans="2:12" x14ac:dyDescent="0.2">
      <c r="B18" s="48" vm="30">
        <f ca="1"/>
        <v>45233</v>
      </c>
      <c r="C18" vm="31">
        <f ca="1"/>
        <v>41.16</v>
      </c>
      <c r="D18">
        <v>39.945032171373938</v>
      </c>
      <c r="F18" vm="30">
        <f ca="1"/>
        <v>45233</v>
      </c>
      <c r="G18" vm="32">
        <f ca="1"/>
        <v>399.44</v>
      </c>
      <c r="H18">
        <f t="shared" ca="1" si="0"/>
        <v>39.945032171373938</v>
      </c>
      <c r="J18" vm="30">
        <v>45233</v>
      </c>
      <c r="K18" vm="31">
        <v>41.16</v>
      </c>
      <c r="L18" s="1">
        <v>39.945032171373938</v>
      </c>
    </row>
    <row r="19" spans="2:12" x14ac:dyDescent="0.2">
      <c r="B19" s="48" vm="33">
        <f ca="1"/>
        <v>45236</v>
      </c>
      <c r="C19" vm="34">
        <f ca="1"/>
        <v>41.43</v>
      </c>
      <c r="D19">
        <v>40.022034161089429</v>
      </c>
      <c r="F19" vm="33">
        <f ca="1"/>
        <v>45236</v>
      </c>
      <c r="G19" vm="35">
        <f ca="1"/>
        <v>400.21</v>
      </c>
      <c r="H19">
        <f t="shared" ca="1" si="0"/>
        <v>40.022034161089429</v>
      </c>
      <c r="J19" vm="33">
        <v>45236</v>
      </c>
      <c r="K19" vm="34">
        <v>41.43</v>
      </c>
      <c r="L19" s="1">
        <v>40.022034161089429</v>
      </c>
    </row>
    <row r="20" spans="2:12" x14ac:dyDescent="0.2">
      <c r="B20" s="48" vm="36">
        <f ca="1"/>
        <v>45237</v>
      </c>
      <c r="C20" vm="37">
        <f ca="1"/>
        <v>42.22</v>
      </c>
      <c r="D20">
        <v>40.135037081061519</v>
      </c>
      <c r="F20" vm="36">
        <f ca="1"/>
        <v>45237</v>
      </c>
      <c r="G20" vm="38">
        <f ca="1"/>
        <v>401.34</v>
      </c>
      <c r="H20">
        <f t="shared" ca="1" si="0"/>
        <v>40.135037081061519</v>
      </c>
      <c r="J20" vm="36">
        <v>45237</v>
      </c>
      <c r="K20" vm="37">
        <v>42.22</v>
      </c>
      <c r="L20" s="1">
        <v>40.135037081061519</v>
      </c>
    </row>
    <row r="21" spans="2:12" x14ac:dyDescent="0.2">
      <c r="B21" s="48" vm="39">
        <f ca="1"/>
        <v>45238</v>
      </c>
      <c r="C21" vm="40">
        <f ca="1"/>
        <v>42.21</v>
      </c>
      <c r="D21">
        <v>40.168037933796747</v>
      </c>
      <c r="F21" vm="39">
        <f ca="1"/>
        <v>45238</v>
      </c>
      <c r="G21" vm="41">
        <f ca="1"/>
        <v>401.67</v>
      </c>
      <c r="H21">
        <f t="shared" ca="1" si="0"/>
        <v>40.168037933796747</v>
      </c>
      <c r="J21" vm="39">
        <v>45238</v>
      </c>
      <c r="K21" vm="40">
        <v>42.21</v>
      </c>
      <c r="L21" s="1">
        <v>40.168037933796747</v>
      </c>
    </row>
    <row r="22" spans="2:12" x14ac:dyDescent="0.2">
      <c r="B22" s="48" vm="42">
        <f ca="1"/>
        <v>45239</v>
      </c>
      <c r="C22" vm="43">
        <f ca="1"/>
        <v>39.9</v>
      </c>
      <c r="D22">
        <v>39.865030104137055</v>
      </c>
      <c r="F22" vm="42">
        <f ca="1"/>
        <v>45239</v>
      </c>
      <c r="G22" vm="44">
        <f ca="1"/>
        <v>398.64</v>
      </c>
      <c r="H22">
        <f t="shared" ca="1" si="0"/>
        <v>39.865030104137055</v>
      </c>
      <c r="J22" vm="42">
        <v>45239</v>
      </c>
      <c r="K22" vm="43">
        <v>39.9</v>
      </c>
      <c r="L22" s="1">
        <v>39.865030104137055</v>
      </c>
    </row>
    <row r="23" spans="2:12" x14ac:dyDescent="0.2">
      <c r="B23" s="48" vm="45">
        <f ca="1"/>
        <v>45240</v>
      </c>
      <c r="C23" vm="46">
        <f ca="1"/>
        <v>40.65</v>
      </c>
      <c r="D23">
        <v>40.487046176903796</v>
      </c>
      <c r="F23" vm="45">
        <f ca="1"/>
        <v>45240</v>
      </c>
      <c r="G23" vm="47">
        <f ca="1"/>
        <v>404.86</v>
      </c>
      <c r="H23">
        <f t="shared" ca="1" si="0"/>
        <v>40.487046176903796</v>
      </c>
      <c r="J23" vm="45">
        <v>45240</v>
      </c>
      <c r="K23" vm="46">
        <v>40.65</v>
      </c>
      <c r="L23" s="1">
        <v>40.487046176903796</v>
      </c>
    </row>
    <row r="24" spans="2:12" x14ac:dyDescent="0.2">
      <c r="B24" s="48" vm="48">
        <f ca="1"/>
        <v>45243</v>
      </c>
      <c r="C24" vm="49">
        <f ca="1"/>
        <v>39.840000000000003</v>
      </c>
      <c r="D24">
        <v>40.446045117444896</v>
      </c>
      <c r="F24" vm="48">
        <f ca="1"/>
        <v>45243</v>
      </c>
      <c r="G24" vm="50">
        <f ca="1"/>
        <v>404.45</v>
      </c>
      <c r="H24">
        <f t="shared" ca="1" si="0"/>
        <v>40.446045117444896</v>
      </c>
      <c r="J24" vm="48">
        <v>45243</v>
      </c>
      <c r="K24" vm="49">
        <v>39.840000000000003</v>
      </c>
      <c r="L24" s="1">
        <v>40.446045117444896</v>
      </c>
    </row>
    <row r="25" spans="2:12" x14ac:dyDescent="0.2">
      <c r="B25" s="48" vm="51">
        <f ca="1"/>
        <v>45244</v>
      </c>
      <c r="C25" vm="52">
        <f ca="1"/>
        <v>39.72</v>
      </c>
      <c r="D25">
        <v>41.223065195483095</v>
      </c>
      <c r="F25" vm="51">
        <f ca="1"/>
        <v>45244</v>
      </c>
      <c r="G25" vm="53">
        <f ca="1"/>
        <v>412.22</v>
      </c>
      <c r="H25">
        <f t="shared" ca="1" si="0"/>
        <v>41.223065195483095</v>
      </c>
      <c r="J25" vm="51">
        <v>45244</v>
      </c>
      <c r="K25" vm="52">
        <v>39.72</v>
      </c>
      <c r="L25" s="1">
        <v>41.223065195483095</v>
      </c>
    </row>
    <row r="26" spans="2:12" x14ac:dyDescent="0.2">
      <c r="B26" s="48" vm="54">
        <f ca="1"/>
        <v>45245</v>
      </c>
      <c r="C26" vm="55">
        <f ca="1"/>
        <v>41.22</v>
      </c>
      <c r="D26">
        <v>41.31306752112458</v>
      </c>
      <c r="F26" vm="54">
        <f ca="1"/>
        <v>45245</v>
      </c>
      <c r="G26" vm="56">
        <f ca="1"/>
        <v>413.12</v>
      </c>
      <c r="H26">
        <f t="shared" ca="1" si="0"/>
        <v>41.31306752112458</v>
      </c>
      <c r="J26" vm="54">
        <v>45245</v>
      </c>
      <c r="K26" vm="55">
        <v>41.22</v>
      </c>
      <c r="L26" s="1">
        <v>41.31306752112458</v>
      </c>
    </row>
    <row r="27" spans="2:12" x14ac:dyDescent="0.2">
      <c r="B27" s="48" vm="57">
        <f ca="1"/>
        <v>45246</v>
      </c>
      <c r="C27" vm="40">
        <f ca="1"/>
        <v>42.21</v>
      </c>
      <c r="D27">
        <v>41.371069019871321</v>
      </c>
      <c r="F27" vm="57">
        <f ca="1"/>
        <v>45246</v>
      </c>
      <c r="G27" vm="58">
        <f ca="1"/>
        <v>413.7</v>
      </c>
      <c r="H27">
        <f t="shared" ca="1" si="0"/>
        <v>41.371069019871321</v>
      </c>
      <c r="J27" vm="57">
        <v>45246</v>
      </c>
      <c r="K27" vm="40">
        <v>42.21</v>
      </c>
      <c r="L27" s="1">
        <v>41.371069019871321</v>
      </c>
    </row>
    <row r="28" spans="2:12" x14ac:dyDescent="0.2">
      <c r="B28" s="48" vm="59">
        <f ca="1"/>
        <v>45247</v>
      </c>
      <c r="C28" vm="60">
        <f ca="1"/>
        <v>41.79</v>
      </c>
      <c r="D28">
        <v>41.43207059613944</v>
      </c>
      <c r="F28" vm="59">
        <f ca="1"/>
        <v>45247</v>
      </c>
      <c r="G28" vm="61">
        <f ca="1"/>
        <v>414.31</v>
      </c>
      <c r="H28">
        <f t="shared" ca="1" si="0"/>
        <v>41.43207059613944</v>
      </c>
      <c r="J28" vm="59">
        <v>45247</v>
      </c>
      <c r="K28" vm="60">
        <v>41.79</v>
      </c>
      <c r="L28" s="1">
        <v>41.43207059613944</v>
      </c>
    </row>
    <row r="29" spans="2:12" x14ac:dyDescent="0.2">
      <c r="B29" s="48" vm="62">
        <f ca="1"/>
        <v>45250</v>
      </c>
      <c r="C29" vm="63">
        <f ca="1"/>
        <v>41.84</v>
      </c>
      <c r="D29">
        <v>41.744078658363271</v>
      </c>
      <c r="F29" vm="62">
        <f ca="1"/>
        <v>45250</v>
      </c>
      <c r="G29" vm="64">
        <f ca="1"/>
        <v>417.43</v>
      </c>
      <c r="H29">
        <f t="shared" ca="1" si="0"/>
        <v>41.744078658363271</v>
      </c>
      <c r="J29" vm="62">
        <v>45250</v>
      </c>
      <c r="K29" vm="63">
        <v>41.84</v>
      </c>
      <c r="L29" s="1">
        <v>41.744078658363271</v>
      </c>
    </row>
    <row r="30" spans="2:12" x14ac:dyDescent="0.2">
      <c r="B30" s="48" vm="65">
        <f ca="1"/>
        <v>45251</v>
      </c>
      <c r="C30" vm="66">
        <f ca="1"/>
        <v>43.4</v>
      </c>
      <c r="D30">
        <v>41.635075841753022</v>
      </c>
      <c r="F30" vm="65">
        <f ca="1"/>
        <v>45251</v>
      </c>
      <c r="G30" vm="67">
        <f ca="1"/>
        <v>416.34</v>
      </c>
      <c r="H30">
        <f t="shared" ca="1" si="0"/>
        <v>41.635075841753022</v>
      </c>
      <c r="J30" vm="65">
        <v>45251</v>
      </c>
      <c r="K30" vm="66">
        <v>43.4</v>
      </c>
      <c r="L30" s="1">
        <v>41.635075841753022</v>
      </c>
    </row>
    <row r="31" spans="2:12" x14ac:dyDescent="0.2">
      <c r="B31" s="48" vm="68">
        <f ca="1"/>
        <v>45252</v>
      </c>
      <c r="C31" vm="69">
        <f ca="1"/>
        <v>41.85</v>
      </c>
      <c r="D31">
        <v>41.815080493035993</v>
      </c>
      <c r="F31" vm="68">
        <f ca="1"/>
        <v>45252</v>
      </c>
      <c r="G31" vm="70">
        <f ca="1"/>
        <v>418.14</v>
      </c>
      <c r="H31">
        <f t="shared" ca="1" si="0"/>
        <v>41.815080493035993</v>
      </c>
      <c r="J31" vm="68">
        <v>45252</v>
      </c>
      <c r="K31" vm="69">
        <v>41.85</v>
      </c>
      <c r="L31" s="1">
        <v>41.815080493035993</v>
      </c>
    </row>
    <row r="32" spans="2:12" x14ac:dyDescent="0.2">
      <c r="B32" s="48" vm="71">
        <f ca="1"/>
        <v>45254</v>
      </c>
      <c r="C32" vm="72">
        <f ca="1"/>
        <v>42.14</v>
      </c>
      <c r="D32">
        <v>41.838081087366596</v>
      </c>
      <c r="F32" vm="71">
        <f ca="1"/>
        <v>45254</v>
      </c>
      <c r="G32" vm="73">
        <f ca="1"/>
        <v>418.37</v>
      </c>
      <c r="H32">
        <f t="shared" ca="1" si="0"/>
        <v>41.838081087366596</v>
      </c>
      <c r="J32" vm="71">
        <v>45254</v>
      </c>
      <c r="K32" vm="72">
        <v>42.14</v>
      </c>
      <c r="L32" s="1">
        <v>41.838081087366596</v>
      </c>
    </row>
    <row r="33" spans="2:12" x14ac:dyDescent="0.2">
      <c r="B33" s="48" vm="74">
        <f ca="1"/>
        <v>45257</v>
      </c>
      <c r="C33" vm="75">
        <f ca="1"/>
        <v>41.49</v>
      </c>
      <c r="D33">
        <v>41.765079201012952</v>
      </c>
      <c r="F33" vm="74">
        <f ca="1"/>
        <v>45257</v>
      </c>
      <c r="G33" vm="76">
        <f ca="1"/>
        <v>417.64</v>
      </c>
      <c r="H33">
        <f t="shared" ca="1" si="0"/>
        <v>41.765079201012952</v>
      </c>
      <c r="J33" vm="74">
        <v>45257</v>
      </c>
      <c r="K33" vm="75">
        <v>41.49</v>
      </c>
      <c r="L33" s="1">
        <v>41.765079201012952</v>
      </c>
    </row>
    <row r="34" spans="2:12" x14ac:dyDescent="0.2">
      <c r="B34" s="48" vm="77">
        <f ca="1"/>
        <v>45258</v>
      </c>
      <c r="C34" vm="78">
        <f ca="1"/>
        <v>45.38</v>
      </c>
      <c r="D34">
        <v>41.806080260471852</v>
      </c>
      <c r="F34" vm="77">
        <f ca="1"/>
        <v>45258</v>
      </c>
      <c r="G34" vm="79">
        <f ca="1"/>
        <v>418.05</v>
      </c>
      <c r="H34">
        <f t="shared" ca="1" si="0"/>
        <v>41.806080260471852</v>
      </c>
      <c r="J34" vm="77">
        <v>45258</v>
      </c>
      <c r="K34" vm="78">
        <v>45.38</v>
      </c>
      <c r="L34" s="1">
        <v>41.806080260471852</v>
      </c>
    </row>
    <row r="35" spans="2:12" x14ac:dyDescent="0.2">
      <c r="B35" s="48" vm="80">
        <f ca="1"/>
        <v>45259</v>
      </c>
      <c r="C35" vm="81">
        <f ca="1"/>
        <v>45.75</v>
      </c>
      <c r="D35">
        <v>41.779079562779401</v>
      </c>
      <c r="F35" vm="80">
        <f ca="1"/>
        <v>45259</v>
      </c>
      <c r="G35" vm="82">
        <f ca="1"/>
        <v>417.78</v>
      </c>
      <c r="H35">
        <f t="shared" ca="1" si="0"/>
        <v>41.779079562779401</v>
      </c>
      <c r="J35" vm="80">
        <v>45259</v>
      </c>
      <c r="K35" vm="81">
        <v>45.75</v>
      </c>
      <c r="L35" s="1">
        <v>41.779079562779401</v>
      </c>
    </row>
    <row r="36" spans="2:12" x14ac:dyDescent="0.2">
      <c r="B36" s="48" vm="83">
        <f ca="1"/>
        <v>45260</v>
      </c>
      <c r="C36" vm="84">
        <f ca="1"/>
        <v>46.15</v>
      </c>
      <c r="D36">
        <v>41.941083748934076</v>
      </c>
      <c r="F36" vm="83">
        <f ca="1"/>
        <v>45260</v>
      </c>
      <c r="G36" vm="85">
        <f ca="1"/>
        <v>419.4</v>
      </c>
      <c r="H36">
        <f t="shared" ca="1" si="0"/>
        <v>41.941083748934076</v>
      </c>
      <c r="J36" vm="83">
        <v>45260</v>
      </c>
      <c r="K36" vm="84">
        <v>46.15</v>
      </c>
      <c r="L36" s="1">
        <v>41.941083748934076</v>
      </c>
    </row>
    <row r="37" spans="2:12" x14ac:dyDescent="0.2">
      <c r="B37" s="48" vm="86">
        <f ca="1"/>
        <v>45261</v>
      </c>
      <c r="C37" vm="87">
        <f ca="1"/>
        <v>48.45</v>
      </c>
      <c r="D37">
        <v>42.187090105687489</v>
      </c>
      <c r="F37" vm="86">
        <f ca="1"/>
        <v>45261</v>
      </c>
      <c r="G37" vm="88">
        <f ca="1"/>
        <v>421.86</v>
      </c>
      <c r="H37">
        <f t="shared" ca="1" si="0"/>
        <v>42.187090105687489</v>
      </c>
      <c r="J37" vm="86">
        <v>45261</v>
      </c>
      <c r="K37" vm="87">
        <v>48.45</v>
      </c>
      <c r="L37" s="1">
        <v>42.187090105687489</v>
      </c>
    </row>
    <row r="38" spans="2:12" x14ac:dyDescent="0.2">
      <c r="B38" s="48" vm="89">
        <f ca="1"/>
        <v>45264</v>
      </c>
      <c r="C38" vm="90">
        <f ca="1"/>
        <v>48.68</v>
      </c>
      <c r="D38">
        <v>41.975084627509759</v>
      </c>
      <c r="F38" vm="89">
        <f ca="1"/>
        <v>45264</v>
      </c>
      <c r="G38" vm="91">
        <f ca="1"/>
        <v>419.74</v>
      </c>
      <c r="H38">
        <f t="shared" ca="1" si="0"/>
        <v>41.975084627509759</v>
      </c>
      <c r="J38" vm="89">
        <v>45264</v>
      </c>
      <c r="K38" vm="90">
        <v>48.68</v>
      </c>
      <c r="L38" s="1">
        <v>41.975084627509759</v>
      </c>
    </row>
    <row r="39" spans="2:12" x14ac:dyDescent="0.2">
      <c r="B39" s="48" vm="92">
        <f ca="1"/>
        <v>45265</v>
      </c>
      <c r="C39" vm="93">
        <f ca="1"/>
        <v>49.03</v>
      </c>
      <c r="D39">
        <v>41.962084291583764</v>
      </c>
      <c r="F39" vm="92">
        <f ca="1"/>
        <v>45265</v>
      </c>
      <c r="G39" vm="94">
        <f ca="1"/>
        <v>419.61</v>
      </c>
      <c r="H39">
        <f t="shared" ca="1" si="0"/>
        <v>41.962084291583764</v>
      </c>
      <c r="J39" vm="92">
        <v>45265</v>
      </c>
      <c r="K39" vm="93">
        <v>49.03</v>
      </c>
      <c r="L39" s="1">
        <v>41.962084291583764</v>
      </c>
    </row>
    <row r="40" spans="2:12" x14ac:dyDescent="0.2">
      <c r="B40" s="48" vm="95">
        <f ca="1"/>
        <v>45266</v>
      </c>
      <c r="C40" vm="96">
        <f ca="1"/>
        <v>47.17</v>
      </c>
      <c r="D40">
        <v>41.787079769503087</v>
      </c>
      <c r="F40" vm="95">
        <f ca="1"/>
        <v>45266</v>
      </c>
      <c r="G40" vm="97">
        <f ca="1"/>
        <v>417.86</v>
      </c>
      <c r="H40">
        <f t="shared" ca="1" si="0"/>
        <v>41.787079769503087</v>
      </c>
      <c r="J40" vm="95">
        <v>45266</v>
      </c>
      <c r="K40" vm="96">
        <v>47.17</v>
      </c>
      <c r="L40" s="1">
        <v>41.787079769503087</v>
      </c>
    </row>
    <row r="41" spans="2:12" x14ac:dyDescent="0.2">
      <c r="B41" s="48" vm="98">
        <f ca="1"/>
        <v>45267</v>
      </c>
      <c r="C41" vm="99">
        <f ca="1"/>
        <v>47.4</v>
      </c>
      <c r="D41">
        <v>42.114088219333837</v>
      </c>
      <c r="F41" vm="98">
        <f ca="1"/>
        <v>45267</v>
      </c>
      <c r="G41" vm="100">
        <f ca="1"/>
        <v>421.13</v>
      </c>
      <c r="H41">
        <f t="shared" ca="1" si="0"/>
        <v>42.114088219333837</v>
      </c>
      <c r="J41" vm="98">
        <v>45267</v>
      </c>
      <c r="K41" vm="99">
        <v>47.4</v>
      </c>
      <c r="L41" s="1">
        <v>42.114088219333837</v>
      </c>
    </row>
    <row r="42" spans="2:12" x14ac:dyDescent="0.2">
      <c r="B42" s="48" vm="101">
        <f ca="1"/>
        <v>45268</v>
      </c>
      <c r="C42" vm="102">
        <f ca="1"/>
        <v>47.91</v>
      </c>
      <c r="D42">
        <v>42.293092844776353</v>
      </c>
      <c r="F42" vm="101">
        <f ca="1"/>
        <v>45268</v>
      </c>
      <c r="G42" vm="103">
        <f ca="1"/>
        <v>422.92</v>
      </c>
      <c r="H42">
        <f t="shared" ca="1" si="0"/>
        <v>42.293092844776353</v>
      </c>
      <c r="J42" vm="101">
        <v>45268</v>
      </c>
      <c r="K42" vm="102">
        <v>47.91</v>
      </c>
      <c r="L42" s="1">
        <v>42.293092844776353</v>
      </c>
    </row>
    <row r="43" spans="2:12" x14ac:dyDescent="0.2">
      <c r="B43" s="48" vm="104">
        <f ca="1"/>
        <v>45271</v>
      </c>
      <c r="C43" vm="105">
        <f ca="1"/>
        <v>48.25</v>
      </c>
      <c r="D43">
        <v>42.457097082611959</v>
      </c>
      <c r="F43" vm="104">
        <f ca="1"/>
        <v>45271</v>
      </c>
      <c r="G43" vm="106">
        <f ca="1"/>
        <v>424.56</v>
      </c>
      <c r="H43">
        <f t="shared" ca="1" si="0"/>
        <v>42.457097082611959</v>
      </c>
      <c r="J43" vm="104">
        <v>45271</v>
      </c>
      <c r="K43" vm="105">
        <v>48.25</v>
      </c>
      <c r="L43" s="1">
        <v>42.457097082611959</v>
      </c>
    </row>
    <row r="44" spans="2:12" x14ac:dyDescent="0.2">
      <c r="B44" s="48" vm="107">
        <f ca="1"/>
        <v>45272</v>
      </c>
      <c r="C44" vm="108">
        <f ca="1"/>
        <v>48.76</v>
      </c>
      <c r="D44">
        <v>42.668102534949227</v>
      </c>
      <c r="F44" vm="107">
        <f ca="1"/>
        <v>45272</v>
      </c>
      <c r="G44" vm="109">
        <f ca="1"/>
        <v>426.67</v>
      </c>
      <c r="H44">
        <f t="shared" ca="1" si="0"/>
        <v>42.668102534949227</v>
      </c>
      <c r="J44" vm="107">
        <v>45272</v>
      </c>
      <c r="K44" vm="108">
        <v>48.76</v>
      </c>
      <c r="L44" s="1">
        <v>42.668102534949227</v>
      </c>
    </row>
    <row r="45" spans="2:12" x14ac:dyDescent="0.2">
      <c r="B45" s="48" vm="110">
        <f ca="1"/>
        <v>45273</v>
      </c>
      <c r="C45" vm="111">
        <f ca="1"/>
        <v>48.46</v>
      </c>
      <c r="D45">
        <v>43.249117548257061</v>
      </c>
      <c r="F45" vm="110">
        <f ca="1"/>
        <v>45273</v>
      </c>
      <c r="G45" vm="112">
        <f ca="1"/>
        <v>432.48</v>
      </c>
      <c r="H45">
        <f t="shared" ca="1" si="0"/>
        <v>43.249117548257061</v>
      </c>
      <c r="J45" vm="110">
        <v>45273</v>
      </c>
      <c r="K45" vm="111">
        <v>48.46</v>
      </c>
      <c r="L45" s="1">
        <v>43.249117548257061</v>
      </c>
    </row>
    <row r="46" spans="2:12" x14ac:dyDescent="0.2">
      <c r="B46" s="48" vm="113">
        <f ca="1"/>
        <v>45274</v>
      </c>
      <c r="C46" vm="114">
        <f ca="1"/>
        <v>49.98</v>
      </c>
      <c r="D46">
        <v>43.376120829995614</v>
      </c>
      <c r="F46" vm="113">
        <f ca="1"/>
        <v>45274</v>
      </c>
      <c r="G46" vm="115">
        <f ca="1"/>
        <v>433.75</v>
      </c>
      <c r="H46">
        <f t="shared" ca="1" si="0"/>
        <v>43.376120829995614</v>
      </c>
      <c r="J46" vm="113">
        <v>45274</v>
      </c>
      <c r="K46" vm="114">
        <v>49.98</v>
      </c>
      <c r="L46" s="1">
        <v>43.376120829995614</v>
      </c>
    </row>
    <row r="47" spans="2:12" x14ac:dyDescent="0.2">
      <c r="B47" s="48" vm="116">
        <f ca="1"/>
        <v>45275</v>
      </c>
      <c r="C47" vm="90">
        <f ca="1"/>
        <v>48.68</v>
      </c>
      <c r="D47">
        <v>43.31011912452518</v>
      </c>
      <c r="F47" vm="116">
        <f ca="1"/>
        <v>45275</v>
      </c>
      <c r="G47" vm="117">
        <f ca="1"/>
        <v>433.09</v>
      </c>
      <c r="H47">
        <f t="shared" ca="1" si="0"/>
        <v>43.31011912452518</v>
      </c>
      <c r="J47" vm="116">
        <v>45275</v>
      </c>
      <c r="K47" vm="90">
        <v>48.68</v>
      </c>
      <c r="L47" s="1">
        <v>43.31011912452518</v>
      </c>
    </row>
    <row r="48" spans="2:12" x14ac:dyDescent="0.2">
      <c r="B48" s="48" vm="118">
        <f ca="1"/>
        <v>45278</v>
      </c>
      <c r="C48" vm="119">
        <f ca="1"/>
        <v>48.7</v>
      </c>
      <c r="D48">
        <v>43.55512545543813</v>
      </c>
      <c r="F48" vm="118">
        <f ca="1"/>
        <v>45278</v>
      </c>
      <c r="G48" vm="120">
        <f ca="1"/>
        <v>435.54</v>
      </c>
      <c r="H48">
        <f t="shared" ca="1" si="0"/>
        <v>43.55512545543813</v>
      </c>
      <c r="J48" vm="118">
        <v>45278</v>
      </c>
      <c r="K48" vm="119">
        <v>48.7</v>
      </c>
      <c r="L48" s="1">
        <v>43.55512545543813</v>
      </c>
    </row>
    <row r="49" spans="2:12" x14ac:dyDescent="0.2">
      <c r="B49" s="48" vm="121">
        <f ca="1"/>
        <v>45279</v>
      </c>
      <c r="C49" vm="122">
        <f ca="1"/>
        <v>49.04</v>
      </c>
      <c r="D49">
        <v>43.820132303160293</v>
      </c>
      <c r="F49" vm="121">
        <f ca="1"/>
        <v>45279</v>
      </c>
      <c r="G49" vm="123">
        <f ca="1"/>
        <v>438.19</v>
      </c>
      <c r="H49">
        <f t="shared" ca="1" si="0"/>
        <v>43.820132303160293</v>
      </c>
      <c r="J49" vm="121">
        <v>45279</v>
      </c>
      <c r="K49" vm="122">
        <v>49.04</v>
      </c>
      <c r="L49" s="1">
        <v>43.820132303160293</v>
      </c>
    </row>
    <row r="50" spans="2:12" x14ac:dyDescent="0.2">
      <c r="B50" s="48" vm="124">
        <f ca="1"/>
        <v>45280</v>
      </c>
      <c r="C50" vm="125">
        <f ca="1"/>
        <v>47.75</v>
      </c>
      <c r="D50">
        <v>43.010111372386881</v>
      </c>
      <c r="F50" vm="124">
        <f ca="1"/>
        <v>45280</v>
      </c>
      <c r="G50" vm="126">
        <f ca="1"/>
        <v>430.09</v>
      </c>
      <c r="H50">
        <f t="shared" ca="1" si="0"/>
        <v>43.010111372386881</v>
      </c>
      <c r="J50" vm="124">
        <v>45280</v>
      </c>
      <c r="K50" vm="125">
        <v>47.75</v>
      </c>
      <c r="L50" s="1">
        <v>43.010111372386881</v>
      </c>
    </row>
    <row r="51" spans="2:12" x14ac:dyDescent="0.2">
      <c r="B51" s="48" vm="127">
        <f ca="1"/>
        <v>45281</v>
      </c>
      <c r="C51" vm="128">
        <f ca="1"/>
        <v>46.8</v>
      </c>
      <c r="D51">
        <v>43.429122199540039</v>
      </c>
      <c r="F51" vm="127">
        <f ca="1"/>
        <v>45281</v>
      </c>
      <c r="G51" vm="129">
        <f ca="1"/>
        <v>434.28</v>
      </c>
      <c r="H51">
        <f t="shared" ca="1" si="0"/>
        <v>43.429122199540039</v>
      </c>
      <c r="J51" vm="127">
        <v>45281</v>
      </c>
      <c r="K51" vm="128">
        <v>46.8</v>
      </c>
      <c r="L51" s="1">
        <v>43.429122199540039</v>
      </c>
    </row>
    <row r="52" spans="2:12" x14ac:dyDescent="0.2">
      <c r="B52" s="48" vm="130">
        <f ca="1"/>
        <v>45282</v>
      </c>
      <c r="C52" vm="131">
        <f ca="1"/>
        <v>46.31</v>
      </c>
      <c r="D52">
        <v>43.530124809426603</v>
      </c>
      <c r="F52" vm="130">
        <f ca="1"/>
        <v>45282</v>
      </c>
      <c r="G52" vm="132">
        <f ca="1"/>
        <v>435.29</v>
      </c>
      <c r="H52">
        <f t="shared" ca="1" si="0"/>
        <v>43.530124809426603</v>
      </c>
      <c r="J52" vm="130">
        <v>45282</v>
      </c>
      <c r="K52" vm="131">
        <v>46.31</v>
      </c>
      <c r="L52" s="1">
        <v>43.530124809426603</v>
      </c>
    </row>
    <row r="53" spans="2:12" x14ac:dyDescent="0.2">
      <c r="B53" s="48" vm="133">
        <f ca="1"/>
        <v>45286</v>
      </c>
      <c r="C53" vm="93">
        <f ca="1"/>
        <v>49.03</v>
      </c>
      <c r="D53">
        <v>43.71112948655005</v>
      </c>
      <c r="F53" vm="133">
        <f ca="1"/>
        <v>45286</v>
      </c>
      <c r="G53" vm="134">
        <f ca="1"/>
        <v>437.1</v>
      </c>
      <c r="H53">
        <f t="shared" ca="1" si="0"/>
        <v>43.71112948655005</v>
      </c>
      <c r="J53" vm="133">
        <v>45286</v>
      </c>
      <c r="K53" vm="93">
        <v>49.03</v>
      </c>
      <c r="L53" s="1">
        <v>43.71112948655005</v>
      </c>
    </row>
    <row r="54" spans="2:12" x14ac:dyDescent="0.2">
      <c r="B54" s="48" vm="135">
        <f ca="1"/>
        <v>45287</v>
      </c>
      <c r="C54" vm="136">
        <f ca="1"/>
        <v>50.06</v>
      </c>
      <c r="D54">
        <v>43.791131553786926</v>
      </c>
      <c r="F54" vm="135">
        <f ca="1"/>
        <v>45287</v>
      </c>
      <c r="G54" vm="137">
        <f ca="1"/>
        <v>437.9</v>
      </c>
      <c r="H54">
        <f t="shared" ca="1" si="0"/>
        <v>43.791131553786926</v>
      </c>
      <c r="J54" vm="135">
        <v>45287</v>
      </c>
      <c r="K54" vm="136">
        <v>50.06</v>
      </c>
      <c r="L54" s="1">
        <v>43.791131553786926</v>
      </c>
    </row>
    <row r="55" spans="2:12" x14ac:dyDescent="0.2">
      <c r="B55" s="48" vm="138">
        <f ca="1"/>
        <v>45288</v>
      </c>
      <c r="C55" vm="139">
        <f ca="1"/>
        <v>49.5</v>
      </c>
      <c r="D55">
        <v>43.79813173467015</v>
      </c>
      <c r="F55" vm="138">
        <f ca="1"/>
        <v>45288</v>
      </c>
      <c r="G55" vm="140">
        <f ca="1"/>
        <v>437.97</v>
      </c>
      <c r="H55">
        <f t="shared" ca="1" si="0"/>
        <v>43.79813173467015</v>
      </c>
      <c r="J55" vm="138">
        <v>45288</v>
      </c>
      <c r="K55" vm="139">
        <v>49.5</v>
      </c>
      <c r="L55" s="1">
        <v>43.79813173467015</v>
      </c>
    </row>
    <row r="56" spans="2:12" x14ac:dyDescent="0.2">
      <c r="B56" s="48" vm="141">
        <f ca="1"/>
        <v>45289</v>
      </c>
      <c r="C56" vm="142">
        <f ca="1"/>
        <v>48.73</v>
      </c>
      <c r="D56">
        <v>43.681128711336207</v>
      </c>
      <c r="F56" vm="141">
        <f ca="1"/>
        <v>45289</v>
      </c>
      <c r="G56" vm="143">
        <f ca="1"/>
        <v>436.8</v>
      </c>
      <c r="H56">
        <f t="shared" ca="1" si="0"/>
        <v>43.681128711336207</v>
      </c>
      <c r="J56" vm="141">
        <v>45289</v>
      </c>
      <c r="K56" vm="142">
        <v>48.73</v>
      </c>
      <c r="L56" s="1">
        <v>43.681128711336207</v>
      </c>
    </row>
    <row r="57" spans="2:12" x14ac:dyDescent="0.2">
      <c r="B57" s="48" vm="144">
        <f ca="1"/>
        <v>45293</v>
      </c>
      <c r="C57" vm="145">
        <f ca="1"/>
        <v>47.38</v>
      </c>
      <c r="D57">
        <v>43.402121501847596</v>
      </c>
      <c r="F57" vm="144">
        <f ca="1"/>
        <v>45293</v>
      </c>
      <c r="G57" vm="146">
        <f ca="1"/>
        <v>434.01</v>
      </c>
      <c r="H57">
        <f t="shared" ca="1" si="0"/>
        <v>43.402121501847596</v>
      </c>
      <c r="J57" vm="144">
        <v>45293</v>
      </c>
      <c r="K57" vm="145">
        <v>47.38</v>
      </c>
      <c r="L57" s="1">
        <v>43.402121501847596</v>
      </c>
    </row>
    <row r="58" spans="2:12" x14ac:dyDescent="0.2">
      <c r="B58" s="48" vm="147">
        <f ca="1"/>
        <v>45294</v>
      </c>
      <c r="C58" vm="148">
        <f ca="1"/>
        <v>46.29</v>
      </c>
      <c r="D58">
        <v>43.080113181219161</v>
      </c>
      <c r="F58" vm="147">
        <f ca="1"/>
        <v>45294</v>
      </c>
      <c r="G58" vm="149">
        <f ca="1"/>
        <v>430.79</v>
      </c>
      <c r="H58">
        <f t="shared" ca="1" si="0"/>
        <v>43.080113181219161</v>
      </c>
      <c r="J58" vm="147">
        <v>45294</v>
      </c>
      <c r="K58" vm="148">
        <v>46.29</v>
      </c>
      <c r="L58" s="1">
        <v>43.080113181219161</v>
      </c>
    </row>
    <row r="59" spans="2:12" x14ac:dyDescent="0.2">
      <c r="B59" s="48" vm="150">
        <f ca="1"/>
        <v>45295</v>
      </c>
      <c r="C59" vm="151">
        <f ca="1"/>
        <v>46.19</v>
      </c>
      <c r="D59">
        <v>42.944109666916468</v>
      </c>
      <c r="F59" vm="150">
        <f ca="1"/>
        <v>45295</v>
      </c>
      <c r="G59" vm="152">
        <f ca="1"/>
        <v>429.43</v>
      </c>
      <c r="H59">
        <f t="shared" ca="1" si="0"/>
        <v>42.944109666916468</v>
      </c>
      <c r="J59" vm="150">
        <v>45295</v>
      </c>
      <c r="K59" vm="151">
        <v>46.19</v>
      </c>
      <c r="L59" s="1">
        <v>42.944109666916468</v>
      </c>
    </row>
    <row r="60" spans="2:12" x14ac:dyDescent="0.2">
      <c r="B60" s="48" vm="153">
        <f ca="1"/>
        <v>45296</v>
      </c>
      <c r="C60" vm="154">
        <f ca="1"/>
        <v>45.7</v>
      </c>
      <c r="D60">
        <v>42.999111088141809</v>
      </c>
      <c r="F60" vm="153">
        <f ca="1"/>
        <v>45296</v>
      </c>
      <c r="G60" vm="155">
        <f ca="1"/>
        <v>429.98</v>
      </c>
      <c r="H60">
        <f t="shared" ca="1" si="0"/>
        <v>42.999111088141809</v>
      </c>
      <c r="J60" vm="153">
        <v>45296</v>
      </c>
      <c r="K60" vm="154">
        <v>45.7</v>
      </c>
      <c r="L60" s="1">
        <v>42.999111088141809</v>
      </c>
    </row>
    <row r="61" spans="2:12" x14ac:dyDescent="0.2">
      <c r="B61" s="48" vm="156">
        <f ca="1"/>
        <v>45299</v>
      </c>
      <c r="C61" vm="157">
        <f ca="1"/>
        <v>47.43</v>
      </c>
      <c r="D61">
        <v>43.614126980025326</v>
      </c>
      <c r="F61" vm="156">
        <f ca="1"/>
        <v>45299</v>
      </c>
      <c r="G61" vm="158">
        <f ca="1"/>
        <v>436.13</v>
      </c>
      <c r="H61">
        <f t="shared" ca="1" si="0"/>
        <v>43.614126980025326</v>
      </c>
      <c r="J61" vm="156">
        <v>45299</v>
      </c>
      <c r="K61" vm="157">
        <v>47.43</v>
      </c>
      <c r="L61" s="1">
        <v>43.614126980025326</v>
      </c>
    </row>
    <row r="62" spans="2:12" x14ac:dyDescent="0.2">
      <c r="B62" s="48" vm="159">
        <f ca="1"/>
        <v>45300</v>
      </c>
      <c r="C62" vm="160">
        <f ca="1"/>
        <v>46.64</v>
      </c>
      <c r="D62">
        <v>43.508124240936461</v>
      </c>
      <c r="F62" vm="159">
        <f ca="1"/>
        <v>45300</v>
      </c>
      <c r="G62" vm="161">
        <f ca="1"/>
        <v>435.07</v>
      </c>
      <c r="H62">
        <f t="shared" ca="1" si="0"/>
        <v>43.508124240936461</v>
      </c>
      <c r="J62" vm="159">
        <v>45300</v>
      </c>
      <c r="K62" vm="160">
        <v>46.64</v>
      </c>
      <c r="L62" s="1">
        <v>43.508124240936461</v>
      </c>
    </row>
    <row r="63" spans="2:12" x14ac:dyDescent="0.2">
      <c r="B63" s="48" vm="162">
        <f ca="1"/>
        <v>45301</v>
      </c>
      <c r="C63" vm="163">
        <f ca="1"/>
        <v>47.65</v>
      </c>
      <c r="D63">
        <v>43.795131657148765</v>
      </c>
      <c r="F63" vm="162">
        <f ca="1"/>
        <v>45301</v>
      </c>
      <c r="G63" vm="164">
        <f ca="1"/>
        <v>437.94</v>
      </c>
      <c r="H63">
        <f t="shared" ca="1" si="0"/>
        <v>43.795131657148765</v>
      </c>
      <c r="J63" vm="162">
        <v>45301</v>
      </c>
      <c r="K63" vm="163">
        <v>47.65</v>
      </c>
      <c r="L63" s="1">
        <v>43.795131657148765</v>
      </c>
    </row>
    <row r="64" spans="2:12" x14ac:dyDescent="0.2">
      <c r="B64" s="48" vm="165">
        <f ca="1"/>
        <v>45302</v>
      </c>
      <c r="C64" vm="166">
        <f ca="1"/>
        <v>47.54</v>
      </c>
      <c r="D64">
        <v>43.780131269541855</v>
      </c>
      <c r="F64" vm="165">
        <f ca="1"/>
        <v>45302</v>
      </c>
      <c r="G64" vm="167">
        <f ca="1"/>
        <v>437.79</v>
      </c>
      <c r="H64">
        <f t="shared" ca="1" si="0"/>
        <v>43.780131269541855</v>
      </c>
      <c r="J64" vm="165">
        <v>45302</v>
      </c>
      <c r="K64" vm="166">
        <v>47.54</v>
      </c>
      <c r="L64" s="1">
        <v>43.780131269541855</v>
      </c>
    </row>
    <row r="65" spans="2:12" x14ac:dyDescent="0.2">
      <c r="B65" s="48" vm="168">
        <f ca="1"/>
        <v>45303</v>
      </c>
      <c r="C65" vm="169">
        <f ca="1"/>
        <v>47.88</v>
      </c>
      <c r="D65">
        <v>43.800131786351074</v>
      </c>
      <c r="F65" vm="168">
        <f ca="1"/>
        <v>45303</v>
      </c>
      <c r="G65" vm="170">
        <f ca="1"/>
        <v>437.99</v>
      </c>
      <c r="H65">
        <f t="shared" ca="1" si="0"/>
        <v>43.800131786351074</v>
      </c>
      <c r="J65" vm="168">
        <v>45303</v>
      </c>
      <c r="K65" vm="169">
        <v>47.88</v>
      </c>
      <c r="L65" s="1">
        <v>43.800131786351074</v>
      </c>
    </row>
    <row r="66" spans="2:12" x14ac:dyDescent="0.2">
      <c r="B66" s="48" vm="171">
        <f ca="1"/>
        <v>45307</v>
      </c>
      <c r="C66" vm="172">
        <f ca="1"/>
        <v>49.43</v>
      </c>
      <c r="D66">
        <v>43.651127936122379</v>
      </c>
      <c r="F66" vm="171">
        <f ca="1"/>
        <v>45307</v>
      </c>
      <c r="G66" vm="173">
        <f ca="1"/>
        <v>436.5</v>
      </c>
      <c r="H66">
        <f t="shared" ca="1" si="0"/>
        <v>43.651127936122379</v>
      </c>
      <c r="J66" vm="171">
        <v>45307</v>
      </c>
      <c r="K66" vm="172">
        <v>49.43</v>
      </c>
      <c r="L66" s="1">
        <v>43.651127936122379</v>
      </c>
    </row>
    <row r="67" spans="2:12" x14ac:dyDescent="0.2">
      <c r="B67" s="48" vm="174">
        <f ca="1"/>
        <v>45308</v>
      </c>
      <c r="C67" vm="114">
        <f ca="1"/>
        <v>49.98</v>
      </c>
      <c r="D67">
        <v>43.408121656890359</v>
      </c>
      <c r="F67" vm="174">
        <f ca="1"/>
        <v>45308</v>
      </c>
      <c r="G67" vm="175">
        <f ca="1"/>
        <v>434.07</v>
      </c>
      <c r="H67">
        <f t="shared" ca="1" si="0"/>
        <v>43.408121656890359</v>
      </c>
      <c r="J67" vm="174">
        <v>45308</v>
      </c>
      <c r="K67" vm="114">
        <v>49.98</v>
      </c>
      <c r="L67" s="1">
        <v>43.408121656890359</v>
      </c>
    </row>
    <row r="68" spans="2:12" x14ac:dyDescent="0.2">
      <c r="B68" s="48" vm="176">
        <f ca="1"/>
        <v>45309</v>
      </c>
      <c r="C68" vm="177">
        <f ca="1"/>
        <v>46.12</v>
      </c>
      <c r="D68">
        <v>43.794131631308311</v>
      </c>
      <c r="F68" vm="176">
        <f ca="1"/>
        <v>45309</v>
      </c>
      <c r="G68" vm="178">
        <f ca="1"/>
        <v>437.93</v>
      </c>
      <c r="H68">
        <f t="shared" ca="1" si="0"/>
        <v>43.794131631308311</v>
      </c>
      <c r="J68" vm="176">
        <v>45309</v>
      </c>
      <c r="K68" vm="177">
        <v>46.12</v>
      </c>
      <c r="L68" s="1">
        <v>43.794131631308311</v>
      </c>
    </row>
    <row r="69" spans="2:12" x14ac:dyDescent="0.2">
      <c r="B69" s="48" vm="179">
        <f ca="1"/>
        <v>45310</v>
      </c>
      <c r="C69" vm="180">
        <f ca="1"/>
        <v>46.32</v>
      </c>
      <c r="D69">
        <v>44.330145481795398</v>
      </c>
      <c r="F69" vm="179">
        <f ca="1"/>
        <v>45310</v>
      </c>
      <c r="G69" vm="181">
        <f ca="1"/>
        <v>443.29</v>
      </c>
      <c r="H69">
        <f t="shared" ca="1" si="0"/>
        <v>44.330145481795398</v>
      </c>
      <c r="J69" vm="179">
        <v>45310</v>
      </c>
      <c r="K69" vm="180">
        <v>46.32</v>
      </c>
      <c r="L69" s="1">
        <v>44.330145481795398</v>
      </c>
    </row>
    <row r="70" spans="2:12" x14ac:dyDescent="0.2">
      <c r="B70" s="48" vm="182">
        <f ca="1"/>
        <v>45313</v>
      </c>
      <c r="C70" vm="183">
        <f ca="1"/>
        <v>47.6</v>
      </c>
      <c r="D70">
        <v>44.431148091681962</v>
      </c>
      <c r="F70" vm="182">
        <f ca="1"/>
        <v>45313</v>
      </c>
      <c r="G70" vm="184">
        <f ca="1"/>
        <v>444.3</v>
      </c>
      <c r="H70">
        <f t="shared" ca="1" si="0"/>
        <v>44.431148091681962</v>
      </c>
      <c r="J70" vm="182">
        <v>45313</v>
      </c>
      <c r="K70" vm="183">
        <v>47.6</v>
      </c>
      <c r="L70" s="1">
        <v>44.431148091681962</v>
      </c>
    </row>
    <row r="71" spans="2:12" x14ac:dyDescent="0.2">
      <c r="B71" s="48" vm="185">
        <f ca="1"/>
        <v>45314</v>
      </c>
      <c r="C71" vm="186">
        <f ca="1"/>
        <v>45.61</v>
      </c>
      <c r="D71">
        <v>44.563151502622809</v>
      </c>
      <c r="F71" vm="185">
        <f ca="1"/>
        <v>45314</v>
      </c>
      <c r="G71" vm="187">
        <f ca="1"/>
        <v>445.62</v>
      </c>
      <c r="H71">
        <f t="shared" ca="1" si="0"/>
        <v>44.563151502622809</v>
      </c>
      <c r="J71" vm="185">
        <v>45314</v>
      </c>
      <c r="K71" vm="186">
        <v>45.61</v>
      </c>
      <c r="L71" s="1">
        <v>44.563151502622809</v>
      </c>
    </row>
    <row r="72" spans="2:12" x14ac:dyDescent="0.2">
      <c r="B72" s="48" vm="188">
        <f ca="1"/>
        <v>45315</v>
      </c>
      <c r="C72" vm="189">
        <f ca="1"/>
        <v>44.8</v>
      </c>
      <c r="D72">
        <v>44.600152458719862</v>
      </c>
      <c r="F72" vm="188">
        <f ca="1"/>
        <v>45315</v>
      </c>
      <c r="G72" vm="190">
        <f ca="1"/>
        <v>445.99</v>
      </c>
      <c r="H72">
        <f t="shared" ca="1" si="0"/>
        <v>44.600152458719862</v>
      </c>
      <c r="J72" vm="188">
        <v>45315</v>
      </c>
      <c r="K72" vm="189">
        <v>44.8</v>
      </c>
      <c r="L72" s="1">
        <v>44.600152458719862</v>
      </c>
    </row>
    <row r="73" spans="2:12" x14ac:dyDescent="0.2">
      <c r="B73" s="48" vm="191">
        <f ca="1"/>
        <v>45316</v>
      </c>
      <c r="C73" vm="192">
        <f ca="1"/>
        <v>46.4</v>
      </c>
      <c r="D73">
        <v>44.851158944675575</v>
      </c>
      <c r="F73" vm="191">
        <f ca="1"/>
        <v>45316</v>
      </c>
      <c r="G73" vm="193">
        <f ca="1"/>
        <v>448.5</v>
      </c>
      <c r="H73">
        <f t="shared" ref="H73:H136" ca="1" si="1">G73/$G$8 * $C$8</f>
        <v>44.851158944675575</v>
      </c>
      <c r="J73" vm="191">
        <v>45316</v>
      </c>
      <c r="K73" vm="192">
        <v>46.4</v>
      </c>
      <c r="L73" s="1">
        <v>44.851158944675575</v>
      </c>
    </row>
    <row r="74" spans="2:12" x14ac:dyDescent="0.2">
      <c r="B74" s="48" vm="194">
        <f ca="1"/>
        <v>45317</v>
      </c>
      <c r="C74" vm="195">
        <f ca="1"/>
        <v>46.53</v>
      </c>
      <c r="D74">
        <v>44.824158246983131</v>
      </c>
      <c r="F74" vm="194">
        <f ca="1"/>
        <v>45317</v>
      </c>
      <c r="G74" vm="196">
        <f ca="1"/>
        <v>448.23</v>
      </c>
      <c r="H74">
        <f t="shared" ca="1" si="1"/>
        <v>44.824158246983131</v>
      </c>
      <c r="J74" vm="194">
        <v>45317</v>
      </c>
      <c r="K74" vm="195">
        <v>46.53</v>
      </c>
      <c r="L74" s="1">
        <v>44.824158246983131</v>
      </c>
    </row>
    <row r="75" spans="2:12" x14ac:dyDescent="0.2">
      <c r="B75" s="48" vm="197">
        <f ca="1"/>
        <v>45320</v>
      </c>
      <c r="C75" vm="198">
        <f ca="1"/>
        <v>48.42</v>
      </c>
      <c r="D75">
        <v>45.150166670973412</v>
      </c>
      <c r="F75" vm="197">
        <f ca="1"/>
        <v>45320</v>
      </c>
      <c r="G75" vm="199">
        <f ca="1"/>
        <v>451.49</v>
      </c>
      <c r="H75">
        <f t="shared" ca="1" si="1"/>
        <v>45.150166670973412</v>
      </c>
      <c r="J75" vm="197">
        <v>45320</v>
      </c>
      <c r="K75" vm="198">
        <v>48.42</v>
      </c>
      <c r="L75" s="1">
        <v>45.150166670973412</v>
      </c>
    </row>
    <row r="76" spans="2:12" x14ac:dyDescent="0.2">
      <c r="B76" s="48" vm="200">
        <f ca="1"/>
        <v>45321</v>
      </c>
      <c r="C76" vm="201">
        <f ca="1"/>
        <v>47.5</v>
      </c>
      <c r="D76">
        <v>45.118165844078661</v>
      </c>
      <c r="F76" vm="200">
        <f ca="1"/>
        <v>45321</v>
      </c>
      <c r="G76" vm="202">
        <f ca="1"/>
        <v>451.17</v>
      </c>
      <c r="H76">
        <f t="shared" ca="1" si="1"/>
        <v>45.118165844078661</v>
      </c>
      <c r="J76" vm="200">
        <v>45321</v>
      </c>
      <c r="K76" vm="201">
        <v>47.5</v>
      </c>
      <c r="L76" s="1">
        <v>45.118165844078661</v>
      </c>
    </row>
    <row r="77" spans="2:12" x14ac:dyDescent="0.2">
      <c r="B77" s="48" vm="203">
        <f ca="1"/>
        <v>45322</v>
      </c>
      <c r="C77" vm="204">
        <f ca="1"/>
        <v>46.39</v>
      </c>
      <c r="D77">
        <v>44.383146851339831</v>
      </c>
      <c r="F77" vm="203">
        <f ca="1"/>
        <v>45322</v>
      </c>
      <c r="G77" vm="205">
        <f ca="1"/>
        <v>443.82</v>
      </c>
      <c r="H77">
        <f t="shared" ca="1" si="1"/>
        <v>44.383146851339831</v>
      </c>
      <c r="J77" vm="203">
        <v>45322</v>
      </c>
      <c r="K77" vm="204">
        <v>46.39</v>
      </c>
      <c r="L77" s="1">
        <v>44.383146851339831</v>
      </c>
    </row>
    <row r="78" spans="2:12" x14ac:dyDescent="0.2">
      <c r="B78" s="48" vm="206">
        <f ca="1"/>
        <v>45323</v>
      </c>
      <c r="C78" vm="207">
        <f ca="1"/>
        <v>46.67</v>
      </c>
      <c r="D78">
        <v>44.967161942169049</v>
      </c>
      <c r="F78" vm="206">
        <f ca="1"/>
        <v>45323</v>
      </c>
      <c r="G78" vm="208">
        <f ca="1"/>
        <v>449.66</v>
      </c>
      <c r="H78">
        <f t="shared" ca="1" si="1"/>
        <v>44.967161942169049</v>
      </c>
      <c r="J78" vm="206">
        <v>45323</v>
      </c>
      <c r="K78" vm="207">
        <v>46.67</v>
      </c>
      <c r="L78" s="1">
        <v>44.967161942169049</v>
      </c>
    </row>
    <row r="79" spans="2:12" x14ac:dyDescent="0.2">
      <c r="B79" s="48" vm="209">
        <f ca="1"/>
        <v>45324</v>
      </c>
      <c r="C79" vm="210">
        <f ca="1"/>
        <v>46.09</v>
      </c>
      <c r="D79">
        <v>45.429173880462031</v>
      </c>
      <c r="F79" vm="209">
        <f ca="1"/>
        <v>45324</v>
      </c>
      <c r="G79" vm="211">
        <f ca="1"/>
        <v>454.28</v>
      </c>
      <c r="H79">
        <f t="shared" ca="1" si="1"/>
        <v>45.429173880462031</v>
      </c>
      <c r="J79" vm="209">
        <v>45324</v>
      </c>
      <c r="K79" vm="210">
        <v>46.09</v>
      </c>
      <c r="L79" s="1">
        <v>45.429173880462031</v>
      </c>
    </row>
    <row r="80" spans="2:12" x14ac:dyDescent="0.2">
      <c r="B80" s="48" vm="212">
        <f ca="1"/>
        <v>45327</v>
      </c>
      <c r="C80" vm="213">
        <f ca="1"/>
        <v>45.15</v>
      </c>
      <c r="D80">
        <v>45.263169590945509</v>
      </c>
      <c r="F80" vm="212">
        <f ca="1"/>
        <v>45327</v>
      </c>
      <c r="G80" vm="214">
        <f ca="1"/>
        <v>452.62</v>
      </c>
      <c r="H80">
        <f t="shared" ca="1" si="1"/>
        <v>45.263169590945509</v>
      </c>
      <c r="J80" vm="212">
        <v>45327</v>
      </c>
      <c r="K80" vm="213">
        <v>45.15</v>
      </c>
      <c r="L80" s="1">
        <v>45.263169590945509</v>
      </c>
    </row>
    <row r="81" spans="2:12" x14ac:dyDescent="0.2">
      <c r="B81" s="48" vm="215">
        <f ca="1"/>
        <v>45328</v>
      </c>
      <c r="C81" vm="216">
        <f ca="1"/>
        <v>46.41</v>
      </c>
      <c r="D81">
        <v>45.404173234450504</v>
      </c>
      <c r="F81" vm="215">
        <f ca="1"/>
        <v>45328</v>
      </c>
      <c r="G81" vm="217">
        <f ca="1"/>
        <v>454.03</v>
      </c>
      <c r="H81">
        <f t="shared" ca="1" si="1"/>
        <v>45.404173234450504</v>
      </c>
      <c r="J81" vm="215">
        <v>45328</v>
      </c>
      <c r="K81" vm="216">
        <v>46.41</v>
      </c>
      <c r="L81" s="1">
        <v>45.404173234450504</v>
      </c>
    </row>
    <row r="82" spans="2:12" x14ac:dyDescent="0.2">
      <c r="B82" s="48" vm="218">
        <f ca="1"/>
        <v>45329</v>
      </c>
      <c r="C82" vm="219">
        <f ca="1"/>
        <v>45.91</v>
      </c>
      <c r="D82">
        <v>45.777182872942454</v>
      </c>
      <c r="F82" vm="218">
        <f ca="1"/>
        <v>45329</v>
      </c>
      <c r="G82" vm="220">
        <f ca="1"/>
        <v>457.76</v>
      </c>
      <c r="H82">
        <f t="shared" ca="1" si="1"/>
        <v>45.777182872942454</v>
      </c>
      <c r="J82" vm="218">
        <v>45329</v>
      </c>
      <c r="K82" vm="219">
        <v>45.91</v>
      </c>
      <c r="L82" s="1">
        <v>45.777182872942454</v>
      </c>
    </row>
    <row r="83" spans="2:12" x14ac:dyDescent="0.2">
      <c r="B83" s="48" vm="221">
        <f ca="1"/>
        <v>45330</v>
      </c>
      <c r="C83" vm="222">
        <f ca="1"/>
        <v>48</v>
      </c>
      <c r="D83">
        <v>45.808183673996744</v>
      </c>
      <c r="F83" vm="221">
        <f ca="1"/>
        <v>45330</v>
      </c>
      <c r="G83" vm="223">
        <f ca="1"/>
        <v>458.07</v>
      </c>
      <c r="H83">
        <f t="shared" ca="1" si="1"/>
        <v>45.808183673996744</v>
      </c>
      <c r="J83" vm="221">
        <v>45330</v>
      </c>
      <c r="K83" vm="222">
        <v>48</v>
      </c>
      <c r="L83" s="1">
        <v>45.808183673996744</v>
      </c>
    </row>
    <row r="84" spans="2:12" x14ac:dyDescent="0.2">
      <c r="B84" s="48" vm="224">
        <f ca="1"/>
        <v>45331</v>
      </c>
      <c r="C84" vm="225">
        <f ca="1"/>
        <v>47.86</v>
      </c>
      <c r="D84">
        <v>46.068190392516605</v>
      </c>
      <c r="F84" vm="224">
        <f ca="1"/>
        <v>45331</v>
      </c>
      <c r="G84" vm="226">
        <f ca="1"/>
        <v>460.67</v>
      </c>
      <c r="H84">
        <f t="shared" ca="1" si="1"/>
        <v>46.068190392516605</v>
      </c>
      <c r="J84" vm="224">
        <v>45331</v>
      </c>
      <c r="K84" vm="225">
        <v>47.86</v>
      </c>
      <c r="L84" s="1">
        <v>46.068190392516605</v>
      </c>
    </row>
    <row r="85" spans="2:12" x14ac:dyDescent="0.2">
      <c r="B85" s="48" vm="227">
        <f ca="1"/>
        <v>45334</v>
      </c>
      <c r="C85" vm="228">
        <f ca="1"/>
        <v>50.7</v>
      </c>
      <c r="D85">
        <v>46.047189849866918</v>
      </c>
      <c r="F85" vm="227">
        <f ca="1"/>
        <v>45334</v>
      </c>
      <c r="G85" vm="229">
        <f ca="1"/>
        <v>460.46</v>
      </c>
      <c r="H85">
        <f t="shared" ca="1" si="1"/>
        <v>46.047189849866918</v>
      </c>
      <c r="J85" vm="227">
        <v>45334</v>
      </c>
      <c r="K85" vm="228">
        <v>50.7</v>
      </c>
      <c r="L85" s="1">
        <v>46.047189849866918</v>
      </c>
    </row>
    <row r="86" spans="2:12" x14ac:dyDescent="0.2">
      <c r="B86" s="48" vm="230">
        <f ca="1"/>
        <v>45335</v>
      </c>
      <c r="C86" vm="231">
        <f ca="1"/>
        <v>48.13</v>
      </c>
      <c r="D86">
        <v>45.398173079407741</v>
      </c>
      <c r="F86" vm="230">
        <f ca="1"/>
        <v>45335</v>
      </c>
      <c r="G86" vm="232">
        <f ca="1"/>
        <v>453.97</v>
      </c>
      <c r="H86">
        <f t="shared" ca="1" si="1"/>
        <v>45.398173079407741</v>
      </c>
      <c r="J86" vm="230">
        <v>45335</v>
      </c>
      <c r="K86" vm="231">
        <v>48.13</v>
      </c>
      <c r="L86" s="1">
        <v>45.398173079407741</v>
      </c>
    </row>
    <row r="87" spans="2:12" x14ac:dyDescent="0.2">
      <c r="B87" s="48" vm="233">
        <f ca="1"/>
        <v>45336</v>
      </c>
      <c r="C87" vm="234">
        <f ca="1"/>
        <v>49.85</v>
      </c>
      <c r="D87">
        <v>45.830184242486887</v>
      </c>
      <c r="F87" vm="233">
        <f ca="1"/>
        <v>45336</v>
      </c>
      <c r="G87" vm="235">
        <f ca="1"/>
        <v>458.29</v>
      </c>
      <c r="H87">
        <f t="shared" ca="1" si="1"/>
        <v>45.830184242486887</v>
      </c>
      <c r="J87" vm="233">
        <v>45336</v>
      </c>
      <c r="K87" vm="234">
        <v>49.85</v>
      </c>
      <c r="L87" s="1">
        <v>45.830184242486887</v>
      </c>
    </row>
    <row r="88" spans="2:12" x14ac:dyDescent="0.2">
      <c r="B88" s="48" vm="236">
        <f ca="1"/>
        <v>45337</v>
      </c>
      <c r="C88" vm="237">
        <f ca="1"/>
        <v>49.78</v>
      </c>
      <c r="D88">
        <v>46.140192253029795</v>
      </c>
      <c r="F88" vm="236">
        <f ca="1"/>
        <v>45337</v>
      </c>
      <c r="G88" vm="238">
        <f ca="1"/>
        <v>461.39</v>
      </c>
      <c r="H88">
        <f t="shared" ca="1" si="1"/>
        <v>46.140192253029795</v>
      </c>
      <c r="J88" vm="236">
        <v>45337</v>
      </c>
      <c r="K88" vm="237">
        <v>49.78</v>
      </c>
      <c r="L88" s="1">
        <v>46.140192253029795</v>
      </c>
    </row>
    <row r="89" spans="2:12" x14ac:dyDescent="0.2">
      <c r="B89" s="48" vm="239">
        <f ca="1"/>
        <v>45338</v>
      </c>
      <c r="C89" vm="240">
        <f ca="1"/>
        <v>49.25</v>
      </c>
      <c r="D89">
        <v>45.904186154681</v>
      </c>
      <c r="F89" vm="239">
        <f ca="1"/>
        <v>45338</v>
      </c>
      <c r="G89" vm="241">
        <f ca="1"/>
        <v>459.03</v>
      </c>
      <c r="H89">
        <f t="shared" ca="1" si="1"/>
        <v>45.904186154681</v>
      </c>
      <c r="J89" vm="239">
        <v>45338</v>
      </c>
      <c r="K89" vm="240">
        <v>49.25</v>
      </c>
      <c r="L89" s="1">
        <v>45.904186154681</v>
      </c>
    </row>
    <row r="90" spans="2:12" x14ac:dyDescent="0.2">
      <c r="B90" s="48" vm="242">
        <f ca="1"/>
        <v>45342</v>
      </c>
      <c r="C90" vm="243">
        <f ca="1"/>
        <v>49.24</v>
      </c>
      <c r="D90">
        <v>45.652179642884825</v>
      </c>
      <c r="F90" vm="242">
        <f ca="1"/>
        <v>45342</v>
      </c>
      <c r="G90" vm="244">
        <f ca="1"/>
        <v>456.51</v>
      </c>
      <c r="H90">
        <f t="shared" ca="1" si="1"/>
        <v>45.652179642884825</v>
      </c>
      <c r="J90" vm="242">
        <v>45342</v>
      </c>
      <c r="K90" vm="243">
        <v>49.24</v>
      </c>
      <c r="L90" s="1">
        <v>45.652179642884825</v>
      </c>
    </row>
    <row r="91" spans="2:12" x14ac:dyDescent="0.2">
      <c r="B91" s="48" vm="245">
        <f ca="1"/>
        <v>45343</v>
      </c>
      <c r="C91" vm="246">
        <f ca="1"/>
        <v>51.98</v>
      </c>
      <c r="D91">
        <v>45.69818083154604</v>
      </c>
      <c r="F91" vm="245">
        <f ca="1"/>
        <v>45343</v>
      </c>
      <c r="G91" vm="247">
        <f ca="1"/>
        <v>456.97</v>
      </c>
      <c r="H91">
        <f t="shared" ca="1" si="1"/>
        <v>45.69818083154604</v>
      </c>
      <c r="J91" vm="245">
        <v>45343</v>
      </c>
      <c r="K91" vm="246">
        <v>51.98</v>
      </c>
      <c r="L91" s="1">
        <v>45.69818083154604</v>
      </c>
    </row>
    <row r="92" spans="2:12" x14ac:dyDescent="0.2">
      <c r="B92" s="48" vm="248">
        <f ca="1"/>
        <v>45344</v>
      </c>
      <c r="C92" vm="249">
        <f ca="1"/>
        <v>51.3</v>
      </c>
      <c r="D92">
        <v>46.658205638388594</v>
      </c>
      <c r="F92" vm="248">
        <f ca="1"/>
        <v>45344</v>
      </c>
      <c r="G92" vm="250">
        <f ca="1"/>
        <v>466.57</v>
      </c>
      <c r="H92">
        <f t="shared" ca="1" si="1"/>
        <v>46.658205638388594</v>
      </c>
      <c r="J92" vm="248">
        <v>45344</v>
      </c>
      <c r="K92" vm="249">
        <v>51.3</v>
      </c>
      <c r="L92" s="1">
        <v>46.658205638388594</v>
      </c>
    </row>
    <row r="93" spans="2:12" x14ac:dyDescent="0.2">
      <c r="B93" s="48" vm="251">
        <f ca="1"/>
        <v>45345</v>
      </c>
      <c r="C93" vm="252">
        <f ca="1"/>
        <v>52</v>
      </c>
      <c r="D93">
        <v>46.679206181038268</v>
      </c>
      <c r="F93" vm="251">
        <f ca="1"/>
        <v>45345</v>
      </c>
      <c r="G93" vm="253">
        <f ca="1"/>
        <v>466.78</v>
      </c>
      <c r="H93">
        <f t="shared" ca="1" si="1"/>
        <v>46.679206181038268</v>
      </c>
      <c r="J93" vm="251">
        <v>45345</v>
      </c>
      <c r="K93" vm="252">
        <v>52</v>
      </c>
      <c r="L93" s="1">
        <v>46.679206181038268</v>
      </c>
    </row>
    <row r="94" spans="2:12" x14ac:dyDescent="0.2">
      <c r="B94" s="48" vm="254">
        <f ca="1"/>
        <v>45348</v>
      </c>
      <c r="C94" vm="255">
        <f ca="1"/>
        <v>51</v>
      </c>
      <c r="D94">
        <v>46.508201762319445</v>
      </c>
      <c r="F94" vm="254">
        <f ca="1"/>
        <v>45348</v>
      </c>
      <c r="G94" vm="256">
        <f ca="1"/>
        <v>465.07</v>
      </c>
      <c r="H94">
        <f t="shared" ca="1" si="1"/>
        <v>46.508201762319445</v>
      </c>
      <c r="J94" vm="254">
        <v>45348</v>
      </c>
      <c r="K94" vm="255">
        <v>51</v>
      </c>
      <c r="L94" s="1">
        <v>46.508201762319445</v>
      </c>
    </row>
    <row r="95" spans="2:12" x14ac:dyDescent="0.2">
      <c r="B95" s="48" vm="257">
        <f ca="1"/>
        <v>45349</v>
      </c>
      <c r="C95" vm="258">
        <f ca="1"/>
        <v>51.45</v>
      </c>
      <c r="D95">
        <v>46.594203984599083</v>
      </c>
      <c r="F95" vm="257">
        <f ca="1"/>
        <v>45349</v>
      </c>
      <c r="G95" vm="259">
        <f ca="1"/>
        <v>465.93</v>
      </c>
      <c r="H95">
        <f t="shared" ca="1" si="1"/>
        <v>46.594203984599083</v>
      </c>
      <c r="J95" vm="257">
        <v>45349</v>
      </c>
      <c r="K95" vm="258">
        <v>51.45</v>
      </c>
      <c r="L95" s="1">
        <v>46.594203984599083</v>
      </c>
    </row>
    <row r="96" spans="2:12" x14ac:dyDescent="0.2">
      <c r="B96" s="48" vm="260">
        <f ca="1"/>
        <v>45350</v>
      </c>
      <c r="C96" vm="261">
        <f ca="1"/>
        <v>51.23</v>
      </c>
      <c r="D96">
        <v>46.522202124085901</v>
      </c>
      <c r="F96" vm="260">
        <f ca="1"/>
        <v>45350</v>
      </c>
      <c r="G96" vm="262">
        <f ca="1"/>
        <v>465.21</v>
      </c>
      <c r="H96">
        <f t="shared" ca="1" si="1"/>
        <v>46.522202124085901</v>
      </c>
      <c r="J96" vm="260">
        <v>45350</v>
      </c>
      <c r="K96" vm="261">
        <v>51.23</v>
      </c>
      <c r="L96" s="1">
        <v>46.522202124085901</v>
      </c>
    </row>
    <row r="97" spans="2:12" x14ac:dyDescent="0.2">
      <c r="B97" s="48" vm="263">
        <f ca="1"/>
        <v>45351</v>
      </c>
      <c r="C97" vm="264">
        <f ca="1"/>
        <v>50.01</v>
      </c>
      <c r="D97">
        <v>46.694206568645185</v>
      </c>
      <c r="F97" vm="263">
        <f ca="1"/>
        <v>45351</v>
      </c>
      <c r="G97" vm="265">
        <f ca="1"/>
        <v>466.93</v>
      </c>
      <c r="H97">
        <f t="shared" ca="1" si="1"/>
        <v>46.694206568645185</v>
      </c>
      <c r="J97" vm="263">
        <v>45351</v>
      </c>
      <c r="K97" vm="264">
        <v>50.01</v>
      </c>
      <c r="L97" s="1">
        <v>46.694206568645185</v>
      </c>
    </row>
    <row r="98" spans="2:12" x14ac:dyDescent="0.2">
      <c r="B98" s="48" vm="266">
        <f ca="1"/>
        <v>45352</v>
      </c>
      <c r="C98" vm="267">
        <f ca="1"/>
        <v>47.83</v>
      </c>
      <c r="D98">
        <v>47.144218196852634</v>
      </c>
      <c r="F98" vm="266">
        <f ca="1"/>
        <v>45352</v>
      </c>
      <c r="G98" vm="268">
        <f ca="1"/>
        <v>471.43</v>
      </c>
      <c r="H98">
        <f t="shared" ca="1" si="1"/>
        <v>47.144218196852634</v>
      </c>
      <c r="J98" vm="266">
        <v>45352</v>
      </c>
      <c r="K98" vm="267">
        <v>47.83</v>
      </c>
      <c r="L98" s="1">
        <v>47.144218196852634</v>
      </c>
    </row>
    <row r="99" spans="2:12" x14ac:dyDescent="0.2">
      <c r="B99" s="48" vm="269">
        <f ca="1"/>
        <v>45355</v>
      </c>
      <c r="C99" vm="270">
        <f ca="1"/>
        <v>50.24</v>
      </c>
      <c r="D99">
        <v>47.088216749786817</v>
      </c>
      <c r="F99" vm="269">
        <f ca="1"/>
        <v>45355</v>
      </c>
      <c r="G99" vm="271">
        <f ca="1"/>
        <v>470.87</v>
      </c>
      <c r="H99">
        <f t="shared" ca="1" si="1"/>
        <v>47.088216749786817</v>
      </c>
      <c r="J99" vm="269">
        <v>45355</v>
      </c>
      <c r="K99" vm="270">
        <v>50.24</v>
      </c>
      <c r="L99" s="1">
        <v>47.088216749786817</v>
      </c>
    </row>
    <row r="100" spans="2:12" x14ac:dyDescent="0.2">
      <c r="B100" s="48" vm="272">
        <f ca="1"/>
        <v>45356</v>
      </c>
      <c r="C100" vm="273">
        <f ca="1"/>
        <v>48.36</v>
      </c>
      <c r="D100">
        <v>46.616204553089226</v>
      </c>
      <c r="F100" vm="272">
        <f ca="1"/>
        <v>45356</v>
      </c>
      <c r="G100" vm="274">
        <f ca="1"/>
        <v>466.15</v>
      </c>
      <c r="H100">
        <f t="shared" ca="1" si="1"/>
        <v>46.616204553089226</v>
      </c>
      <c r="J100" vm="272">
        <v>45356</v>
      </c>
      <c r="K100" vm="273">
        <v>48.36</v>
      </c>
      <c r="L100" s="1">
        <v>46.616204553089226</v>
      </c>
    </row>
    <row r="101" spans="2:12" x14ac:dyDescent="0.2">
      <c r="B101" s="48" vm="275">
        <f ca="1"/>
        <v>45357</v>
      </c>
      <c r="C101" vm="276">
        <f ca="1"/>
        <v>48.19</v>
      </c>
      <c r="D101">
        <v>46.863210935683092</v>
      </c>
      <c r="F101" vm="275">
        <f ca="1"/>
        <v>45357</v>
      </c>
      <c r="G101" vm="277">
        <f ca="1"/>
        <v>468.62</v>
      </c>
      <c r="H101">
        <f t="shared" ca="1" si="1"/>
        <v>46.863210935683092</v>
      </c>
      <c r="J101" vm="275">
        <v>45357</v>
      </c>
      <c r="K101" vm="276">
        <v>48.19</v>
      </c>
      <c r="L101" s="1">
        <v>46.863210935683092</v>
      </c>
    </row>
    <row r="102" spans="2:12" x14ac:dyDescent="0.2">
      <c r="B102" s="48" vm="278">
        <f ca="1"/>
        <v>45358</v>
      </c>
      <c r="C102" vm="279">
        <f ca="1"/>
        <v>48.4</v>
      </c>
      <c r="D102">
        <v>47.327222925656997</v>
      </c>
      <c r="F102" vm="278">
        <f ca="1"/>
        <v>45358</v>
      </c>
      <c r="G102" vm="280">
        <f ca="1"/>
        <v>473.26</v>
      </c>
      <c r="H102">
        <f t="shared" ca="1" si="1"/>
        <v>47.327222925656997</v>
      </c>
      <c r="J102" vm="278">
        <v>45358</v>
      </c>
      <c r="K102" vm="279">
        <v>48.4</v>
      </c>
      <c r="L102" s="1">
        <v>47.327222925656997</v>
      </c>
    </row>
    <row r="103" spans="2:12" x14ac:dyDescent="0.2">
      <c r="B103" s="48" vm="281">
        <f ca="1"/>
        <v>45359</v>
      </c>
      <c r="C103" vm="282">
        <f ca="1"/>
        <v>47.18</v>
      </c>
      <c r="D103">
        <v>47.040215509444685</v>
      </c>
      <c r="F103" vm="281">
        <f ca="1"/>
        <v>45359</v>
      </c>
      <c r="G103" vm="283">
        <f ca="1"/>
        <v>470.39</v>
      </c>
      <c r="H103">
        <f t="shared" ca="1" si="1"/>
        <v>47.040215509444685</v>
      </c>
      <c r="J103" vm="281">
        <v>45359</v>
      </c>
      <c r="K103" vm="282">
        <v>47.18</v>
      </c>
      <c r="L103" s="1">
        <v>47.040215509444685</v>
      </c>
    </row>
    <row r="104" spans="2:12" x14ac:dyDescent="0.2">
      <c r="B104" s="48" vm="284">
        <f ca="1"/>
        <v>45362</v>
      </c>
      <c r="C104" vm="157">
        <f ca="1"/>
        <v>47.43</v>
      </c>
      <c r="D104">
        <v>47.001214501666716</v>
      </c>
      <c r="F104" vm="284">
        <f ca="1"/>
        <v>45362</v>
      </c>
      <c r="G104" vm="285">
        <f ca="1"/>
        <v>470</v>
      </c>
      <c r="H104">
        <f t="shared" ca="1" si="1"/>
        <v>47.001214501666716</v>
      </c>
      <c r="J104" vm="284">
        <v>45362</v>
      </c>
      <c r="K104" vm="157">
        <v>47.43</v>
      </c>
      <c r="L104" s="1">
        <v>47.001214501666716</v>
      </c>
    </row>
    <row r="105" spans="2:12" x14ac:dyDescent="0.2">
      <c r="B105" s="48" vm="286">
        <f ca="1"/>
        <v>45363</v>
      </c>
      <c r="C105" vm="287">
        <f ca="1"/>
        <v>47.03</v>
      </c>
      <c r="D105">
        <v>47.50422749941859</v>
      </c>
      <c r="F105" vm="286">
        <f ca="1"/>
        <v>45363</v>
      </c>
      <c r="G105" vm="288">
        <f ca="1"/>
        <v>475.03</v>
      </c>
      <c r="H105">
        <f t="shared" ca="1" si="1"/>
        <v>47.50422749941859</v>
      </c>
      <c r="J105" vm="286">
        <v>45363</v>
      </c>
      <c r="K105" vm="287">
        <v>47.03</v>
      </c>
      <c r="L105" s="1">
        <v>47.50422749941859</v>
      </c>
    </row>
    <row r="106" spans="2:12" x14ac:dyDescent="0.2">
      <c r="B106" s="48" vm="289">
        <f ca="1"/>
        <v>45364</v>
      </c>
      <c r="C106" vm="290">
        <f ca="1"/>
        <v>46.85</v>
      </c>
      <c r="D106">
        <v>47.4322256389054</v>
      </c>
      <c r="F106" vm="289">
        <f ca="1"/>
        <v>45364</v>
      </c>
      <c r="G106" vm="291">
        <f ca="1"/>
        <v>474.31</v>
      </c>
      <c r="H106">
        <f t="shared" ca="1" si="1"/>
        <v>47.4322256389054</v>
      </c>
      <c r="J106" vm="289">
        <v>45364</v>
      </c>
      <c r="K106" vm="290">
        <v>46.85</v>
      </c>
      <c r="L106" s="1">
        <v>47.4322256389054</v>
      </c>
    </row>
    <row r="107" spans="2:12" x14ac:dyDescent="0.2">
      <c r="B107" s="48" vm="292">
        <f ca="1"/>
        <v>45365</v>
      </c>
      <c r="C107" vm="293">
        <f ca="1"/>
        <v>46.43</v>
      </c>
      <c r="D107">
        <v>47.328222951497452</v>
      </c>
      <c r="F107" vm="292">
        <f ca="1"/>
        <v>45365</v>
      </c>
      <c r="G107" vm="294">
        <f ca="1"/>
        <v>473.27</v>
      </c>
      <c r="H107">
        <f t="shared" ca="1" si="1"/>
        <v>47.328222951497452</v>
      </c>
      <c r="J107" vm="292">
        <v>45365</v>
      </c>
      <c r="K107" vm="293">
        <v>46.43</v>
      </c>
      <c r="L107" s="1">
        <v>47.328222951497452</v>
      </c>
    </row>
    <row r="108" spans="2:12" x14ac:dyDescent="0.2">
      <c r="B108" s="48" vm="295">
        <f ca="1"/>
        <v>45366</v>
      </c>
      <c r="C108" vm="296">
        <f ca="1"/>
        <v>47.09</v>
      </c>
      <c r="D108">
        <v>47.002214527507171</v>
      </c>
      <c r="F108" vm="295">
        <f ca="1"/>
        <v>45366</v>
      </c>
      <c r="G108" vm="297">
        <f ca="1"/>
        <v>470.01</v>
      </c>
      <c r="H108">
        <f t="shared" ca="1" si="1"/>
        <v>47.002214527507171</v>
      </c>
      <c r="J108" vm="295">
        <v>45366</v>
      </c>
      <c r="K108" vm="296">
        <v>47.09</v>
      </c>
      <c r="L108" s="1">
        <v>47.002214527507171</v>
      </c>
    </row>
    <row r="109" spans="2:12" x14ac:dyDescent="0.2">
      <c r="B109" s="48" vm="298">
        <f ca="1"/>
        <v>45369</v>
      </c>
      <c r="C109" vm="192">
        <f ca="1"/>
        <v>46.4</v>
      </c>
      <c r="D109">
        <v>47.296222124602707</v>
      </c>
      <c r="F109" vm="298">
        <f ca="1"/>
        <v>45369</v>
      </c>
      <c r="G109" vm="299">
        <f ca="1"/>
        <v>472.95</v>
      </c>
      <c r="H109">
        <f t="shared" ca="1" si="1"/>
        <v>47.296222124602707</v>
      </c>
      <c r="J109" vm="298">
        <v>45369</v>
      </c>
      <c r="K109" vm="192">
        <v>46.4</v>
      </c>
      <c r="L109" s="1">
        <v>47.296222124602707</v>
      </c>
    </row>
    <row r="110" spans="2:12" x14ac:dyDescent="0.2">
      <c r="B110" s="48" vm="300">
        <f ca="1"/>
        <v>45370</v>
      </c>
      <c r="C110" vm="301">
        <f ca="1"/>
        <v>45.87</v>
      </c>
      <c r="D110">
        <v>47.561228972324869</v>
      </c>
      <c r="F110" vm="300">
        <f ca="1"/>
        <v>45370</v>
      </c>
      <c r="G110" vm="302">
        <f ca="1"/>
        <v>475.6</v>
      </c>
      <c r="H110">
        <f t="shared" ca="1" si="1"/>
        <v>47.561228972324869</v>
      </c>
      <c r="J110" vm="300">
        <v>45370</v>
      </c>
      <c r="K110" vm="301">
        <v>45.87</v>
      </c>
      <c r="L110" s="1">
        <v>47.561228972324869</v>
      </c>
    </row>
    <row r="111" spans="2:12" x14ac:dyDescent="0.2">
      <c r="B111" s="48" vm="303">
        <f ca="1"/>
        <v>45371</v>
      </c>
      <c r="C111" vm="304">
        <f ca="1"/>
        <v>45.95</v>
      </c>
      <c r="D111">
        <v>47.976239696116181</v>
      </c>
      <c r="F111" vm="303">
        <f ca="1"/>
        <v>45371</v>
      </c>
      <c r="G111" vm="305">
        <f ca="1"/>
        <v>479.75</v>
      </c>
      <c r="H111">
        <f t="shared" ca="1" si="1"/>
        <v>47.976239696116181</v>
      </c>
      <c r="J111" vm="303">
        <v>45371</v>
      </c>
      <c r="K111" vm="304">
        <v>45.95</v>
      </c>
      <c r="L111" s="1">
        <v>47.976239696116181</v>
      </c>
    </row>
    <row r="112" spans="2:12" x14ac:dyDescent="0.2">
      <c r="B112" s="48" vm="306">
        <f ca="1"/>
        <v>45372</v>
      </c>
      <c r="C112" vm="307">
        <f ca="1"/>
        <v>46.75</v>
      </c>
      <c r="D112">
        <v>48.13624383058994</v>
      </c>
      <c r="F112" vm="306">
        <f ca="1"/>
        <v>45372</v>
      </c>
      <c r="G112" vm="308">
        <f ca="1"/>
        <v>481.35</v>
      </c>
      <c r="H112">
        <f t="shared" ca="1" si="1"/>
        <v>48.13624383058994</v>
      </c>
      <c r="J112" vm="306">
        <v>45372</v>
      </c>
      <c r="K112" vm="307">
        <v>46.75</v>
      </c>
      <c r="L112" s="1">
        <v>48.13624383058994</v>
      </c>
    </row>
    <row r="113" spans="2:12" x14ac:dyDescent="0.2">
      <c r="B113" s="48" vm="309">
        <f ca="1"/>
        <v>45373</v>
      </c>
      <c r="C113" vm="307">
        <f ca="1"/>
        <v>46.75</v>
      </c>
      <c r="D113">
        <v>47.919238223209909</v>
      </c>
      <c r="F113" vm="309">
        <f ca="1"/>
        <v>45373</v>
      </c>
      <c r="G113" vm="310">
        <f ca="1"/>
        <v>479.18</v>
      </c>
      <c r="H113">
        <f t="shared" ca="1" si="1"/>
        <v>47.919238223209909</v>
      </c>
      <c r="J113" vm="309">
        <v>45373</v>
      </c>
      <c r="K113" vm="307">
        <v>46.75</v>
      </c>
      <c r="L113" s="1">
        <v>47.919238223209909</v>
      </c>
    </row>
    <row r="114" spans="2:12" x14ac:dyDescent="0.2">
      <c r="B114" s="48" vm="311">
        <f ca="1"/>
        <v>45376</v>
      </c>
      <c r="C114" vm="312">
        <f ca="1"/>
        <v>45.67</v>
      </c>
      <c r="D114">
        <v>47.795235018992742</v>
      </c>
      <c r="F114" vm="311">
        <f ca="1"/>
        <v>45376</v>
      </c>
      <c r="G114" vm="313">
        <f ca="1"/>
        <v>477.94</v>
      </c>
      <c r="H114">
        <f t="shared" ca="1" si="1"/>
        <v>47.795235018992742</v>
      </c>
      <c r="J114" vm="311">
        <v>45376</v>
      </c>
      <c r="K114" vm="312">
        <v>45.67</v>
      </c>
      <c r="L114" s="1">
        <v>47.795235018992742</v>
      </c>
    </row>
    <row r="115" spans="2:12" x14ac:dyDescent="0.2">
      <c r="B115" s="48" vm="314">
        <f ca="1"/>
        <v>45377</v>
      </c>
      <c r="C115" vm="315">
        <f ca="1"/>
        <v>46.26</v>
      </c>
      <c r="D115">
        <v>47.661231556370971</v>
      </c>
      <c r="F115" vm="314">
        <f ca="1"/>
        <v>45377</v>
      </c>
      <c r="G115" vm="316">
        <f ca="1"/>
        <v>476.6</v>
      </c>
      <c r="H115">
        <f t="shared" ca="1" si="1"/>
        <v>47.661231556370971</v>
      </c>
      <c r="J115" vm="314">
        <v>45377</v>
      </c>
      <c r="K115" vm="315">
        <v>46.26</v>
      </c>
      <c r="L115" s="1">
        <v>47.661231556370971</v>
      </c>
    </row>
    <row r="116" spans="2:12" x14ac:dyDescent="0.2">
      <c r="B116" s="48" vm="317">
        <f ca="1"/>
        <v>45378</v>
      </c>
      <c r="C116" vm="287">
        <f ca="1"/>
        <v>47.03</v>
      </c>
      <c r="D116">
        <v>48.077242306002745</v>
      </c>
      <c r="F116" vm="317">
        <f ca="1"/>
        <v>45378</v>
      </c>
      <c r="G116" vm="318">
        <f ca="1"/>
        <v>480.76</v>
      </c>
      <c r="H116">
        <f t="shared" ca="1" si="1"/>
        <v>48.077242306002745</v>
      </c>
      <c r="J116" vm="317">
        <v>45378</v>
      </c>
      <c r="K116" vm="287">
        <v>47.03</v>
      </c>
      <c r="L116" s="1">
        <v>48.077242306002745</v>
      </c>
    </row>
    <row r="117" spans="2:12" x14ac:dyDescent="0.2">
      <c r="B117" s="48" vm="319">
        <f ca="1"/>
        <v>45379</v>
      </c>
      <c r="C117" vm="320">
        <f ca="1"/>
        <v>47.25</v>
      </c>
      <c r="D117">
        <v>48.071242150959975</v>
      </c>
      <c r="F117" vm="319">
        <f ca="1"/>
        <v>45379</v>
      </c>
      <c r="G117" vm="321">
        <f ca="1"/>
        <v>480.7</v>
      </c>
      <c r="H117">
        <f t="shared" ca="1" si="1"/>
        <v>48.071242150959975</v>
      </c>
      <c r="J117" vm="319">
        <v>45379</v>
      </c>
      <c r="K117" vm="320">
        <v>47.25</v>
      </c>
      <c r="L117" s="1">
        <v>48.071242150959975</v>
      </c>
    </row>
    <row r="118" spans="2:12" x14ac:dyDescent="0.2">
      <c r="B118" s="48" vm="322">
        <f ca="1"/>
        <v>45383</v>
      </c>
      <c r="C118" vm="323">
        <f ca="1"/>
        <v>46.59</v>
      </c>
      <c r="D118">
        <v>48.008240523010933</v>
      </c>
      <c r="F118" vm="322">
        <f ca="1"/>
        <v>45383</v>
      </c>
      <c r="G118" vm="324">
        <f ca="1"/>
        <v>480.07</v>
      </c>
      <c r="H118">
        <f t="shared" ca="1" si="1"/>
        <v>48.008240523010933</v>
      </c>
      <c r="J118" vm="322">
        <v>45383</v>
      </c>
      <c r="K118" vm="323">
        <v>46.59</v>
      </c>
      <c r="L118" s="1">
        <v>48.008240523010933</v>
      </c>
    </row>
    <row r="119" spans="2:12" x14ac:dyDescent="0.2">
      <c r="B119" s="48" vm="325">
        <f ca="1"/>
        <v>45384</v>
      </c>
      <c r="C119" vm="326">
        <f ca="1"/>
        <v>45.19</v>
      </c>
      <c r="D119">
        <v>47.694232409106178</v>
      </c>
      <c r="F119" vm="325">
        <f ca="1"/>
        <v>45384</v>
      </c>
      <c r="G119" vm="327">
        <f ca="1"/>
        <v>476.93</v>
      </c>
      <c r="H119">
        <f t="shared" ca="1" si="1"/>
        <v>47.694232409106178</v>
      </c>
      <c r="J119" vm="325">
        <v>45384</v>
      </c>
      <c r="K119" vm="326">
        <v>45.19</v>
      </c>
      <c r="L119" s="1">
        <v>47.694232409106178</v>
      </c>
    </row>
    <row r="120" spans="2:12" x14ac:dyDescent="0.2">
      <c r="B120" s="48" vm="328">
        <f ca="1"/>
        <v>45385</v>
      </c>
      <c r="C120" vm="329">
        <f ca="1"/>
        <v>43.36</v>
      </c>
      <c r="D120">
        <v>47.737233520246008</v>
      </c>
      <c r="F120" vm="328">
        <f ca="1"/>
        <v>45385</v>
      </c>
      <c r="G120" vm="330">
        <f ca="1"/>
        <v>477.36</v>
      </c>
      <c r="H120">
        <f t="shared" ca="1" si="1"/>
        <v>47.737233520246008</v>
      </c>
      <c r="J120" vm="328">
        <v>45385</v>
      </c>
      <c r="K120" vm="329">
        <v>43.36</v>
      </c>
      <c r="L120" s="1">
        <v>47.737233520246008</v>
      </c>
    </row>
    <row r="121" spans="2:12" x14ac:dyDescent="0.2">
      <c r="B121" s="48" vm="331">
        <f ca="1"/>
        <v>45386</v>
      </c>
      <c r="C121" vm="332">
        <f ca="1"/>
        <v>41.99</v>
      </c>
      <c r="D121">
        <v>47.149218326054935</v>
      </c>
      <c r="F121" vm="331">
        <f ca="1"/>
        <v>45386</v>
      </c>
      <c r="G121" vm="333">
        <f ca="1"/>
        <v>471.48</v>
      </c>
      <c r="H121">
        <f t="shared" ca="1" si="1"/>
        <v>47.149218326054935</v>
      </c>
      <c r="J121" vm="331">
        <v>45386</v>
      </c>
      <c r="K121" vm="332">
        <v>41.99</v>
      </c>
      <c r="L121" s="1">
        <v>47.149218326054935</v>
      </c>
    </row>
    <row r="122" spans="2:12" x14ac:dyDescent="0.2">
      <c r="B122" s="48" vm="334">
        <f ca="1"/>
        <v>45387</v>
      </c>
      <c r="C122" vm="335">
        <f ca="1"/>
        <v>44.04</v>
      </c>
      <c r="D122">
        <v>47.650231272125893</v>
      </c>
      <c r="F122" vm="334">
        <f ca="1"/>
        <v>45387</v>
      </c>
      <c r="G122" vm="336">
        <f ca="1"/>
        <v>476.49</v>
      </c>
      <c r="H122">
        <f t="shared" ca="1" si="1"/>
        <v>47.650231272125893</v>
      </c>
      <c r="J122" vm="334">
        <v>45387</v>
      </c>
      <c r="K122" vm="335">
        <v>44.04</v>
      </c>
      <c r="L122" s="1">
        <v>47.650231272125893</v>
      </c>
    </row>
    <row r="123" spans="2:12" x14ac:dyDescent="0.2">
      <c r="B123" s="48" vm="337">
        <f ca="1"/>
        <v>45390</v>
      </c>
      <c r="C123" vm="338">
        <f ca="1"/>
        <v>44.55</v>
      </c>
      <c r="D123">
        <v>47.669231763094658</v>
      </c>
      <c r="F123" vm="337">
        <f ca="1"/>
        <v>45390</v>
      </c>
      <c r="G123" vm="339">
        <f ca="1"/>
        <v>476.68</v>
      </c>
      <c r="H123">
        <f t="shared" ca="1" si="1"/>
        <v>47.669231763094658</v>
      </c>
      <c r="J123" vm="337">
        <v>45390</v>
      </c>
      <c r="K123" vm="338">
        <v>44.55</v>
      </c>
      <c r="L123" s="1">
        <v>47.669231763094658</v>
      </c>
    </row>
    <row r="124" spans="2:12" x14ac:dyDescent="0.2">
      <c r="B124" s="48" vm="340">
        <f ca="1"/>
        <v>45391</v>
      </c>
      <c r="C124" vm="341">
        <f ca="1"/>
        <v>45.21</v>
      </c>
      <c r="D124">
        <v>47.728233287681853</v>
      </c>
      <c r="F124" vm="340">
        <f ca="1"/>
        <v>45391</v>
      </c>
      <c r="G124" vm="342">
        <f ca="1"/>
        <v>477.27</v>
      </c>
      <c r="H124">
        <f t="shared" ca="1" si="1"/>
        <v>47.728233287681853</v>
      </c>
      <c r="J124" vm="340">
        <v>45391</v>
      </c>
      <c r="K124" vm="341">
        <v>45.21</v>
      </c>
      <c r="L124" s="1">
        <v>47.728233287681853</v>
      </c>
    </row>
    <row r="125" spans="2:12" x14ac:dyDescent="0.2">
      <c r="B125" s="48" vm="343">
        <f ca="1"/>
        <v>45392</v>
      </c>
      <c r="C125" vm="344">
        <f ca="1"/>
        <v>43.42</v>
      </c>
      <c r="D125">
        <v>47.266221349388879</v>
      </c>
      <c r="F125" vm="343">
        <f ca="1"/>
        <v>45392</v>
      </c>
      <c r="G125" vm="345">
        <f ca="1"/>
        <v>472.65</v>
      </c>
      <c r="H125">
        <f t="shared" ca="1" si="1"/>
        <v>47.266221349388879</v>
      </c>
      <c r="J125" vm="343">
        <v>45392</v>
      </c>
      <c r="K125" vm="344">
        <v>43.42</v>
      </c>
      <c r="L125" s="1">
        <v>47.266221349388879</v>
      </c>
    </row>
    <row r="126" spans="2:12" x14ac:dyDescent="0.2">
      <c r="B126" s="48" vm="346">
        <f ca="1"/>
        <v>45393</v>
      </c>
      <c r="C126" vm="347">
        <f ca="1"/>
        <v>43.81</v>
      </c>
      <c r="D126">
        <v>47.607230160986077</v>
      </c>
      <c r="F126" vm="346">
        <f ca="1"/>
        <v>45393</v>
      </c>
      <c r="G126" vm="348">
        <f ca="1"/>
        <v>476.06</v>
      </c>
      <c r="H126">
        <f t="shared" ca="1" si="1"/>
        <v>47.607230160986077</v>
      </c>
      <c r="J126" vm="346">
        <v>45393</v>
      </c>
      <c r="K126" vm="347">
        <v>43.81</v>
      </c>
      <c r="L126" s="1">
        <v>47.607230160986077</v>
      </c>
    </row>
    <row r="127" spans="2:12" x14ac:dyDescent="0.2">
      <c r="B127" s="48" vm="349">
        <f ca="1"/>
        <v>45394</v>
      </c>
      <c r="C127" vm="350">
        <f ca="1"/>
        <v>43.03</v>
      </c>
      <c r="D127">
        <v>46.958213390526886</v>
      </c>
      <c r="F127" vm="349">
        <f ca="1"/>
        <v>45394</v>
      </c>
      <c r="G127" vm="351">
        <f ca="1"/>
        <v>469.57</v>
      </c>
      <c r="H127">
        <f t="shared" ca="1" si="1"/>
        <v>46.958213390526886</v>
      </c>
      <c r="J127" vm="349">
        <v>45394</v>
      </c>
      <c r="K127" vm="350">
        <v>43.03</v>
      </c>
      <c r="L127" s="1">
        <v>46.958213390526886</v>
      </c>
    </row>
    <row r="128" spans="2:12" x14ac:dyDescent="0.2">
      <c r="B128" s="48" vm="352">
        <f ca="1"/>
        <v>45397</v>
      </c>
      <c r="C128" vm="353">
        <f ca="1"/>
        <v>42.16</v>
      </c>
      <c r="D128">
        <v>46.362197989612135</v>
      </c>
      <c r="F128" vm="352">
        <f ca="1"/>
        <v>45397</v>
      </c>
      <c r="G128" vm="354">
        <f ca="1"/>
        <v>463.61</v>
      </c>
      <c r="H128">
        <f t="shared" ca="1" si="1"/>
        <v>46.362197989612135</v>
      </c>
      <c r="J128" vm="352">
        <v>45397</v>
      </c>
      <c r="K128" vm="353">
        <v>42.16</v>
      </c>
      <c r="L128" s="1">
        <v>46.362197989612135</v>
      </c>
    </row>
    <row r="129" spans="2:12" x14ac:dyDescent="0.2">
      <c r="B129" s="48" vm="355">
        <f ca="1"/>
        <v>45398</v>
      </c>
      <c r="C129" vm="356">
        <f ca="1"/>
        <v>42.15</v>
      </c>
      <c r="D129">
        <v>46.279195844853874</v>
      </c>
      <c r="F129" vm="355">
        <f ca="1"/>
        <v>45398</v>
      </c>
      <c r="G129" vm="357">
        <f ca="1"/>
        <v>462.78</v>
      </c>
      <c r="H129">
        <f t="shared" ca="1" si="1"/>
        <v>46.279195844853874</v>
      </c>
      <c r="J129" vm="355">
        <v>45398</v>
      </c>
      <c r="K129" vm="356">
        <v>42.15</v>
      </c>
      <c r="L129" s="1">
        <v>46.279195844853874</v>
      </c>
    </row>
    <row r="130" spans="2:12" x14ac:dyDescent="0.2">
      <c r="B130" s="48" vm="358">
        <f ca="1"/>
        <v>45399</v>
      </c>
      <c r="C130" vm="359">
        <f ca="1"/>
        <v>42.29</v>
      </c>
      <c r="D130">
        <v>46.000188635365262</v>
      </c>
      <c r="F130" vm="358">
        <f ca="1"/>
        <v>45399</v>
      </c>
      <c r="G130" vm="360">
        <f ca="1"/>
        <v>459.99</v>
      </c>
      <c r="H130">
        <f t="shared" ca="1" si="1"/>
        <v>46.000188635365262</v>
      </c>
      <c r="J130" vm="358">
        <v>45399</v>
      </c>
      <c r="K130" vm="359">
        <v>42.29</v>
      </c>
      <c r="L130" s="1">
        <v>46.000188635365262</v>
      </c>
    </row>
    <row r="131" spans="2:12" x14ac:dyDescent="0.2">
      <c r="B131" s="48" vm="361">
        <f ca="1"/>
        <v>45400</v>
      </c>
      <c r="C131" vm="362">
        <f ca="1"/>
        <v>42.02</v>
      </c>
      <c r="D131">
        <v>45.895185922116852</v>
      </c>
      <c r="F131" vm="361">
        <f ca="1"/>
        <v>45400</v>
      </c>
      <c r="G131" vm="363">
        <f ca="1"/>
        <v>458.94</v>
      </c>
      <c r="H131">
        <f t="shared" ca="1" si="1"/>
        <v>45.895185922116852</v>
      </c>
      <c r="J131" vm="361">
        <v>45400</v>
      </c>
      <c r="K131" vm="362">
        <v>42.02</v>
      </c>
      <c r="L131" s="1">
        <v>45.895185922116852</v>
      </c>
    </row>
    <row r="132" spans="2:12" x14ac:dyDescent="0.2">
      <c r="B132" s="48" vm="364">
        <f ca="1"/>
        <v>45401</v>
      </c>
      <c r="C132" vm="365">
        <f ca="1"/>
        <v>42.67</v>
      </c>
      <c r="D132">
        <v>45.51117599937983</v>
      </c>
      <c r="F132" vm="364">
        <f ca="1"/>
        <v>45401</v>
      </c>
      <c r="G132" vm="366">
        <f ca="1"/>
        <v>455.1</v>
      </c>
      <c r="H132">
        <f t="shared" ca="1" si="1"/>
        <v>45.51117599937983</v>
      </c>
      <c r="J132" vm="364">
        <v>45401</v>
      </c>
      <c r="K132" vm="365">
        <v>42.67</v>
      </c>
      <c r="L132" s="1">
        <v>45.51117599937983</v>
      </c>
    </row>
    <row r="133" spans="2:12" x14ac:dyDescent="0.2">
      <c r="B133" s="48" vm="367">
        <f ca="1"/>
        <v>45404</v>
      </c>
      <c r="C133" vm="368">
        <f ca="1"/>
        <v>43.9</v>
      </c>
      <c r="D133">
        <v>45.906186206361923</v>
      </c>
      <c r="F133" vm="367">
        <f ca="1"/>
        <v>45404</v>
      </c>
      <c r="G133" vm="369">
        <f ca="1"/>
        <v>459.05</v>
      </c>
      <c r="H133">
        <f t="shared" ca="1" si="1"/>
        <v>45.906186206361923</v>
      </c>
      <c r="J133" vm="367">
        <v>45404</v>
      </c>
      <c r="K133" vm="368">
        <v>43.9</v>
      </c>
      <c r="L133" s="1">
        <v>45.906186206361923</v>
      </c>
    </row>
    <row r="134" spans="2:12" x14ac:dyDescent="0.2">
      <c r="B134" s="48" vm="370">
        <f ca="1"/>
        <v>45405</v>
      </c>
      <c r="C134" vm="371">
        <f ca="1"/>
        <v>44.84</v>
      </c>
      <c r="D134">
        <v>46.485201167988834</v>
      </c>
      <c r="F134" vm="370">
        <f ca="1"/>
        <v>45405</v>
      </c>
      <c r="G134" vm="372">
        <f ca="1"/>
        <v>464.84</v>
      </c>
      <c r="H134">
        <f t="shared" ca="1" si="1"/>
        <v>46.485201167988834</v>
      </c>
      <c r="J134" vm="370">
        <v>45405</v>
      </c>
      <c r="K134" vm="371">
        <v>44.84</v>
      </c>
      <c r="L134" s="1">
        <v>46.485201167988834</v>
      </c>
    </row>
    <row r="135" spans="2:12" x14ac:dyDescent="0.2">
      <c r="B135" s="48" vm="373">
        <f ca="1"/>
        <v>45406</v>
      </c>
      <c r="C135" vm="374">
        <f ca="1"/>
        <v>45.04</v>
      </c>
      <c r="D135">
        <v>46.451200289413165</v>
      </c>
      <c r="F135" vm="373">
        <f ca="1"/>
        <v>45406</v>
      </c>
      <c r="G135" vm="375">
        <f ca="1"/>
        <v>464.5</v>
      </c>
      <c r="H135">
        <f t="shared" ca="1" si="1"/>
        <v>46.451200289413165</v>
      </c>
      <c r="J135" vm="373">
        <v>45406</v>
      </c>
      <c r="K135" vm="374">
        <v>45.04</v>
      </c>
      <c r="L135" s="1">
        <v>46.451200289413165</v>
      </c>
    </row>
    <row r="136" spans="2:12" x14ac:dyDescent="0.2">
      <c r="B136" s="48" vm="376">
        <f ca="1"/>
        <v>45407</v>
      </c>
      <c r="C136" vm="371">
        <f ca="1"/>
        <v>44.84</v>
      </c>
      <c r="D136">
        <v>46.259195328044648</v>
      </c>
      <c r="F136" vm="376">
        <f ca="1"/>
        <v>45407</v>
      </c>
      <c r="G136" vm="377">
        <f ca="1"/>
        <v>462.58</v>
      </c>
      <c r="H136">
        <f t="shared" ca="1" si="1"/>
        <v>46.259195328044648</v>
      </c>
      <c r="J136" vm="376">
        <v>45407</v>
      </c>
      <c r="K136" vm="371">
        <v>44.84</v>
      </c>
      <c r="L136" s="1">
        <v>46.259195328044648</v>
      </c>
    </row>
    <row r="137" spans="2:12" x14ac:dyDescent="0.2">
      <c r="B137" s="48" vm="378">
        <f ca="1"/>
        <v>45408</v>
      </c>
      <c r="C137" vm="379">
        <f ca="1"/>
        <v>45.45</v>
      </c>
      <c r="D137">
        <v>46.722207292178091</v>
      </c>
      <c r="F137" vm="378">
        <f ca="1"/>
        <v>45408</v>
      </c>
      <c r="G137" vm="380">
        <f ca="1"/>
        <v>467.21</v>
      </c>
      <c r="H137">
        <f t="shared" ref="H137:H200" ca="1" si="2">G137/$G$8 * $C$8</f>
        <v>46.722207292178091</v>
      </c>
      <c r="J137" vm="378">
        <v>45408</v>
      </c>
      <c r="K137" vm="379">
        <v>45.45</v>
      </c>
      <c r="L137" s="1">
        <v>46.722207292178091</v>
      </c>
    </row>
    <row r="138" spans="2:12" x14ac:dyDescent="0.2">
      <c r="B138" s="48" vm="381">
        <f ca="1"/>
        <v>45411</v>
      </c>
      <c r="C138" vm="382">
        <f ca="1"/>
        <v>44.61</v>
      </c>
      <c r="D138">
        <v>46.885211504173235</v>
      </c>
      <c r="F138" vm="381">
        <f ca="1"/>
        <v>45411</v>
      </c>
      <c r="G138" vm="383">
        <f ca="1"/>
        <v>468.84</v>
      </c>
      <c r="H138">
        <f t="shared" ca="1" si="2"/>
        <v>46.885211504173235</v>
      </c>
      <c r="J138" vm="381">
        <v>45411</v>
      </c>
      <c r="K138" vm="382">
        <v>44.61</v>
      </c>
      <c r="L138" s="1">
        <v>46.885211504173235</v>
      </c>
    </row>
    <row r="139" spans="2:12" x14ac:dyDescent="0.2">
      <c r="B139" s="48" vm="384">
        <f ca="1"/>
        <v>45412</v>
      </c>
      <c r="C139" vm="385">
        <f ca="1"/>
        <v>44.77</v>
      </c>
      <c r="D139">
        <v>46.144192356391642</v>
      </c>
      <c r="F139" vm="384">
        <f ca="1"/>
        <v>45412</v>
      </c>
      <c r="G139" vm="386">
        <f ca="1"/>
        <v>461.43</v>
      </c>
      <c r="H139">
        <f t="shared" ca="1" si="2"/>
        <v>46.144192356391642</v>
      </c>
      <c r="J139" vm="384">
        <v>45412</v>
      </c>
      <c r="K139" vm="385">
        <v>44.77</v>
      </c>
      <c r="L139" s="1">
        <v>46.144192356391642</v>
      </c>
    </row>
    <row r="140" spans="2:12" x14ac:dyDescent="0.2">
      <c r="B140" s="48" vm="387">
        <f ca="1"/>
        <v>45413</v>
      </c>
      <c r="C140" vm="388">
        <f ca="1"/>
        <v>44.48</v>
      </c>
      <c r="D140">
        <v>45.994188480322499</v>
      </c>
      <c r="F140" vm="387">
        <f ca="1"/>
        <v>45413</v>
      </c>
      <c r="G140" vm="389">
        <f ca="1"/>
        <v>459.93</v>
      </c>
      <c r="H140">
        <f t="shared" ca="1" si="2"/>
        <v>45.994188480322499</v>
      </c>
      <c r="J140" vm="387">
        <v>45413</v>
      </c>
      <c r="K140" vm="388">
        <v>44.48</v>
      </c>
      <c r="L140" s="1">
        <v>45.994188480322499</v>
      </c>
    </row>
    <row r="141" spans="2:12" x14ac:dyDescent="0.2">
      <c r="B141" s="48" vm="390">
        <f ca="1"/>
        <v>45414</v>
      </c>
      <c r="C141" vm="382">
        <f ca="1"/>
        <v>44.61</v>
      </c>
      <c r="D141">
        <v>46.42319956588026</v>
      </c>
      <c r="F141" vm="390">
        <f ca="1"/>
        <v>45414</v>
      </c>
      <c r="G141" vm="391">
        <f ca="1"/>
        <v>464.22</v>
      </c>
      <c r="H141">
        <f t="shared" ca="1" si="2"/>
        <v>46.42319956588026</v>
      </c>
      <c r="J141" vm="390">
        <v>45414</v>
      </c>
      <c r="K141" vm="382">
        <v>44.61</v>
      </c>
      <c r="L141" s="1">
        <v>46.42319956588026</v>
      </c>
    </row>
    <row r="142" spans="2:12" x14ac:dyDescent="0.2">
      <c r="B142" s="48" vm="392">
        <f ca="1"/>
        <v>45415</v>
      </c>
      <c r="C142" vm="189">
        <f ca="1"/>
        <v>44.8</v>
      </c>
      <c r="D142">
        <v>46.999214449985793</v>
      </c>
      <c r="F142" vm="392">
        <f ca="1"/>
        <v>45415</v>
      </c>
      <c r="G142" vm="393">
        <f ca="1"/>
        <v>469.98</v>
      </c>
      <c r="H142">
        <f t="shared" ca="1" si="2"/>
        <v>46.999214449985793</v>
      </c>
      <c r="J142" vm="392">
        <v>45415</v>
      </c>
      <c r="K142" vm="189">
        <v>44.8</v>
      </c>
      <c r="L142" s="1">
        <v>46.999214449985793</v>
      </c>
    </row>
    <row r="143" spans="2:12" x14ac:dyDescent="0.2">
      <c r="B143" s="48" vm="394">
        <f ca="1"/>
        <v>45418</v>
      </c>
      <c r="C143" vm="395">
        <f ca="1"/>
        <v>44.9</v>
      </c>
      <c r="D143">
        <v>47.473226698364307</v>
      </c>
      <c r="F143" vm="394">
        <f ca="1"/>
        <v>45418</v>
      </c>
      <c r="G143" vm="396">
        <f ca="1"/>
        <v>474.72</v>
      </c>
      <c r="H143">
        <f t="shared" ca="1" si="2"/>
        <v>47.473226698364307</v>
      </c>
      <c r="J143" vm="394">
        <v>45418</v>
      </c>
      <c r="K143" vm="395">
        <v>44.9</v>
      </c>
      <c r="L143" s="1">
        <v>47.473226698364307</v>
      </c>
    </row>
    <row r="144" spans="2:12" x14ac:dyDescent="0.2">
      <c r="B144" s="48" vm="397">
        <f ca="1"/>
        <v>45419</v>
      </c>
      <c r="C144" vm="398">
        <f ca="1"/>
        <v>44.74</v>
      </c>
      <c r="D144">
        <v>47.541228455515643</v>
      </c>
      <c r="F144" vm="397">
        <f ca="1"/>
        <v>45419</v>
      </c>
      <c r="G144" vm="399">
        <f ca="1"/>
        <v>475.4</v>
      </c>
      <c r="H144">
        <f t="shared" ca="1" si="2"/>
        <v>47.541228455515643</v>
      </c>
      <c r="J144" vm="397">
        <v>45419</v>
      </c>
      <c r="K144" vm="398">
        <v>44.74</v>
      </c>
      <c r="L144" s="1">
        <v>47.541228455515643</v>
      </c>
    </row>
    <row r="145" spans="2:12" x14ac:dyDescent="0.2">
      <c r="B145" s="48" vm="400">
        <f ca="1"/>
        <v>45420</v>
      </c>
      <c r="C145" vm="401">
        <f ca="1"/>
        <v>44.89</v>
      </c>
      <c r="D145">
        <v>47.543228507196567</v>
      </c>
      <c r="F145" vm="400">
        <f ca="1"/>
        <v>45420</v>
      </c>
      <c r="G145" vm="402">
        <f ca="1"/>
        <v>475.42</v>
      </c>
      <c r="H145">
        <f t="shared" ca="1" si="2"/>
        <v>47.543228507196567</v>
      </c>
      <c r="J145" vm="400">
        <v>45420</v>
      </c>
      <c r="K145" vm="401">
        <v>44.89</v>
      </c>
      <c r="L145" s="1">
        <v>47.543228507196567</v>
      </c>
    </row>
    <row r="146" spans="2:12" x14ac:dyDescent="0.2">
      <c r="B146" s="48" vm="403">
        <f ca="1"/>
        <v>45421</v>
      </c>
      <c r="C146" vm="404">
        <f ca="1"/>
        <v>46.18</v>
      </c>
      <c r="D146">
        <v>47.816235561642422</v>
      </c>
      <c r="F146" vm="403">
        <f ca="1"/>
        <v>45421</v>
      </c>
      <c r="G146" vm="405">
        <f ca="1"/>
        <v>478.15</v>
      </c>
      <c r="H146">
        <f t="shared" ca="1" si="2"/>
        <v>47.816235561642422</v>
      </c>
      <c r="J146" vm="403">
        <v>45421</v>
      </c>
      <c r="K146" vm="404">
        <v>46.18</v>
      </c>
      <c r="L146" s="1">
        <v>47.816235561642422</v>
      </c>
    </row>
    <row r="147" spans="2:12" x14ac:dyDescent="0.2">
      <c r="B147" s="48" vm="406">
        <f ca="1"/>
        <v>45422</v>
      </c>
      <c r="C147" vm="407">
        <f ca="1"/>
        <v>45.49</v>
      </c>
      <c r="D147">
        <v>47.875237086229625</v>
      </c>
      <c r="F147" vm="406">
        <f ca="1"/>
        <v>45422</v>
      </c>
      <c r="G147" vm="408">
        <f ca="1"/>
        <v>478.74</v>
      </c>
      <c r="H147">
        <f t="shared" ca="1" si="2"/>
        <v>47.875237086229625</v>
      </c>
      <c r="J147" vm="406">
        <v>45422</v>
      </c>
      <c r="K147" vm="407">
        <v>45.49</v>
      </c>
      <c r="L147" s="1">
        <v>47.875237086229625</v>
      </c>
    </row>
    <row r="148" spans="2:12" x14ac:dyDescent="0.2">
      <c r="B148" s="48" vm="409">
        <f ca="1"/>
        <v>45425</v>
      </c>
      <c r="C148" vm="410">
        <f ca="1"/>
        <v>47.44</v>
      </c>
      <c r="D148">
        <v>47.878237163751002</v>
      </c>
      <c r="F148" vm="409">
        <f ca="1"/>
        <v>45425</v>
      </c>
      <c r="G148" vm="411">
        <f ca="1"/>
        <v>478.77</v>
      </c>
      <c r="H148">
        <f t="shared" ca="1" si="2"/>
        <v>47.878237163751002</v>
      </c>
      <c r="J148" vm="409">
        <v>45425</v>
      </c>
      <c r="K148" vm="410">
        <v>47.44</v>
      </c>
      <c r="L148" s="1">
        <v>47.878237163751002</v>
      </c>
    </row>
    <row r="149" spans="2:12" x14ac:dyDescent="0.2">
      <c r="B149" s="48" vm="412">
        <f ca="1"/>
        <v>45426</v>
      </c>
      <c r="C149" vm="105">
        <f ca="1"/>
        <v>48.25</v>
      </c>
      <c r="D149">
        <v>48.10524302953565</v>
      </c>
      <c r="F149" vm="412">
        <f ca="1"/>
        <v>45426</v>
      </c>
      <c r="G149" vm="413">
        <f ca="1"/>
        <v>481.04</v>
      </c>
      <c r="H149">
        <f t="shared" ca="1" si="2"/>
        <v>48.10524302953565</v>
      </c>
      <c r="J149" vm="412">
        <v>45426</v>
      </c>
      <c r="K149" vm="105">
        <v>48.25</v>
      </c>
      <c r="L149" s="1">
        <v>48.10524302953565</v>
      </c>
    </row>
    <row r="150" spans="2:12" x14ac:dyDescent="0.2">
      <c r="B150" s="48" vm="414">
        <f ca="1"/>
        <v>45427</v>
      </c>
      <c r="C150" vm="415">
        <f ca="1"/>
        <v>46.98</v>
      </c>
      <c r="D150">
        <v>48.691258172045792</v>
      </c>
      <c r="F150" vm="414">
        <f ca="1"/>
        <v>45427</v>
      </c>
      <c r="G150" vm="416">
        <f ca="1"/>
        <v>486.9</v>
      </c>
      <c r="H150">
        <f t="shared" ca="1" si="2"/>
        <v>48.691258172045792</v>
      </c>
      <c r="J150" vm="414">
        <v>45427</v>
      </c>
      <c r="K150" vm="415">
        <v>46.98</v>
      </c>
      <c r="L150" s="1">
        <v>48.691258172045792</v>
      </c>
    </row>
    <row r="151" spans="2:12" x14ac:dyDescent="0.2">
      <c r="B151" s="48" vm="417">
        <f ca="1"/>
        <v>45428</v>
      </c>
      <c r="C151" vm="418">
        <f ca="1"/>
        <v>46.13</v>
      </c>
      <c r="D151">
        <v>48.598255768882929</v>
      </c>
      <c r="F151" vm="417">
        <f ca="1"/>
        <v>45428</v>
      </c>
      <c r="G151" vm="419">
        <f ca="1"/>
        <v>485.97</v>
      </c>
      <c r="H151">
        <f t="shared" ca="1" si="2"/>
        <v>48.598255768882929</v>
      </c>
      <c r="J151" vm="417">
        <v>45428</v>
      </c>
      <c r="K151" vm="418">
        <v>46.13</v>
      </c>
      <c r="L151" s="1">
        <v>48.598255768882929</v>
      </c>
    </row>
    <row r="152" spans="2:12" x14ac:dyDescent="0.2">
      <c r="B152" s="48" vm="420">
        <f ca="1"/>
        <v>45429</v>
      </c>
      <c r="C152" vm="421">
        <f ca="1"/>
        <v>47.2</v>
      </c>
      <c r="D152">
        <v>48.670257629396112</v>
      </c>
      <c r="F152" vm="420">
        <f ca="1"/>
        <v>45429</v>
      </c>
      <c r="G152" vm="422">
        <f ca="1"/>
        <v>486.69</v>
      </c>
      <c r="H152">
        <f t="shared" ca="1" si="2"/>
        <v>48.670257629396112</v>
      </c>
      <c r="J152" vm="420">
        <v>45429</v>
      </c>
      <c r="K152" vm="421">
        <v>47.2</v>
      </c>
      <c r="L152" s="1">
        <v>48.670257629396112</v>
      </c>
    </row>
    <row r="153" spans="2:12" x14ac:dyDescent="0.2">
      <c r="B153" s="48" vm="423">
        <f ca="1"/>
        <v>45432</v>
      </c>
      <c r="C153" vm="424">
        <f ca="1"/>
        <v>48.01</v>
      </c>
      <c r="D153">
        <v>48.718258869738243</v>
      </c>
      <c r="F153" vm="423">
        <f ca="1"/>
        <v>45432</v>
      </c>
      <c r="G153" vm="425">
        <f ca="1"/>
        <v>487.17</v>
      </c>
      <c r="H153">
        <f t="shared" ca="1" si="2"/>
        <v>48.718258869738243</v>
      </c>
      <c r="J153" vm="423">
        <v>45432</v>
      </c>
      <c r="K153" vm="424">
        <v>48.01</v>
      </c>
      <c r="L153" s="1">
        <v>48.718258869738243</v>
      </c>
    </row>
    <row r="154" spans="2:12" x14ac:dyDescent="0.2">
      <c r="B154" s="48" vm="426">
        <f ca="1"/>
        <v>45433</v>
      </c>
      <c r="C154" vm="183">
        <f ca="1"/>
        <v>47.6</v>
      </c>
      <c r="D154">
        <v>48.849262254838628</v>
      </c>
      <c r="F154" vm="426">
        <f ca="1"/>
        <v>45433</v>
      </c>
      <c r="G154" vm="427">
        <f ca="1"/>
        <v>488.48</v>
      </c>
      <c r="H154">
        <f t="shared" ca="1" si="2"/>
        <v>48.849262254838628</v>
      </c>
      <c r="J154" vm="426">
        <v>45433</v>
      </c>
      <c r="K154" vm="183">
        <v>47.6</v>
      </c>
      <c r="L154" s="1">
        <v>48.849262254838628</v>
      </c>
    </row>
    <row r="155" spans="2:12" x14ac:dyDescent="0.2">
      <c r="B155" s="48" vm="428">
        <f ca="1"/>
        <v>45434</v>
      </c>
      <c r="C155" vm="429">
        <f ca="1"/>
        <v>46.34</v>
      </c>
      <c r="D155">
        <v>48.707258585493172</v>
      </c>
      <c r="F155" vm="428">
        <f ca="1"/>
        <v>45434</v>
      </c>
      <c r="G155" vm="430">
        <f ca="1"/>
        <v>487.06</v>
      </c>
      <c r="H155">
        <f t="shared" ca="1" si="2"/>
        <v>48.707258585493172</v>
      </c>
      <c r="J155" vm="428">
        <v>45434</v>
      </c>
      <c r="K155" vm="429">
        <v>46.34</v>
      </c>
      <c r="L155" s="1">
        <v>48.707258585493172</v>
      </c>
    </row>
    <row r="156" spans="2:12" x14ac:dyDescent="0.2">
      <c r="B156" s="48" vm="431">
        <f ca="1"/>
        <v>45435</v>
      </c>
      <c r="C156" vm="148">
        <f ca="1"/>
        <v>46.29</v>
      </c>
      <c r="D156">
        <v>48.345249231246292</v>
      </c>
      <c r="F156" vm="431">
        <f ca="1"/>
        <v>45435</v>
      </c>
      <c r="G156" vm="432">
        <f ca="1"/>
        <v>483.44</v>
      </c>
      <c r="H156">
        <f t="shared" ca="1" si="2"/>
        <v>48.345249231246292</v>
      </c>
      <c r="J156" vm="431">
        <v>45435</v>
      </c>
      <c r="K156" vm="148">
        <v>46.29</v>
      </c>
      <c r="L156" s="1">
        <v>48.345249231246292</v>
      </c>
    </row>
    <row r="157" spans="2:12" x14ac:dyDescent="0.2">
      <c r="B157" s="48" vm="433">
        <f ca="1"/>
        <v>45436</v>
      </c>
      <c r="C157" vm="434">
        <f ca="1"/>
        <v>48.11</v>
      </c>
      <c r="D157">
        <v>48.674257732757951</v>
      </c>
      <c r="F157" vm="433">
        <f ca="1"/>
        <v>45436</v>
      </c>
      <c r="G157" vm="435">
        <f ca="1"/>
        <v>486.73</v>
      </c>
      <c r="H157">
        <f t="shared" ca="1" si="2"/>
        <v>48.674257732757951</v>
      </c>
      <c r="J157" vm="433">
        <v>45436</v>
      </c>
      <c r="K157" vm="434">
        <v>48.11</v>
      </c>
      <c r="L157" s="1">
        <v>48.674257732757951</v>
      </c>
    </row>
    <row r="158" spans="2:12" x14ac:dyDescent="0.2">
      <c r="B158" s="48" vm="436">
        <f ca="1"/>
        <v>45440</v>
      </c>
      <c r="C158" vm="437">
        <f ca="1"/>
        <v>49.18</v>
      </c>
      <c r="D158">
        <v>48.713258740535935</v>
      </c>
      <c r="F158" vm="436">
        <f ca="1"/>
        <v>45440</v>
      </c>
      <c r="G158" vm="438">
        <f ca="1"/>
        <v>487.12</v>
      </c>
      <c r="H158">
        <f t="shared" ca="1" si="2"/>
        <v>48.713258740535935</v>
      </c>
      <c r="J158" vm="436">
        <v>45440</v>
      </c>
      <c r="K158" vm="437">
        <v>49.18</v>
      </c>
      <c r="L158" s="1">
        <v>48.713258740535935</v>
      </c>
    </row>
    <row r="159" spans="2:12" x14ac:dyDescent="0.2">
      <c r="B159" s="48" vm="439">
        <f ca="1"/>
        <v>45441</v>
      </c>
      <c r="C159" vm="440">
        <f ca="1"/>
        <v>49.99</v>
      </c>
      <c r="D159">
        <v>48.370249877257812</v>
      </c>
      <c r="F159" vm="439">
        <f ca="1"/>
        <v>45441</v>
      </c>
      <c r="G159" vm="441">
        <f ca="1"/>
        <v>483.69</v>
      </c>
      <c r="H159">
        <f t="shared" ca="1" si="2"/>
        <v>48.370249877257812</v>
      </c>
      <c r="J159" vm="439">
        <v>45441</v>
      </c>
      <c r="K159" vm="440">
        <v>49.99</v>
      </c>
      <c r="L159" s="1">
        <v>48.370249877257812</v>
      </c>
    </row>
    <row r="160" spans="2:12" x14ac:dyDescent="0.2">
      <c r="B160" s="48" vm="442">
        <f ca="1"/>
        <v>45442</v>
      </c>
      <c r="C160" vm="443">
        <f ca="1"/>
        <v>55.82</v>
      </c>
      <c r="D160">
        <v>48.045241479107986</v>
      </c>
      <c r="F160" vm="442">
        <f ca="1"/>
        <v>45442</v>
      </c>
      <c r="G160" vm="444">
        <f ca="1"/>
        <v>480.44</v>
      </c>
      <c r="H160">
        <f t="shared" ca="1" si="2"/>
        <v>48.045241479107986</v>
      </c>
      <c r="J160" vm="442">
        <v>45442</v>
      </c>
      <c r="K160" vm="443">
        <v>55.82</v>
      </c>
      <c r="L160" s="1">
        <v>48.045241479107986</v>
      </c>
    </row>
    <row r="161" spans="2:12" x14ac:dyDescent="0.2">
      <c r="B161" s="48" vm="445">
        <f ca="1"/>
        <v>45443</v>
      </c>
      <c r="C161" vm="446">
        <f ca="1"/>
        <v>57</v>
      </c>
      <c r="D161">
        <v>48.463252280420683</v>
      </c>
      <c r="F161" vm="445">
        <f ca="1"/>
        <v>45443</v>
      </c>
      <c r="G161" vm="447">
        <f ca="1"/>
        <v>484.62</v>
      </c>
      <c r="H161">
        <f t="shared" ca="1" si="2"/>
        <v>48.463252280420683</v>
      </c>
      <c r="J161" vm="445">
        <v>45443</v>
      </c>
      <c r="K161" vm="446">
        <v>57</v>
      </c>
      <c r="L161" s="1">
        <v>48.463252280420683</v>
      </c>
    </row>
    <row r="162" spans="2:12" x14ac:dyDescent="0.2">
      <c r="B162" s="48" vm="448">
        <f ca="1"/>
        <v>45446</v>
      </c>
      <c r="C162" vm="449">
        <f ca="1"/>
        <v>58.73</v>
      </c>
      <c r="D162">
        <v>48.516253649965115</v>
      </c>
      <c r="F162" vm="448">
        <f ca="1"/>
        <v>45446</v>
      </c>
      <c r="G162" vm="450">
        <f ca="1"/>
        <v>485.15</v>
      </c>
      <c r="H162">
        <f t="shared" ca="1" si="2"/>
        <v>48.516253649965115</v>
      </c>
      <c r="J162" vm="448">
        <v>45446</v>
      </c>
      <c r="K162" vm="449">
        <v>58.73</v>
      </c>
      <c r="L162" s="1">
        <v>48.516253649965115</v>
      </c>
    </row>
    <row r="163" spans="2:12" x14ac:dyDescent="0.2">
      <c r="B163" s="48" vm="451">
        <f ca="1"/>
        <v>45447</v>
      </c>
      <c r="C163" vm="452">
        <f ca="1"/>
        <v>58.02</v>
      </c>
      <c r="D163">
        <v>48.575255174552318</v>
      </c>
      <c r="F163" vm="451">
        <f ca="1"/>
        <v>45447</v>
      </c>
      <c r="G163" vm="453">
        <f ca="1"/>
        <v>485.74</v>
      </c>
      <c r="H163">
        <f t="shared" ca="1" si="2"/>
        <v>48.575255174552318</v>
      </c>
      <c r="J163" vm="451">
        <v>45447</v>
      </c>
      <c r="K163" vm="452">
        <v>58.02</v>
      </c>
      <c r="L163" s="1">
        <v>48.575255174552318</v>
      </c>
    </row>
    <row r="164" spans="2:12" x14ac:dyDescent="0.2">
      <c r="B164" s="48" vm="454">
        <f ca="1"/>
        <v>45448</v>
      </c>
      <c r="C164" vm="455">
        <f ca="1"/>
        <v>59.29</v>
      </c>
      <c r="D164">
        <v>49.156270187860159</v>
      </c>
      <c r="F164" vm="454">
        <f ca="1"/>
        <v>45448</v>
      </c>
      <c r="G164" vm="456">
        <f ca="1"/>
        <v>491.55</v>
      </c>
      <c r="H164">
        <f t="shared" ca="1" si="2"/>
        <v>49.156270187860159</v>
      </c>
      <c r="J164" vm="454">
        <v>45448</v>
      </c>
      <c r="K164" vm="455">
        <v>59.29</v>
      </c>
      <c r="L164" s="1">
        <v>49.156270187860159</v>
      </c>
    </row>
    <row r="165" spans="2:12" x14ac:dyDescent="0.2">
      <c r="B165" s="48" vm="457">
        <f ca="1"/>
        <v>45449</v>
      </c>
      <c r="C165" vm="458">
        <f ca="1"/>
        <v>58.59</v>
      </c>
      <c r="D165">
        <v>49.14526990361508</v>
      </c>
      <c r="F165" vm="457">
        <f ca="1"/>
        <v>45449</v>
      </c>
      <c r="G165" vm="459">
        <f ca="1"/>
        <v>491.44</v>
      </c>
      <c r="H165">
        <f t="shared" ca="1" si="2"/>
        <v>49.14526990361508</v>
      </c>
      <c r="J165" vm="457">
        <v>45449</v>
      </c>
      <c r="K165" vm="458">
        <v>58.59</v>
      </c>
      <c r="L165" s="1">
        <v>49.14526990361508</v>
      </c>
    </row>
    <row r="166" spans="2:12" x14ac:dyDescent="0.2">
      <c r="B166" s="48" vm="460">
        <f ca="1"/>
        <v>45450</v>
      </c>
      <c r="C166" vm="461">
        <f ca="1"/>
        <v>57.88</v>
      </c>
      <c r="D166">
        <v>49.081268249825584</v>
      </c>
      <c r="F166" vm="460">
        <f ca="1"/>
        <v>45450</v>
      </c>
      <c r="G166" vm="462">
        <f ca="1"/>
        <v>490.8</v>
      </c>
      <c r="H166">
        <f t="shared" ca="1" si="2"/>
        <v>49.081268249825584</v>
      </c>
      <c r="J166" vm="460">
        <v>45450</v>
      </c>
      <c r="K166" vm="461">
        <v>57.88</v>
      </c>
      <c r="L166" s="1">
        <v>49.081268249825584</v>
      </c>
    </row>
    <row r="167" spans="2:12" x14ac:dyDescent="0.2">
      <c r="B167" s="48" vm="463">
        <f ca="1"/>
        <v>45453</v>
      </c>
      <c r="C167" vm="464">
        <f ca="1"/>
        <v>58.77</v>
      </c>
      <c r="D167">
        <v>49.242272410139805</v>
      </c>
      <c r="F167" vm="463">
        <f ca="1"/>
        <v>45453</v>
      </c>
      <c r="G167" vm="465">
        <f ca="1"/>
        <v>492.41</v>
      </c>
      <c r="H167">
        <f t="shared" ca="1" si="2"/>
        <v>49.242272410139805</v>
      </c>
      <c r="J167" vm="463">
        <v>45453</v>
      </c>
      <c r="K167" vm="464">
        <v>58.77</v>
      </c>
      <c r="L167" s="1">
        <v>49.242272410139805</v>
      </c>
    </row>
    <row r="168" spans="2:12" x14ac:dyDescent="0.2">
      <c r="B168" s="48" vm="466">
        <f ca="1"/>
        <v>45454</v>
      </c>
      <c r="C168" vm="467">
        <f ca="1"/>
        <v>59.14</v>
      </c>
      <c r="D168">
        <v>49.354275304271425</v>
      </c>
      <c r="F168" vm="466">
        <f ca="1"/>
        <v>45454</v>
      </c>
      <c r="G168" vm="468">
        <f ca="1"/>
        <v>493.53</v>
      </c>
      <c r="H168">
        <f t="shared" ca="1" si="2"/>
        <v>49.354275304271425</v>
      </c>
      <c r="J168" vm="466">
        <v>45454</v>
      </c>
      <c r="K168" vm="467">
        <v>59.14</v>
      </c>
      <c r="L168" s="1">
        <v>49.354275304271425</v>
      </c>
    </row>
    <row r="169" spans="2:12" x14ac:dyDescent="0.2">
      <c r="B169" s="48" vm="469">
        <f ca="1"/>
        <v>45455</v>
      </c>
      <c r="C169" vm="470">
        <f ca="1"/>
        <v>58.79</v>
      </c>
      <c r="D169">
        <v>49.765285924700898</v>
      </c>
      <c r="F169" vm="469">
        <f ca="1"/>
        <v>45455</v>
      </c>
      <c r="G169" vm="471">
        <f ca="1"/>
        <v>497.64</v>
      </c>
      <c r="H169">
        <f t="shared" ca="1" si="2"/>
        <v>49.765285924700898</v>
      </c>
      <c r="J169" vm="469">
        <v>45455</v>
      </c>
      <c r="K169" vm="470">
        <v>58.79</v>
      </c>
      <c r="L169" s="1">
        <v>49.765285924700898</v>
      </c>
    </row>
    <row r="170" spans="2:12" x14ac:dyDescent="0.2">
      <c r="B170" s="48" vm="472">
        <f ca="1"/>
        <v>45456</v>
      </c>
      <c r="C170" vm="473">
        <f ca="1"/>
        <v>59.95</v>
      </c>
      <c r="D170">
        <v>49.85928835370423</v>
      </c>
      <c r="F170" vm="472">
        <f ca="1"/>
        <v>45456</v>
      </c>
      <c r="G170" vm="474">
        <f ca="1"/>
        <v>498.58</v>
      </c>
      <c r="H170">
        <f t="shared" ca="1" si="2"/>
        <v>49.85928835370423</v>
      </c>
      <c r="J170" vm="472">
        <v>45456</v>
      </c>
      <c r="K170" vm="473">
        <v>59.95</v>
      </c>
      <c r="L170" s="1">
        <v>49.85928835370423</v>
      </c>
    </row>
    <row r="171" spans="2:12" x14ac:dyDescent="0.2">
      <c r="B171" s="48" vm="475">
        <f ca="1"/>
        <v>45457</v>
      </c>
      <c r="C171" vm="476">
        <f ca="1"/>
        <v>59.67</v>
      </c>
      <c r="D171">
        <v>49.899289387322675</v>
      </c>
      <c r="F171" vm="475">
        <f ca="1"/>
        <v>45457</v>
      </c>
      <c r="G171" vm="477">
        <f ca="1"/>
        <v>498.98</v>
      </c>
      <c r="H171">
        <f t="shared" ca="1" si="2"/>
        <v>49.899289387322675</v>
      </c>
      <c r="J171" vm="475">
        <v>45457</v>
      </c>
      <c r="K171" vm="476">
        <v>59.67</v>
      </c>
      <c r="L171" s="1">
        <v>49.899289387322675</v>
      </c>
    </row>
    <row r="172" spans="2:12" x14ac:dyDescent="0.2">
      <c r="B172" s="48" vm="478">
        <f ca="1"/>
        <v>45460</v>
      </c>
      <c r="C172" vm="479">
        <f ca="1"/>
        <v>60.1</v>
      </c>
      <c r="D172">
        <v>50.295299620145222</v>
      </c>
      <c r="F172" vm="478">
        <f ca="1"/>
        <v>45460</v>
      </c>
      <c r="G172" vm="480">
        <f ca="1"/>
        <v>502.94</v>
      </c>
      <c r="H172">
        <f t="shared" ca="1" si="2"/>
        <v>50.295299620145222</v>
      </c>
      <c r="J172" vm="478">
        <v>45460</v>
      </c>
      <c r="K172" vm="479">
        <v>60.1</v>
      </c>
      <c r="L172" s="1">
        <v>50.295299620145222</v>
      </c>
    </row>
    <row r="173" spans="2:12" x14ac:dyDescent="0.2">
      <c r="B173" s="48" vm="481">
        <f ca="1"/>
        <v>45461</v>
      </c>
      <c r="C173" vm="482">
        <f ca="1"/>
        <v>60.11</v>
      </c>
      <c r="D173">
        <v>50.429303082766999</v>
      </c>
      <c r="F173" vm="481">
        <f ca="1"/>
        <v>45461</v>
      </c>
      <c r="G173" vm="483">
        <f ca="1"/>
        <v>504.28</v>
      </c>
      <c r="H173">
        <f t="shared" ca="1" si="2"/>
        <v>50.429303082766999</v>
      </c>
      <c r="J173" vm="481">
        <v>45461</v>
      </c>
      <c r="K173" vm="482">
        <v>60.11</v>
      </c>
      <c r="L173" s="1">
        <v>50.429303082766999</v>
      </c>
    </row>
    <row r="174" spans="2:12" x14ac:dyDescent="0.2">
      <c r="B174" s="48" vm="484">
        <f ca="1"/>
        <v>45463</v>
      </c>
      <c r="C174" vm="485">
        <f ca="1"/>
        <v>61.14</v>
      </c>
      <c r="D174">
        <v>50.289299465102459</v>
      </c>
      <c r="F174" vm="484">
        <f ca="1"/>
        <v>45463</v>
      </c>
      <c r="G174" vm="486">
        <f ca="1"/>
        <v>502.88</v>
      </c>
      <c r="H174">
        <f t="shared" ca="1" si="2"/>
        <v>50.289299465102459</v>
      </c>
      <c r="J174" vm="484">
        <v>45463</v>
      </c>
      <c r="K174" vm="485">
        <v>61.14</v>
      </c>
      <c r="L174" s="1">
        <v>50.289299465102459</v>
      </c>
    </row>
    <row r="175" spans="2:12" x14ac:dyDescent="0.2">
      <c r="B175" s="48" vm="487">
        <f ca="1"/>
        <v>45464</v>
      </c>
      <c r="C175" vm="488">
        <f ca="1"/>
        <v>61.47</v>
      </c>
      <c r="D175">
        <v>50.179296622651741</v>
      </c>
      <c r="F175" vm="487">
        <f ca="1"/>
        <v>45464</v>
      </c>
      <c r="G175" vm="489">
        <f ca="1"/>
        <v>501.78</v>
      </c>
      <c r="H175">
        <f t="shared" ca="1" si="2"/>
        <v>50.179296622651741</v>
      </c>
      <c r="J175" vm="487">
        <v>45464</v>
      </c>
      <c r="K175" vm="488">
        <v>61.47</v>
      </c>
      <c r="L175" s="1">
        <v>50.179296622651741</v>
      </c>
    </row>
    <row r="176" spans="2:12" x14ac:dyDescent="0.2">
      <c r="B176" s="48" vm="490">
        <f ca="1"/>
        <v>45467</v>
      </c>
      <c r="C176" vm="491">
        <f ca="1"/>
        <v>59.78</v>
      </c>
      <c r="D176">
        <v>50.044293134189523</v>
      </c>
      <c r="F176" vm="490">
        <f ca="1"/>
        <v>45467</v>
      </c>
      <c r="G176" vm="492">
        <f ca="1"/>
        <v>500.43</v>
      </c>
      <c r="H176">
        <f t="shared" ca="1" si="2"/>
        <v>50.044293134189523</v>
      </c>
      <c r="J176" vm="490">
        <v>45467</v>
      </c>
      <c r="K176" vm="491">
        <v>59.78</v>
      </c>
      <c r="L176" s="1">
        <v>50.044293134189523</v>
      </c>
    </row>
    <row r="177" spans="2:12" x14ac:dyDescent="0.2">
      <c r="B177" s="48" vm="493">
        <f ca="1"/>
        <v>45468</v>
      </c>
      <c r="C177" vm="494">
        <f ca="1"/>
        <v>57.37</v>
      </c>
      <c r="D177">
        <v>50.252298509005399</v>
      </c>
      <c r="F177" vm="493">
        <f ca="1"/>
        <v>45468</v>
      </c>
      <c r="G177" vm="495">
        <f ca="1"/>
        <v>502.51</v>
      </c>
      <c r="H177">
        <f t="shared" ca="1" si="2"/>
        <v>50.252298509005399</v>
      </c>
      <c r="J177" vm="493">
        <v>45468</v>
      </c>
      <c r="K177" vm="494">
        <v>57.37</v>
      </c>
      <c r="L177" s="1">
        <v>50.252298509005399</v>
      </c>
    </row>
    <row r="178" spans="2:12" x14ac:dyDescent="0.2">
      <c r="B178" s="48" vm="496">
        <f ca="1"/>
        <v>45469</v>
      </c>
      <c r="C178" vm="497">
        <f ca="1"/>
        <v>54.61</v>
      </c>
      <c r="D178">
        <v>50.308299956071224</v>
      </c>
      <c r="F178" vm="496">
        <f ca="1"/>
        <v>45469</v>
      </c>
      <c r="G178" vm="498">
        <f ca="1"/>
        <v>503.07</v>
      </c>
      <c r="H178">
        <f t="shared" ca="1" si="2"/>
        <v>50.308299956071224</v>
      </c>
      <c r="J178" vm="496">
        <v>45469</v>
      </c>
      <c r="K178" vm="497">
        <v>54.61</v>
      </c>
      <c r="L178" s="1">
        <v>50.308299956071224</v>
      </c>
    </row>
    <row r="179" spans="2:12" x14ac:dyDescent="0.2">
      <c r="B179" s="48" vm="499">
        <f ca="1"/>
        <v>45470</v>
      </c>
      <c r="C179" vm="500">
        <f ca="1"/>
        <v>54.3</v>
      </c>
      <c r="D179">
        <v>50.386301971627184</v>
      </c>
      <c r="F179" vm="499">
        <f ca="1"/>
        <v>45470</v>
      </c>
      <c r="G179" vm="501">
        <f ca="1"/>
        <v>503.85</v>
      </c>
      <c r="H179">
        <f t="shared" ca="1" si="2"/>
        <v>50.386301971627184</v>
      </c>
      <c r="J179" vm="499">
        <v>45470</v>
      </c>
      <c r="K179" vm="500">
        <v>54.3</v>
      </c>
      <c r="L179" s="1">
        <v>50.386301971627184</v>
      </c>
    </row>
    <row r="180" spans="2:12" x14ac:dyDescent="0.2">
      <c r="B180" s="48" vm="502">
        <f ca="1"/>
        <v>45471</v>
      </c>
      <c r="C180" vm="503">
        <f ca="1"/>
        <v>54.41</v>
      </c>
      <c r="D180">
        <v>50.01429235897568</v>
      </c>
      <c r="F180" vm="502">
        <f ca="1"/>
        <v>45471</v>
      </c>
      <c r="G180" vm="504">
        <f ca="1"/>
        <v>500.13</v>
      </c>
      <c r="H180">
        <f t="shared" ca="1" si="2"/>
        <v>50.01429235897568</v>
      </c>
      <c r="J180" vm="502">
        <v>45471</v>
      </c>
      <c r="K180" vm="503">
        <v>54.41</v>
      </c>
      <c r="L180" s="1">
        <v>50.01429235897568</v>
      </c>
    </row>
    <row r="181" spans="2:12" x14ac:dyDescent="0.2">
      <c r="B181" s="48" vm="505">
        <f ca="1"/>
        <v>45474</v>
      </c>
      <c r="C181" vm="506">
        <f ca="1"/>
        <v>55.37</v>
      </c>
      <c r="D181">
        <v>50.1292953306287</v>
      </c>
      <c r="F181" vm="505">
        <f ca="1"/>
        <v>45474</v>
      </c>
      <c r="G181" vm="507">
        <f ca="1"/>
        <v>501.28</v>
      </c>
      <c r="H181">
        <f t="shared" ca="1" si="2"/>
        <v>50.1292953306287</v>
      </c>
      <c r="J181" vm="505">
        <v>45474</v>
      </c>
      <c r="K181" vm="506">
        <v>55.37</v>
      </c>
      <c r="L181" s="1">
        <v>50.1292953306287</v>
      </c>
    </row>
    <row r="182" spans="2:12" x14ac:dyDescent="0.2">
      <c r="B182" s="48" vm="508">
        <f ca="1"/>
        <v>45475</v>
      </c>
      <c r="C182" vm="509">
        <f ca="1"/>
        <v>55.46</v>
      </c>
      <c r="D182">
        <v>50.45430372877852</v>
      </c>
      <c r="F182" vm="508">
        <f ca="1"/>
        <v>45475</v>
      </c>
      <c r="G182" vm="510">
        <f ca="1"/>
        <v>504.53</v>
      </c>
      <c r="H182">
        <f t="shared" ca="1" si="2"/>
        <v>50.45430372877852</v>
      </c>
      <c r="J182" vm="508">
        <v>45475</v>
      </c>
      <c r="K182" vm="509">
        <v>55.46</v>
      </c>
      <c r="L182" s="1">
        <v>50.45430372877852</v>
      </c>
    </row>
    <row r="183" spans="2:12" x14ac:dyDescent="0.2">
      <c r="B183" s="48" vm="511">
        <f ca="1"/>
        <v>45476</v>
      </c>
      <c r="C183" vm="512">
        <f ca="1"/>
        <v>56.5</v>
      </c>
      <c r="D183">
        <v>50.682309620403636</v>
      </c>
      <c r="F183" vm="511">
        <f ca="1"/>
        <v>45476</v>
      </c>
      <c r="G183" vm="513">
        <f ca="1"/>
        <v>506.81</v>
      </c>
      <c r="H183">
        <f t="shared" ca="1" si="2"/>
        <v>50.682309620403636</v>
      </c>
      <c r="J183" vm="511">
        <v>45476</v>
      </c>
      <c r="K183" vm="512">
        <v>56.5</v>
      </c>
      <c r="L183" s="1">
        <v>50.682309620403636</v>
      </c>
    </row>
    <row r="184" spans="2:12" x14ac:dyDescent="0.2">
      <c r="B184" s="48" vm="514">
        <f ca="1"/>
        <v>45478</v>
      </c>
      <c r="C184" vm="515">
        <f ca="1"/>
        <v>56.62</v>
      </c>
      <c r="D184">
        <v>50.985317450063306</v>
      </c>
      <c r="F184" vm="514">
        <f ca="1"/>
        <v>45478</v>
      </c>
      <c r="G184" vm="516">
        <f ca="1"/>
        <v>509.84</v>
      </c>
      <c r="H184">
        <f t="shared" ca="1" si="2"/>
        <v>50.985317450063306</v>
      </c>
      <c r="J184" vm="514">
        <v>45478</v>
      </c>
      <c r="K184" vm="515">
        <v>56.62</v>
      </c>
      <c r="L184" s="1">
        <v>50.985317450063306</v>
      </c>
    </row>
    <row r="185" spans="2:12" x14ac:dyDescent="0.2">
      <c r="B185" s="48" vm="517">
        <f ca="1"/>
        <v>45481</v>
      </c>
      <c r="C185" vm="518">
        <f ca="1"/>
        <v>56.76</v>
      </c>
      <c r="D185">
        <v>51.034318716245899</v>
      </c>
      <c r="F185" vm="517">
        <f ca="1"/>
        <v>45481</v>
      </c>
      <c r="G185" vm="519">
        <f ca="1"/>
        <v>510.33</v>
      </c>
      <c r="H185">
        <f t="shared" ca="1" si="2"/>
        <v>51.034318716245899</v>
      </c>
      <c r="J185" vm="517">
        <v>45481</v>
      </c>
      <c r="K185" vm="518">
        <v>56.76</v>
      </c>
      <c r="L185" s="1">
        <v>51.034318716245899</v>
      </c>
    </row>
    <row r="186" spans="2:12" x14ac:dyDescent="0.2">
      <c r="B186" s="48" vm="520">
        <f ca="1"/>
        <v>45482</v>
      </c>
      <c r="C186" vm="521">
        <f ca="1"/>
        <v>56.29</v>
      </c>
      <c r="D186">
        <v>51.090320163311716</v>
      </c>
      <c r="F186" vm="520">
        <f ca="1"/>
        <v>45482</v>
      </c>
      <c r="G186" vm="522">
        <f ca="1"/>
        <v>510.89</v>
      </c>
      <c r="H186">
        <f t="shared" ca="1" si="2"/>
        <v>51.090320163311716</v>
      </c>
      <c r="J186" vm="520">
        <v>45482</v>
      </c>
      <c r="K186" vm="521">
        <v>56.29</v>
      </c>
      <c r="L186" s="1">
        <v>51.090320163311716</v>
      </c>
    </row>
    <row r="187" spans="2:12" x14ac:dyDescent="0.2">
      <c r="B187" s="48" vm="523">
        <f ca="1"/>
        <v>45483</v>
      </c>
      <c r="C187" vm="524">
        <f ca="1"/>
        <v>55.06</v>
      </c>
      <c r="D187">
        <v>51.582332876818519</v>
      </c>
      <c r="F187" vm="523">
        <f ca="1"/>
        <v>45483</v>
      </c>
      <c r="G187" vm="525">
        <f ca="1"/>
        <v>515.80999999999995</v>
      </c>
      <c r="H187">
        <f t="shared" ca="1" si="2"/>
        <v>51.582332876818519</v>
      </c>
      <c r="J187" vm="523">
        <v>45483</v>
      </c>
      <c r="K187" vm="524">
        <v>55.06</v>
      </c>
      <c r="L187" s="1">
        <v>51.582332876818519</v>
      </c>
    </row>
    <row r="188" spans="2:12" x14ac:dyDescent="0.2">
      <c r="B188" s="48" vm="526">
        <f ca="1"/>
        <v>45484</v>
      </c>
      <c r="C188" vm="527">
        <f ca="1"/>
        <v>54.78</v>
      </c>
      <c r="D188">
        <v>51.140321455334764</v>
      </c>
      <c r="F188" vm="526">
        <f ca="1"/>
        <v>45484</v>
      </c>
      <c r="G188" vm="528">
        <f ca="1"/>
        <v>511.39</v>
      </c>
      <c r="H188">
        <f t="shared" ca="1" si="2"/>
        <v>51.140321455334764</v>
      </c>
      <c r="J188" vm="526">
        <v>45484</v>
      </c>
      <c r="K188" vm="527">
        <v>54.78</v>
      </c>
      <c r="L188" s="1">
        <v>51.140321455334764</v>
      </c>
    </row>
    <row r="189" spans="2:12" x14ac:dyDescent="0.2">
      <c r="B189" s="48" vm="529">
        <f ca="1"/>
        <v>45485</v>
      </c>
      <c r="C189" vm="530">
        <f ca="1"/>
        <v>55.65</v>
      </c>
      <c r="D189">
        <v>51.456329620920435</v>
      </c>
      <c r="F189" vm="529">
        <f ca="1"/>
        <v>45485</v>
      </c>
      <c r="G189" vm="531">
        <f ca="1"/>
        <v>514.54999999999995</v>
      </c>
      <c r="H189">
        <f t="shared" ca="1" si="2"/>
        <v>51.456329620920435</v>
      </c>
      <c r="J189" vm="529">
        <v>45485</v>
      </c>
      <c r="K189" vm="530">
        <v>55.65</v>
      </c>
      <c r="L189" s="1">
        <v>51.456329620920435</v>
      </c>
    </row>
    <row r="190" spans="2:12" x14ac:dyDescent="0.2">
      <c r="B190" s="48" vm="532">
        <f ca="1"/>
        <v>45488</v>
      </c>
      <c r="C190" vm="533">
        <f ca="1"/>
        <v>54.66</v>
      </c>
      <c r="D190">
        <v>51.612333652032355</v>
      </c>
      <c r="F190" vm="532">
        <f ca="1"/>
        <v>45488</v>
      </c>
      <c r="G190" vm="534">
        <f ca="1"/>
        <v>516.11</v>
      </c>
      <c r="H190">
        <f t="shared" ca="1" si="2"/>
        <v>51.612333652032355</v>
      </c>
      <c r="J190" vm="532">
        <v>45488</v>
      </c>
      <c r="K190" vm="533">
        <v>54.66</v>
      </c>
      <c r="L190" s="1">
        <v>51.612333652032355</v>
      </c>
    </row>
    <row r="191" spans="2:12" x14ac:dyDescent="0.2">
      <c r="B191" s="48" vm="535">
        <f ca="1"/>
        <v>45489</v>
      </c>
      <c r="C191" vm="536">
        <f ca="1"/>
        <v>55.08</v>
      </c>
      <c r="D191">
        <v>51.905341223287422</v>
      </c>
      <c r="F191" vm="535">
        <f ca="1"/>
        <v>45489</v>
      </c>
      <c r="G191" vm="537">
        <f ca="1"/>
        <v>519.04</v>
      </c>
      <c r="H191">
        <f t="shared" ca="1" si="2"/>
        <v>51.905341223287422</v>
      </c>
      <c r="J191" vm="535">
        <v>45489</v>
      </c>
      <c r="K191" vm="536">
        <v>55.08</v>
      </c>
      <c r="L191" s="1">
        <v>51.905341223287422</v>
      </c>
    </row>
    <row r="192" spans="2:12" x14ac:dyDescent="0.2">
      <c r="B192" s="48" vm="538">
        <f ca="1"/>
        <v>45490</v>
      </c>
      <c r="C192" vm="539">
        <f ca="1"/>
        <v>54.16</v>
      </c>
      <c r="D192">
        <v>51.180322488953209</v>
      </c>
      <c r="F192" vm="538">
        <f ca="1"/>
        <v>45490</v>
      </c>
      <c r="G192" vm="540">
        <f ca="1"/>
        <v>511.79</v>
      </c>
      <c r="H192">
        <f t="shared" ca="1" si="2"/>
        <v>51.180322488953209</v>
      </c>
      <c r="J192" vm="538">
        <v>45490</v>
      </c>
      <c r="K192" vm="539">
        <v>54.16</v>
      </c>
      <c r="L192" s="1">
        <v>51.180322488953209</v>
      </c>
    </row>
    <row r="193" spans="2:12" x14ac:dyDescent="0.2">
      <c r="B193" s="48" vm="541">
        <f ca="1"/>
        <v>45491</v>
      </c>
      <c r="C193" vm="542">
        <f ca="1"/>
        <v>53.63</v>
      </c>
      <c r="D193">
        <v>50.795312540375726</v>
      </c>
      <c r="F193" vm="541">
        <f ca="1"/>
        <v>45491</v>
      </c>
      <c r="G193" vm="543">
        <f ca="1"/>
        <v>507.94</v>
      </c>
      <c r="H193">
        <f t="shared" ca="1" si="2"/>
        <v>50.795312540375726</v>
      </c>
      <c r="J193" vm="541">
        <v>45491</v>
      </c>
      <c r="K193" vm="542">
        <v>53.63</v>
      </c>
      <c r="L193" s="1">
        <v>50.795312540375726</v>
      </c>
    </row>
    <row r="194" spans="2:12" x14ac:dyDescent="0.2">
      <c r="B194" s="48" vm="544">
        <f ca="1"/>
        <v>45492</v>
      </c>
      <c r="C194" vm="500">
        <f ca="1"/>
        <v>54.3</v>
      </c>
      <c r="D194">
        <v>50.456303780459443</v>
      </c>
      <c r="F194" vm="544">
        <f ca="1"/>
        <v>45492</v>
      </c>
      <c r="G194" vm="545">
        <f ca="1"/>
        <v>504.55</v>
      </c>
      <c r="H194">
        <f t="shared" ca="1" si="2"/>
        <v>50.456303780459443</v>
      </c>
      <c r="J194" vm="544">
        <v>45492</v>
      </c>
      <c r="K194" vm="500">
        <v>54.3</v>
      </c>
      <c r="L194" s="1">
        <v>50.456303780459443</v>
      </c>
    </row>
    <row r="195" spans="2:12" x14ac:dyDescent="0.2">
      <c r="B195" s="48" vm="546">
        <f ca="1"/>
        <v>45495</v>
      </c>
      <c r="C195" vm="547">
        <f ca="1"/>
        <v>55.27</v>
      </c>
      <c r="D195">
        <v>50.980317320861005</v>
      </c>
      <c r="F195" vm="546">
        <f ca="1"/>
        <v>45495</v>
      </c>
      <c r="G195" vm="548">
        <f ca="1"/>
        <v>509.79</v>
      </c>
      <c r="H195">
        <f t="shared" ca="1" si="2"/>
        <v>50.980317320861005</v>
      </c>
      <c r="J195" vm="546">
        <v>45495</v>
      </c>
      <c r="K195" vm="547">
        <v>55.27</v>
      </c>
      <c r="L195" s="1">
        <v>50.980317320861005</v>
      </c>
    </row>
    <row r="196" spans="2:12" x14ac:dyDescent="0.2">
      <c r="B196" s="48" vm="549">
        <f ca="1"/>
        <v>45496</v>
      </c>
      <c r="C196" vm="550">
        <f ca="1"/>
        <v>55.52</v>
      </c>
      <c r="D196">
        <v>50.89531512442182</v>
      </c>
      <c r="F196" vm="549">
        <f ca="1"/>
        <v>45496</v>
      </c>
      <c r="G196" vm="551">
        <f ca="1"/>
        <v>508.94</v>
      </c>
      <c r="H196">
        <f t="shared" ca="1" si="2"/>
        <v>50.89531512442182</v>
      </c>
      <c r="J196" vm="549">
        <v>45496</v>
      </c>
      <c r="K196" vm="550">
        <v>55.52</v>
      </c>
      <c r="L196" s="1">
        <v>50.89531512442182</v>
      </c>
    </row>
    <row r="197" spans="2:12" x14ac:dyDescent="0.2">
      <c r="B197" s="48" vm="552">
        <f ca="1"/>
        <v>45497</v>
      </c>
      <c r="C197" vm="553">
        <f ca="1"/>
        <v>55.42</v>
      </c>
      <c r="D197">
        <v>49.730285020284768</v>
      </c>
      <c r="F197" vm="552">
        <f ca="1"/>
        <v>45497</v>
      </c>
      <c r="G197" vm="554">
        <f ca="1"/>
        <v>497.29</v>
      </c>
      <c r="H197">
        <f t="shared" ca="1" si="2"/>
        <v>49.730285020284768</v>
      </c>
      <c r="J197" vm="552">
        <v>45497</v>
      </c>
      <c r="K197" vm="553">
        <v>55.42</v>
      </c>
      <c r="L197" s="1">
        <v>49.730285020284768</v>
      </c>
    </row>
    <row r="198" spans="2:12" x14ac:dyDescent="0.2">
      <c r="B198" s="48" vm="555">
        <f ca="1"/>
        <v>45498</v>
      </c>
      <c r="C198" vm="550">
        <f ca="1"/>
        <v>55.52</v>
      </c>
      <c r="D198">
        <v>49.479278534329055</v>
      </c>
      <c r="F198" vm="555">
        <f ca="1"/>
        <v>45498</v>
      </c>
      <c r="G198" vm="556">
        <f ca="1"/>
        <v>494.78</v>
      </c>
      <c r="H198">
        <f t="shared" ca="1" si="2"/>
        <v>49.479278534329055</v>
      </c>
      <c r="J198" vm="555">
        <v>45498</v>
      </c>
      <c r="K198" vm="550">
        <v>55.52</v>
      </c>
      <c r="L198" s="1">
        <v>49.479278534329055</v>
      </c>
    </row>
    <row r="199" spans="2:12" x14ac:dyDescent="0.2">
      <c r="B199" s="48" vm="557">
        <f ca="1"/>
        <v>45499</v>
      </c>
      <c r="C199" vm="558">
        <f ca="1"/>
        <v>57.21</v>
      </c>
      <c r="D199">
        <v>50.034292875784907</v>
      </c>
      <c r="F199" vm="557">
        <f ca="1"/>
        <v>45499</v>
      </c>
      <c r="G199" vm="559">
        <f ca="1"/>
        <v>500.33</v>
      </c>
      <c r="H199">
        <f t="shared" ca="1" si="2"/>
        <v>50.034292875784907</v>
      </c>
      <c r="J199" vm="557">
        <v>45499</v>
      </c>
      <c r="K199" vm="558">
        <v>57.21</v>
      </c>
      <c r="L199" s="1">
        <v>50.034292875784907</v>
      </c>
    </row>
    <row r="200" spans="2:12" x14ac:dyDescent="0.2">
      <c r="B200" s="48" vm="560">
        <f ca="1"/>
        <v>45502</v>
      </c>
      <c r="C200" vm="561">
        <f ca="1"/>
        <v>58.55</v>
      </c>
      <c r="D200">
        <v>50.07129383188196</v>
      </c>
      <c r="F200" vm="560">
        <f ca="1"/>
        <v>45502</v>
      </c>
      <c r="G200" vm="562">
        <f ca="1"/>
        <v>500.7</v>
      </c>
      <c r="H200">
        <f t="shared" ca="1" si="2"/>
        <v>50.07129383188196</v>
      </c>
      <c r="J200" vm="560">
        <v>45502</v>
      </c>
      <c r="K200" vm="561">
        <v>58.55</v>
      </c>
      <c r="L200" s="1">
        <v>50.07129383188196</v>
      </c>
    </row>
    <row r="201" spans="2:12" x14ac:dyDescent="0.2">
      <c r="B201" s="48" vm="563">
        <f ca="1"/>
        <v>45503</v>
      </c>
      <c r="C201" vm="564">
        <f ca="1"/>
        <v>58.92</v>
      </c>
      <c r="D201">
        <v>49.809287061681175</v>
      </c>
      <c r="F201" vm="563">
        <f ca="1"/>
        <v>45503</v>
      </c>
      <c r="G201" vm="565">
        <f ca="1"/>
        <v>498.08</v>
      </c>
      <c r="H201">
        <f t="shared" ref="H201:H264" ca="1" si="3">G201/$G$8 * $C$8</f>
        <v>49.809287061681175</v>
      </c>
      <c r="J201" vm="563">
        <v>45503</v>
      </c>
      <c r="K201" vm="564">
        <v>58.92</v>
      </c>
      <c r="L201" s="1">
        <v>49.809287061681175</v>
      </c>
    </row>
    <row r="202" spans="2:12" x14ac:dyDescent="0.2">
      <c r="B202" s="48" vm="566">
        <f ca="1"/>
        <v>45504</v>
      </c>
      <c r="C202" vm="567">
        <f ca="1"/>
        <v>59.11</v>
      </c>
      <c r="D202">
        <v>50.59430734644306</v>
      </c>
      <c r="F202" vm="566">
        <f ca="1"/>
        <v>45504</v>
      </c>
      <c r="G202" vm="568">
        <f ca="1"/>
        <v>505.93</v>
      </c>
      <c r="H202">
        <f t="shared" ca="1" si="3"/>
        <v>50.59430734644306</v>
      </c>
      <c r="J202" vm="566">
        <v>45504</v>
      </c>
      <c r="K202" vm="567">
        <v>59.11</v>
      </c>
      <c r="L202" s="1">
        <v>50.59430734644306</v>
      </c>
    </row>
    <row r="203" spans="2:12" x14ac:dyDescent="0.2">
      <c r="B203" s="48" vm="569">
        <f ca="1"/>
        <v>45505</v>
      </c>
      <c r="C203" vm="570">
        <f ca="1"/>
        <v>58.12</v>
      </c>
      <c r="D203">
        <v>49.904289516524976</v>
      </c>
      <c r="F203" vm="569">
        <f ca="1"/>
        <v>45505</v>
      </c>
      <c r="G203" vm="571">
        <f ca="1"/>
        <v>499.03</v>
      </c>
      <c r="H203">
        <f t="shared" ca="1" si="3"/>
        <v>49.904289516524976</v>
      </c>
      <c r="J203" vm="569">
        <v>45505</v>
      </c>
      <c r="K203" vm="570">
        <v>58.12</v>
      </c>
      <c r="L203" s="1">
        <v>49.904289516524976</v>
      </c>
    </row>
    <row r="204" spans="2:12" x14ac:dyDescent="0.2">
      <c r="B204" s="48" vm="572">
        <f ca="1"/>
        <v>45506</v>
      </c>
      <c r="C204" vm="573">
        <f ca="1"/>
        <v>55.95</v>
      </c>
      <c r="D204">
        <v>48.99226595002456</v>
      </c>
      <c r="F204" vm="572">
        <f ca="1"/>
        <v>45506</v>
      </c>
      <c r="G204" vm="574">
        <f ca="1"/>
        <v>489.91</v>
      </c>
      <c r="H204">
        <f t="shared" ca="1" si="3"/>
        <v>48.99226595002456</v>
      </c>
      <c r="J204" vm="572">
        <v>45506</v>
      </c>
      <c r="K204" vm="573">
        <v>55.95</v>
      </c>
      <c r="L204" s="1">
        <v>48.99226595002456</v>
      </c>
    </row>
    <row r="205" spans="2:12" x14ac:dyDescent="0.2">
      <c r="B205" s="48" vm="575">
        <f ca="1"/>
        <v>45509</v>
      </c>
      <c r="C205" vm="576">
        <f ca="1"/>
        <v>54.37</v>
      </c>
      <c r="D205">
        <v>47.521227938706424</v>
      </c>
      <c r="F205" vm="575">
        <f ca="1"/>
        <v>45509</v>
      </c>
      <c r="G205" vm="577">
        <f ca="1"/>
        <v>475.2</v>
      </c>
      <c r="H205">
        <f t="shared" ca="1" si="3"/>
        <v>47.521227938706424</v>
      </c>
      <c r="J205" vm="575">
        <v>45509</v>
      </c>
      <c r="K205" vm="576">
        <v>54.37</v>
      </c>
      <c r="L205" s="1">
        <v>47.521227938706424</v>
      </c>
    </row>
    <row r="206" spans="2:12" x14ac:dyDescent="0.2">
      <c r="B206" s="48" vm="578">
        <f ca="1"/>
        <v>45510</v>
      </c>
      <c r="C206" vm="579">
        <f ca="1"/>
        <v>56.02</v>
      </c>
      <c r="D206">
        <v>47.995240187084946</v>
      </c>
      <c r="F206" vm="578">
        <f ca="1"/>
        <v>45510</v>
      </c>
      <c r="G206" vm="580">
        <f ca="1"/>
        <v>479.94</v>
      </c>
      <c r="H206">
        <f t="shared" ca="1" si="3"/>
        <v>47.995240187084946</v>
      </c>
      <c r="J206" vm="578">
        <v>45510</v>
      </c>
      <c r="K206" vm="579">
        <v>56.02</v>
      </c>
      <c r="L206" s="1">
        <v>47.995240187084946</v>
      </c>
    </row>
    <row r="207" spans="2:12" x14ac:dyDescent="0.2">
      <c r="B207" s="48" vm="581">
        <f ca="1"/>
        <v>45511</v>
      </c>
      <c r="C207" vm="582">
        <f ca="1"/>
        <v>55.25</v>
      </c>
      <c r="D207">
        <v>47.662231582211433</v>
      </c>
      <c r="F207" vm="581">
        <f ca="1"/>
        <v>45511</v>
      </c>
      <c r="G207" vm="583">
        <f ca="1"/>
        <v>476.61</v>
      </c>
      <c r="H207">
        <f t="shared" ca="1" si="3"/>
        <v>47.662231582211433</v>
      </c>
      <c r="J207" vm="581">
        <v>45511</v>
      </c>
      <c r="K207" vm="582">
        <v>55.25</v>
      </c>
      <c r="L207" s="1">
        <v>47.662231582211433</v>
      </c>
    </row>
    <row r="208" spans="2:12" x14ac:dyDescent="0.2">
      <c r="B208" s="48" vm="584">
        <f ca="1"/>
        <v>45512</v>
      </c>
      <c r="C208" vm="585">
        <f ca="1"/>
        <v>57.31</v>
      </c>
      <c r="D208">
        <v>48.774260316804053</v>
      </c>
      <c r="F208" vm="584">
        <f ca="1"/>
        <v>45512</v>
      </c>
      <c r="G208" vm="586">
        <f ca="1"/>
        <v>487.73</v>
      </c>
      <c r="H208">
        <f t="shared" ca="1" si="3"/>
        <v>48.774260316804053</v>
      </c>
      <c r="J208" vm="584">
        <v>45512</v>
      </c>
      <c r="K208" vm="585">
        <v>57.31</v>
      </c>
      <c r="L208" s="1">
        <v>48.774260316804053</v>
      </c>
    </row>
    <row r="209" spans="2:12" x14ac:dyDescent="0.2">
      <c r="B209" s="48" vm="587">
        <f ca="1"/>
        <v>45513</v>
      </c>
      <c r="C209" vm="588">
        <f ca="1"/>
        <v>58.47</v>
      </c>
      <c r="D209">
        <v>48.983265717460398</v>
      </c>
      <c r="F209" vm="587">
        <f ca="1"/>
        <v>45513</v>
      </c>
      <c r="G209" vm="589">
        <f ca="1"/>
        <v>489.82</v>
      </c>
      <c r="H209">
        <f t="shared" ca="1" si="3"/>
        <v>48.983265717460398</v>
      </c>
      <c r="J209" vm="587">
        <v>45513</v>
      </c>
      <c r="K209" vm="588">
        <v>58.47</v>
      </c>
      <c r="L209" s="1">
        <v>48.983265717460398</v>
      </c>
    </row>
    <row r="210" spans="2:12" x14ac:dyDescent="0.2">
      <c r="B210" s="48" vm="590">
        <f ca="1"/>
        <v>45516</v>
      </c>
      <c r="C210" vm="591">
        <f ca="1"/>
        <v>58.66</v>
      </c>
      <c r="D210">
        <v>49.008266363471925</v>
      </c>
      <c r="F210" vm="590">
        <f ca="1"/>
        <v>45516</v>
      </c>
      <c r="G210" vm="592">
        <f ca="1"/>
        <v>490.07</v>
      </c>
      <c r="H210">
        <f t="shared" ca="1" si="3"/>
        <v>49.008266363471925</v>
      </c>
      <c r="J210" vm="590">
        <v>45516</v>
      </c>
      <c r="K210" vm="591">
        <v>58.66</v>
      </c>
      <c r="L210" s="1">
        <v>49.008266363471925</v>
      </c>
    </row>
    <row r="211" spans="2:12" x14ac:dyDescent="0.2">
      <c r="B211" s="48" vm="593">
        <f ca="1"/>
        <v>45517</v>
      </c>
      <c r="C211" vm="594">
        <f ca="1"/>
        <v>60.31</v>
      </c>
      <c r="D211">
        <v>49.822287397607177</v>
      </c>
      <c r="F211" vm="593">
        <f ca="1"/>
        <v>45517</v>
      </c>
      <c r="G211" vm="595">
        <f ca="1"/>
        <v>498.21</v>
      </c>
      <c r="H211">
        <f t="shared" ca="1" si="3"/>
        <v>49.822287397607177</v>
      </c>
      <c r="J211" vm="593">
        <v>45517</v>
      </c>
      <c r="K211" vm="594">
        <v>60.31</v>
      </c>
      <c r="L211" s="1">
        <v>49.822287397607177</v>
      </c>
    </row>
    <row r="212" spans="2:12" x14ac:dyDescent="0.2">
      <c r="B212" s="48" vm="596">
        <f ca="1"/>
        <v>45518</v>
      </c>
      <c r="C212" vm="597">
        <f ca="1"/>
        <v>59.56</v>
      </c>
      <c r="D212">
        <v>49.981291506240474</v>
      </c>
      <c r="F212" vm="596">
        <f ca="1"/>
        <v>45518</v>
      </c>
      <c r="G212" vm="598">
        <f ca="1"/>
        <v>499.8</v>
      </c>
      <c r="H212">
        <f t="shared" ca="1" si="3"/>
        <v>49.981291506240474</v>
      </c>
      <c r="J212" vm="596">
        <v>45518</v>
      </c>
      <c r="K212" vm="597">
        <v>59.56</v>
      </c>
      <c r="L212" s="1">
        <v>49.981291506240474</v>
      </c>
    </row>
    <row r="213" spans="2:12" x14ac:dyDescent="0.2">
      <c r="B213" s="48" vm="599">
        <f ca="1"/>
        <v>45519</v>
      </c>
      <c r="C213" vm="600">
        <f ca="1"/>
        <v>62.38</v>
      </c>
      <c r="D213">
        <v>50.83931367735601</v>
      </c>
      <c r="F213" vm="599">
        <f ca="1"/>
        <v>45519</v>
      </c>
      <c r="G213" vm="601">
        <f ca="1"/>
        <v>508.38</v>
      </c>
      <c r="H213">
        <f t="shared" ca="1" si="3"/>
        <v>50.83931367735601</v>
      </c>
      <c r="J213" vm="599">
        <v>45519</v>
      </c>
      <c r="K213" vm="600">
        <v>62.38</v>
      </c>
      <c r="L213" s="1">
        <v>50.83931367735601</v>
      </c>
    </row>
    <row r="214" spans="2:12" x14ac:dyDescent="0.2">
      <c r="B214" s="48" vm="602">
        <f ca="1"/>
        <v>45520</v>
      </c>
      <c r="C214" vm="603">
        <f ca="1"/>
        <v>62.89</v>
      </c>
      <c r="D214">
        <v>50.946316442285337</v>
      </c>
      <c r="F214" vm="602">
        <f ca="1"/>
        <v>45520</v>
      </c>
      <c r="G214" vm="604">
        <f ca="1"/>
        <v>509.45</v>
      </c>
      <c r="H214">
        <f t="shared" ca="1" si="3"/>
        <v>50.946316442285337</v>
      </c>
      <c r="J214" vm="602">
        <v>45520</v>
      </c>
      <c r="K214" vm="603">
        <v>62.89</v>
      </c>
      <c r="L214" s="1">
        <v>50.946316442285337</v>
      </c>
    </row>
    <row r="215" spans="2:12" x14ac:dyDescent="0.2">
      <c r="B215" s="48" vm="605">
        <f ca="1"/>
        <v>45523</v>
      </c>
      <c r="C215" vm="606">
        <f ca="1"/>
        <v>61.95</v>
      </c>
      <c r="D215">
        <v>51.436329104111216</v>
      </c>
      <c r="F215" vm="605">
        <f ca="1"/>
        <v>45523</v>
      </c>
      <c r="G215" vm="607">
        <f ca="1"/>
        <v>514.35</v>
      </c>
      <c r="H215">
        <f t="shared" ca="1" si="3"/>
        <v>51.436329104111216</v>
      </c>
      <c r="J215" vm="605">
        <v>45523</v>
      </c>
      <c r="K215" vm="606">
        <v>61.95</v>
      </c>
      <c r="L215" s="1">
        <v>51.436329104111216</v>
      </c>
    </row>
    <row r="216" spans="2:12" x14ac:dyDescent="0.2">
      <c r="B216" s="48" vm="608">
        <f ca="1"/>
        <v>45524</v>
      </c>
      <c r="C216" vm="609">
        <f ca="1"/>
        <v>61.6</v>
      </c>
      <c r="D216">
        <v>51.351326907672032</v>
      </c>
      <c r="F216" vm="608">
        <f ca="1"/>
        <v>45524</v>
      </c>
      <c r="G216" vm="610">
        <f ca="1"/>
        <v>513.5</v>
      </c>
      <c r="H216">
        <f t="shared" ca="1" si="3"/>
        <v>51.351326907672032</v>
      </c>
      <c r="J216" vm="608">
        <v>45524</v>
      </c>
      <c r="K216" vm="609">
        <v>61.6</v>
      </c>
      <c r="L216" s="1">
        <v>51.351326907672032</v>
      </c>
    </row>
    <row r="217" spans="2:12" x14ac:dyDescent="0.2">
      <c r="B217" s="48" vm="611">
        <f ca="1"/>
        <v>45525</v>
      </c>
      <c r="C217" vm="612">
        <f ca="1"/>
        <v>63.03</v>
      </c>
      <c r="D217">
        <v>51.53133155895501</v>
      </c>
      <c r="F217" vm="611">
        <f ca="1"/>
        <v>45525</v>
      </c>
      <c r="G217" vm="613">
        <f ca="1"/>
        <v>515.29999999999995</v>
      </c>
      <c r="H217">
        <f t="shared" ca="1" si="3"/>
        <v>51.53133155895501</v>
      </c>
      <c r="J217" vm="611">
        <v>45525</v>
      </c>
      <c r="K217" vm="612">
        <v>63.03</v>
      </c>
      <c r="L217" s="1">
        <v>51.53133155895501</v>
      </c>
    </row>
    <row r="218" spans="2:12" x14ac:dyDescent="0.2">
      <c r="B218" s="48" vm="614">
        <f ca="1"/>
        <v>45526</v>
      </c>
      <c r="C218" vm="615">
        <f ca="1"/>
        <v>62.22</v>
      </c>
      <c r="D218">
        <v>51.114320783482775</v>
      </c>
      <c r="F218" vm="614">
        <f ca="1"/>
        <v>45526</v>
      </c>
      <c r="G218" vm="616">
        <f ca="1"/>
        <v>511.13</v>
      </c>
      <c r="H218">
        <f t="shared" ca="1" si="3"/>
        <v>51.114320783482775</v>
      </c>
      <c r="J218" vm="614">
        <v>45526</v>
      </c>
      <c r="K218" vm="615">
        <v>62.22</v>
      </c>
      <c r="L218" s="1">
        <v>51.114320783482775</v>
      </c>
    </row>
    <row r="219" spans="2:12" x14ac:dyDescent="0.2">
      <c r="B219" s="48" vm="617">
        <f ca="1"/>
        <v>45527</v>
      </c>
      <c r="C219" vm="618">
        <f ca="1"/>
        <v>63.57</v>
      </c>
      <c r="D219">
        <v>51.667335073257703</v>
      </c>
      <c r="F219" vm="617">
        <f ca="1"/>
        <v>45527</v>
      </c>
      <c r="G219" vm="619">
        <f ca="1"/>
        <v>516.66</v>
      </c>
      <c r="H219">
        <f t="shared" ca="1" si="3"/>
        <v>51.667335073257703</v>
      </c>
      <c r="J219" vm="617">
        <v>45527</v>
      </c>
      <c r="K219" vm="618">
        <v>63.57</v>
      </c>
      <c r="L219" s="1">
        <v>51.667335073257703</v>
      </c>
    </row>
    <row r="220" spans="2:12" x14ac:dyDescent="0.2">
      <c r="B220" s="48" vm="620">
        <f ca="1"/>
        <v>45530</v>
      </c>
      <c r="C220" vm="621">
        <f ca="1"/>
        <v>62.4</v>
      </c>
      <c r="D220">
        <v>51.540331791519158</v>
      </c>
      <c r="F220" vm="620">
        <f ca="1"/>
        <v>45530</v>
      </c>
      <c r="G220" vm="622">
        <f ca="1"/>
        <v>515.39</v>
      </c>
      <c r="H220">
        <f t="shared" ca="1" si="3"/>
        <v>51.540331791519158</v>
      </c>
      <c r="J220" vm="620">
        <v>45530</v>
      </c>
      <c r="K220" vm="621">
        <v>62.4</v>
      </c>
      <c r="L220" s="1">
        <v>51.540331791519158</v>
      </c>
    </row>
    <row r="221" spans="2:12" x14ac:dyDescent="0.2">
      <c r="B221" s="48" vm="623">
        <f ca="1"/>
        <v>45531</v>
      </c>
      <c r="C221" vm="624">
        <f ca="1"/>
        <v>61.97</v>
      </c>
      <c r="D221">
        <v>51.609333574510977</v>
      </c>
      <c r="F221" vm="623">
        <f ca="1"/>
        <v>45531</v>
      </c>
      <c r="G221" vm="625">
        <f ca="1"/>
        <v>516.08000000000004</v>
      </c>
      <c r="H221">
        <f t="shared" ca="1" si="3"/>
        <v>51.609333574510977</v>
      </c>
      <c r="J221" vm="623">
        <v>45531</v>
      </c>
      <c r="K221" vm="624">
        <v>61.97</v>
      </c>
      <c r="L221" s="1">
        <v>51.609333574510977</v>
      </c>
    </row>
    <row r="222" spans="2:12" x14ac:dyDescent="0.2">
      <c r="B222" s="48" vm="626">
        <f ca="1"/>
        <v>45532</v>
      </c>
      <c r="C222" vm="627">
        <f ca="1"/>
        <v>60.7</v>
      </c>
      <c r="D222">
        <v>51.314325951574979</v>
      </c>
      <c r="F222" vm="626">
        <f ca="1"/>
        <v>45532</v>
      </c>
      <c r="G222" vm="628">
        <f ca="1"/>
        <v>513.13</v>
      </c>
      <c r="H222">
        <f t="shared" ca="1" si="3"/>
        <v>51.314325951574979</v>
      </c>
      <c r="J222" vm="626">
        <v>45532</v>
      </c>
      <c r="K222" vm="627">
        <v>60.7</v>
      </c>
      <c r="L222" s="1">
        <v>51.314325951574979</v>
      </c>
    </row>
    <row r="223" spans="2:12" x14ac:dyDescent="0.2">
      <c r="B223" s="48" vm="629">
        <f ca="1"/>
        <v>45533</v>
      </c>
      <c r="C223" vm="630">
        <f ca="1"/>
        <v>50.9</v>
      </c>
      <c r="D223">
        <v>51.322326158298672</v>
      </c>
      <c r="F223" vm="629">
        <f ca="1"/>
        <v>45533</v>
      </c>
      <c r="G223" vm="631">
        <f ca="1"/>
        <v>513.21</v>
      </c>
      <c r="H223">
        <f t="shared" ca="1" si="3"/>
        <v>51.322326158298672</v>
      </c>
      <c r="J223" vm="629">
        <v>45533</v>
      </c>
      <c r="K223" vm="630">
        <v>50.9</v>
      </c>
      <c r="L223" s="1">
        <v>51.322326158298672</v>
      </c>
    </row>
    <row r="224" spans="2:12" x14ac:dyDescent="0.2">
      <c r="B224" s="48" vm="632">
        <f ca="1"/>
        <v>45534</v>
      </c>
      <c r="C224" vm="633">
        <f ca="1"/>
        <v>49.9</v>
      </c>
      <c r="D224">
        <v>51.80533863924132</v>
      </c>
      <c r="F224" vm="632">
        <f ca="1"/>
        <v>45534</v>
      </c>
      <c r="G224" vm="634">
        <f ca="1"/>
        <v>518.04</v>
      </c>
      <c r="H224">
        <f t="shared" ca="1" si="3"/>
        <v>51.80533863924132</v>
      </c>
      <c r="J224" vm="632">
        <v>45534</v>
      </c>
      <c r="K224" vm="633">
        <v>49.9</v>
      </c>
      <c r="L224" s="1">
        <v>51.80533863924132</v>
      </c>
    </row>
    <row r="225" spans="2:12" x14ac:dyDescent="0.2">
      <c r="B225" s="48" vm="635">
        <f ca="1"/>
        <v>45538</v>
      </c>
      <c r="C225" vm="234">
        <f ca="1"/>
        <v>49.85</v>
      </c>
      <c r="D225">
        <v>50.757311558438211</v>
      </c>
      <c r="F225" vm="635">
        <f ca="1"/>
        <v>45538</v>
      </c>
      <c r="G225" vm="636">
        <f ca="1"/>
        <v>507.56</v>
      </c>
      <c r="H225">
        <f t="shared" ca="1" si="3"/>
        <v>50.757311558438211</v>
      </c>
      <c r="J225" vm="635">
        <v>45538</v>
      </c>
      <c r="K225" vm="234">
        <v>49.85</v>
      </c>
      <c r="L225" s="1">
        <v>50.757311558438211</v>
      </c>
    </row>
    <row r="226" spans="2:12" x14ac:dyDescent="0.2">
      <c r="B226" s="48" vm="637">
        <f ca="1"/>
        <v>45539</v>
      </c>
      <c r="C226" vm="638">
        <f ca="1"/>
        <v>48.21</v>
      </c>
      <c r="D226">
        <v>50.63130830254012</v>
      </c>
      <c r="F226" vm="637">
        <f ca="1"/>
        <v>45539</v>
      </c>
      <c r="G226" vm="639">
        <f ca="1"/>
        <v>506.3</v>
      </c>
      <c r="H226">
        <f t="shared" ca="1" si="3"/>
        <v>50.63130830254012</v>
      </c>
      <c r="J226" vm="637">
        <v>45539</v>
      </c>
      <c r="K226" vm="638">
        <v>48.21</v>
      </c>
      <c r="L226" s="1">
        <v>50.63130830254012</v>
      </c>
    </row>
    <row r="227" spans="2:12" x14ac:dyDescent="0.2">
      <c r="B227" s="48" vm="640">
        <f ca="1"/>
        <v>45540</v>
      </c>
      <c r="C227" vm="201">
        <f ca="1"/>
        <v>47.5</v>
      </c>
      <c r="D227">
        <v>50.506305072482498</v>
      </c>
      <c r="F227" vm="640">
        <f ca="1"/>
        <v>45540</v>
      </c>
      <c r="G227" vm="641">
        <f ca="1"/>
        <v>505.05</v>
      </c>
      <c r="H227">
        <f t="shared" ca="1" si="3"/>
        <v>50.506305072482498</v>
      </c>
      <c r="J227" vm="640">
        <v>45540</v>
      </c>
      <c r="K227" vm="201">
        <v>47.5</v>
      </c>
      <c r="L227" s="1">
        <v>50.506305072482498</v>
      </c>
    </row>
    <row r="228" spans="2:12" x14ac:dyDescent="0.2">
      <c r="B228" s="48" vm="642">
        <f ca="1"/>
        <v>45541</v>
      </c>
      <c r="C228" vm="643">
        <f ca="1"/>
        <v>45.41</v>
      </c>
      <c r="D228">
        <v>49.665283340654796</v>
      </c>
      <c r="F228" vm="642">
        <f ca="1"/>
        <v>45541</v>
      </c>
      <c r="G228" vm="644">
        <f ca="1"/>
        <v>496.64</v>
      </c>
      <c r="H228">
        <f t="shared" ca="1" si="3"/>
        <v>49.665283340654796</v>
      </c>
      <c r="J228" vm="642">
        <v>45541</v>
      </c>
      <c r="K228" vm="643">
        <v>45.41</v>
      </c>
      <c r="L228" s="1">
        <v>49.665283340654796</v>
      </c>
    </row>
    <row r="229" spans="2:12" x14ac:dyDescent="0.2">
      <c r="B229" s="48" vm="645">
        <f ca="1"/>
        <v>45544</v>
      </c>
      <c r="C229" vm="646">
        <f ca="1"/>
        <v>44.58</v>
      </c>
      <c r="D229">
        <v>50.224297785472494</v>
      </c>
      <c r="F229" vm="645">
        <f ca="1"/>
        <v>45544</v>
      </c>
      <c r="G229" vm="647">
        <f ca="1"/>
        <v>502.23</v>
      </c>
      <c r="H229">
        <f t="shared" ca="1" si="3"/>
        <v>50.224297785472494</v>
      </c>
      <c r="J229" vm="645">
        <v>45544</v>
      </c>
      <c r="K229" vm="646">
        <v>44.58</v>
      </c>
      <c r="L229" s="1">
        <v>50.224297785472494</v>
      </c>
    </row>
    <row r="230" spans="2:12" x14ac:dyDescent="0.2">
      <c r="B230" s="48" vm="648">
        <f ca="1"/>
        <v>45545</v>
      </c>
      <c r="C230" vm="649">
        <f ca="1"/>
        <v>43.88</v>
      </c>
      <c r="D230">
        <v>50.431303134447923</v>
      </c>
      <c r="F230" vm="648">
        <f ca="1"/>
        <v>45545</v>
      </c>
      <c r="G230" vm="650">
        <f ca="1"/>
        <v>504.3</v>
      </c>
      <c r="H230">
        <f t="shared" ca="1" si="3"/>
        <v>50.431303134447923</v>
      </c>
      <c r="J230" vm="648">
        <v>45545</v>
      </c>
      <c r="K230" vm="649">
        <v>43.88</v>
      </c>
      <c r="L230" s="1">
        <v>50.431303134447923</v>
      </c>
    </row>
    <row r="231" spans="2:12" x14ac:dyDescent="0.2">
      <c r="B231" s="48" vm="651">
        <f ca="1"/>
        <v>45546</v>
      </c>
      <c r="C231" vm="652">
        <f ca="1"/>
        <v>44.79</v>
      </c>
      <c r="D231">
        <v>50.947316468125791</v>
      </c>
      <c r="F231" vm="651">
        <f ca="1"/>
        <v>45546</v>
      </c>
      <c r="G231" vm="653">
        <f ca="1"/>
        <v>509.46</v>
      </c>
      <c r="H231">
        <f t="shared" ca="1" si="3"/>
        <v>50.947316468125791</v>
      </c>
      <c r="J231" vm="651">
        <v>45546</v>
      </c>
      <c r="K231" vm="652">
        <v>44.79</v>
      </c>
      <c r="L231" s="1">
        <v>50.947316468125791</v>
      </c>
    </row>
    <row r="232" spans="2:12" x14ac:dyDescent="0.2">
      <c r="B232" s="48" vm="654">
        <f ca="1"/>
        <v>45547</v>
      </c>
      <c r="C232" vm="293">
        <f ca="1"/>
        <v>46.43</v>
      </c>
      <c r="D232">
        <v>51.385327786247714</v>
      </c>
      <c r="F232" vm="654">
        <f ca="1"/>
        <v>45547</v>
      </c>
      <c r="G232" vm="655">
        <f ca="1"/>
        <v>513.84</v>
      </c>
      <c r="H232">
        <f t="shared" ca="1" si="3"/>
        <v>51.385327786247714</v>
      </c>
      <c r="J232" vm="654">
        <v>45547</v>
      </c>
      <c r="K232" vm="293">
        <v>46.43</v>
      </c>
      <c r="L232" s="1">
        <v>51.385327786247714</v>
      </c>
    </row>
    <row r="233" spans="2:12" x14ac:dyDescent="0.2">
      <c r="B233" s="48" vm="656">
        <f ca="1"/>
        <v>45548</v>
      </c>
      <c r="C233" vm="657">
        <f ca="1"/>
        <v>46.24</v>
      </c>
      <c r="D233">
        <v>51.658334840693563</v>
      </c>
      <c r="F233" vm="656">
        <f ca="1"/>
        <v>45548</v>
      </c>
      <c r="G233" vm="658">
        <f ca="1"/>
        <v>516.57000000000005</v>
      </c>
      <c r="H233">
        <f t="shared" ca="1" si="3"/>
        <v>51.658334840693563</v>
      </c>
      <c r="J233" vm="656">
        <v>45548</v>
      </c>
      <c r="K233" vm="657">
        <v>46.24</v>
      </c>
      <c r="L233" s="1">
        <v>51.658334840693563</v>
      </c>
    </row>
    <row r="234" spans="2:12" x14ac:dyDescent="0.2">
      <c r="B234" s="48" vm="659">
        <f ca="1"/>
        <v>45551</v>
      </c>
      <c r="C234" vm="660">
        <f ca="1"/>
        <v>48.24</v>
      </c>
      <c r="D234">
        <v>51.736336856249522</v>
      </c>
      <c r="F234" vm="659">
        <f ca="1"/>
        <v>45551</v>
      </c>
      <c r="G234" vm="661">
        <f ca="1"/>
        <v>517.35</v>
      </c>
      <c r="H234">
        <f t="shared" ca="1" si="3"/>
        <v>51.736336856249522</v>
      </c>
      <c r="J234" vm="659">
        <v>45551</v>
      </c>
      <c r="K234" vm="660">
        <v>48.24</v>
      </c>
      <c r="L234" s="1">
        <v>51.736336856249522</v>
      </c>
    </row>
    <row r="235" spans="2:12" x14ac:dyDescent="0.2">
      <c r="B235" s="48" vm="662">
        <f ca="1"/>
        <v>45552</v>
      </c>
      <c r="C235" vm="660">
        <f ca="1"/>
        <v>48.24</v>
      </c>
      <c r="D235">
        <v>51.760337476420588</v>
      </c>
      <c r="F235" vm="662">
        <f ca="1"/>
        <v>45552</v>
      </c>
      <c r="G235" vm="663">
        <f ca="1"/>
        <v>517.59</v>
      </c>
      <c r="H235">
        <f t="shared" ca="1" si="3"/>
        <v>51.760337476420588</v>
      </c>
      <c r="J235" vm="662">
        <v>45552</v>
      </c>
      <c r="K235" vm="660">
        <v>48.24</v>
      </c>
      <c r="L235" s="1">
        <v>51.760337476420588</v>
      </c>
    </row>
    <row r="236" spans="2:12" x14ac:dyDescent="0.2">
      <c r="B236" s="48" vm="664">
        <f ca="1"/>
        <v>45553</v>
      </c>
      <c r="C236" vm="660">
        <f ca="1"/>
        <v>48.24</v>
      </c>
      <c r="D236">
        <v>51.592333135223129</v>
      </c>
      <c r="F236" vm="664">
        <f ca="1"/>
        <v>45553</v>
      </c>
      <c r="G236" vm="665">
        <f ca="1"/>
        <v>515.91</v>
      </c>
      <c r="H236">
        <f t="shared" ca="1" si="3"/>
        <v>51.592333135223129</v>
      </c>
      <c r="J236" vm="664">
        <v>45553</v>
      </c>
      <c r="K236" vm="660">
        <v>48.24</v>
      </c>
      <c r="L236" s="1">
        <v>51.592333135223129</v>
      </c>
    </row>
    <row r="237" spans="2:12" x14ac:dyDescent="0.2">
      <c r="B237" s="48" vm="666">
        <f ca="1"/>
        <v>45554</v>
      </c>
      <c r="C237" vm="225">
        <f ca="1"/>
        <v>47.86</v>
      </c>
      <c r="D237">
        <v>52.492356391638033</v>
      </c>
      <c r="F237" vm="666">
        <f ca="1"/>
        <v>45554</v>
      </c>
      <c r="G237" vm="667">
        <f ca="1"/>
        <v>524.91</v>
      </c>
      <c r="H237">
        <f t="shared" ca="1" si="3"/>
        <v>52.492356391638033</v>
      </c>
      <c r="J237" vm="666">
        <v>45554</v>
      </c>
      <c r="K237" vm="225">
        <v>47.86</v>
      </c>
      <c r="L237" s="1">
        <v>52.492356391638033</v>
      </c>
    </row>
    <row r="238" spans="2:12" x14ac:dyDescent="0.2">
      <c r="B238" s="48" vm="668">
        <f ca="1"/>
        <v>45555</v>
      </c>
      <c r="C238" vm="267">
        <f ca="1"/>
        <v>47.83</v>
      </c>
      <c r="D238">
        <v>52.389353730070546</v>
      </c>
      <c r="F238" vm="668">
        <f ca="1"/>
        <v>45555</v>
      </c>
      <c r="G238" vm="669">
        <f ca="1"/>
        <v>523.88</v>
      </c>
      <c r="H238">
        <f t="shared" ca="1" si="3"/>
        <v>52.389353730070546</v>
      </c>
      <c r="J238" vm="668">
        <v>45555</v>
      </c>
      <c r="K238" vm="267">
        <v>47.83</v>
      </c>
      <c r="L238" s="1">
        <v>52.389353730070546</v>
      </c>
    </row>
    <row r="239" spans="2:12" x14ac:dyDescent="0.2">
      <c r="B239" s="48" vm="670">
        <f ca="1"/>
        <v>45558</v>
      </c>
      <c r="C239" vm="671">
        <f ca="1"/>
        <v>49.17</v>
      </c>
      <c r="D239">
        <v>52.518357063490008</v>
      </c>
      <c r="F239" vm="670">
        <f ca="1"/>
        <v>45558</v>
      </c>
      <c r="G239" vm="672">
        <f ca="1"/>
        <v>525.16999999999996</v>
      </c>
      <c r="H239">
        <f t="shared" ca="1" si="3"/>
        <v>52.518357063490008</v>
      </c>
      <c r="J239" vm="670">
        <v>45558</v>
      </c>
      <c r="K239" vm="671">
        <v>49.17</v>
      </c>
      <c r="L239" s="1">
        <v>52.518357063490008</v>
      </c>
    </row>
    <row r="240" spans="2:12" x14ac:dyDescent="0.2">
      <c r="B240" s="48" vm="673">
        <f ca="1"/>
        <v>45559</v>
      </c>
      <c r="C240" vm="674">
        <f ca="1"/>
        <v>50.17</v>
      </c>
      <c r="D240">
        <v>52.669360965399619</v>
      </c>
      <c r="F240" vm="673">
        <f ca="1"/>
        <v>45559</v>
      </c>
      <c r="G240" vm="675">
        <f ca="1"/>
        <v>526.67999999999995</v>
      </c>
      <c r="H240">
        <f t="shared" ca="1" si="3"/>
        <v>52.669360965399619</v>
      </c>
      <c r="J240" vm="673">
        <v>45559</v>
      </c>
      <c r="K240" vm="674">
        <v>50.17</v>
      </c>
      <c r="L240" s="1">
        <v>52.669360965399619</v>
      </c>
    </row>
    <row r="241" spans="2:12" x14ac:dyDescent="0.2">
      <c r="B241" s="48" vm="676">
        <f ca="1"/>
        <v>45560</v>
      </c>
      <c r="C241" vm="677">
        <f ca="1"/>
        <v>49.35</v>
      </c>
      <c r="D241">
        <v>52.5623582004703</v>
      </c>
      <c r="F241" vm="676">
        <f ca="1"/>
        <v>45560</v>
      </c>
      <c r="G241" vm="678">
        <f ca="1"/>
        <v>525.61</v>
      </c>
      <c r="H241">
        <f t="shared" ca="1" si="3"/>
        <v>52.5623582004703</v>
      </c>
      <c r="J241" vm="676">
        <v>45560</v>
      </c>
      <c r="K241" vm="677">
        <v>49.35</v>
      </c>
      <c r="L241" s="1">
        <v>52.5623582004703</v>
      </c>
    </row>
    <row r="242" spans="2:12" x14ac:dyDescent="0.2">
      <c r="B242" s="48" vm="679">
        <f ca="1"/>
        <v>45561</v>
      </c>
      <c r="C242" vm="680">
        <f ca="1"/>
        <v>49.83</v>
      </c>
      <c r="D242">
        <v>52.771363601126652</v>
      </c>
      <c r="F242" vm="679">
        <f ca="1"/>
        <v>45561</v>
      </c>
      <c r="G242" vm="681">
        <f ca="1"/>
        <v>527.70000000000005</v>
      </c>
      <c r="H242">
        <f t="shared" ca="1" si="3"/>
        <v>52.771363601126652</v>
      </c>
      <c r="J242" vm="679">
        <v>45561</v>
      </c>
      <c r="K242" vm="680">
        <v>49.83</v>
      </c>
      <c r="L242" s="1">
        <v>52.771363601126652</v>
      </c>
    </row>
    <row r="243" spans="2:12" x14ac:dyDescent="0.2">
      <c r="B243" s="48" vm="682">
        <f ca="1"/>
        <v>45562</v>
      </c>
      <c r="C243" vm="240">
        <f ca="1"/>
        <v>49.25</v>
      </c>
      <c r="D243">
        <v>52.539357606139696</v>
      </c>
      <c r="F243" vm="682">
        <f ca="1"/>
        <v>45562</v>
      </c>
      <c r="G243" vm="683">
        <f ca="1"/>
        <v>525.38</v>
      </c>
      <c r="H243">
        <f t="shared" ca="1" si="3"/>
        <v>52.539357606139696</v>
      </c>
      <c r="J243" vm="682">
        <v>45562</v>
      </c>
      <c r="K243" vm="240">
        <v>49.25</v>
      </c>
      <c r="L243" s="1">
        <v>52.539357606139696</v>
      </c>
    </row>
    <row r="244" spans="2:12" x14ac:dyDescent="0.2">
      <c r="B244" s="48" vm="684">
        <f ca="1"/>
        <v>45565</v>
      </c>
      <c r="C244" vm="685">
        <f ca="1"/>
        <v>49.29</v>
      </c>
      <c r="D244">
        <v>52.76836352360526</v>
      </c>
      <c r="F244" vm="684">
        <f ca="1"/>
        <v>45565</v>
      </c>
      <c r="G244" vm="686">
        <f ca="1"/>
        <v>527.66999999999996</v>
      </c>
      <c r="H244">
        <f t="shared" ca="1" si="3"/>
        <v>52.76836352360526</v>
      </c>
      <c r="J244" vm="684">
        <v>45565</v>
      </c>
      <c r="K244" vm="685">
        <v>49.29</v>
      </c>
      <c r="L244" s="1">
        <v>52.76836352360526</v>
      </c>
    </row>
    <row r="245" spans="2:12" x14ac:dyDescent="0.2">
      <c r="B245" s="48" vm="687">
        <f ca="1"/>
        <v>45566</v>
      </c>
      <c r="C245" vm="688">
        <f ca="1"/>
        <v>47.97</v>
      </c>
      <c r="D245">
        <v>52.275350784257995</v>
      </c>
      <c r="F245" vm="687">
        <f ca="1"/>
        <v>45566</v>
      </c>
      <c r="G245" vm="689">
        <f ca="1"/>
        <v>522.74</v>
      </c>
      <c r="H245">
        <f t="shared" ca="1" si="3"/>
        <v>52.275350784257995</v>
      </c>
      <c r="J245" vm="687">
        <v>45566</v>
      </c>
      <c r="K245" vm="688">
        <v>47.97</v>
      </c>
      <c r="L245" s="1">
        <v>52.275350784257995</v>
      </c>
    </row>
    <row r="246" spans="2:12" x14ac:dyDescent="0.2">
      <c r="B246" s="48" vm="690">
        <f ca="1"/>
        <v>45567</v>
      </c>
      <c r="C246" vm="691">
        <f ca="1"/>
        <v>47.45</v>
      </c>
      <c r="D246">
        <v>52.28435101682215</v>
      </c>
      <c r="F246" vm="690">
        <f ca="1"/>
        <v>45567</v>
      </c>
      <c r="G246" vm="692">
        <f ca="1"/>
        <v>522.83000000000004</v>
      </c>
      <c r="H246">
        <f t="shared" ca="1" si="3"/>
        <v>52.28435101682215</v>
      </c>
      <c r="J246" vm="690">
        <v>45567</v>
      </c>
      <c r="K246" vm="691">
        <v>47.45</v>
      </c>
      <c r="L246" s="1">
        <v>52.28435101682215</v>
      </c>
    </row>
    <row r="247" spans="2:12" x14ac:dyDescent="0.2">
      <c r="B247" s="48" vm="693">
        <f ca="1"/>
        <v>45568</v>
      </c>
      <c r="C247" vm="410">
        <f ca="1"/>
        <v>47.44</v>
      </c>
      <c r="D247">
        <v>52.18534845861651</v>
      </c>
      <c r="F247" vm="693">
        <f ca="1"/>
        <v>45568</v>
      </c>
      <c r="G247" vm="694">
        <f ca="1"/>
        <v>521.84</v>
      </c>
      <c r="H247">
        <f t="shared" ca="1" si="3"/>
        <v>52.18534845861651</v>
      </c>
      <c r="J247" vm="693">
        <v>45568</v>
      </c>
      <c r="K247" vm="410">
        <v>47.44</v>
      </c>
      <c r="L247" s="1">
        <v>52.18534845861651</v>
      </c>
    </row>
    <row r="248" spans="2:12" x14ac:dyDescent="0.2">
      <c r="B248" s="48" vm="695">
        <f ca="1"/>
        <v>45569</v>
      </c>
      <c r="C248" vm="696">
        <f ca="1"/>
        <v>48.81</v>
      </c>
      <c r="D248">
        <v>52.666360887878241</v>
      </c>
      <c r="F248" vm="695">
        <f ca="1"/>
        <v>45569</v>
      </c>
      <c r="G248" vm="697">
        <f ca="1"/>
        <v>526.65</v>
      </c>
      <c r="H248">
        <f t="shared" ca="1" si="3"/>
        <v>52.666360887878241</v>
      </c>
      <c r="J248" vm="695">
        <v>45569</v>
      </c>
      <c r="K248" vm="696">
        <v>48.81</v>
      </c>
      <c r="L248" s="1">
        <v>52.666360887878241</v>
      </c>
    </row>
    <row r="249" spans="2:12" x14ac:dyDescent="0.2">
      <c r="B249" s="48" vm="698">
        <f ca="1"/>
        <v>45572</v>
      </c>
      <c r="C249" vm="699">
        <f ca="1"/>
        <v>47.27</v>
      </c>
      <c r="D249">
        <v>52.192348639499727</v>
      </c>
      <c r="F249" vm="698">
        <f ca="1"/>
        <v>45572</v>
      </c>
      <c r="G249" vm="700">
        <f ca="1"/>
        <v>521.91</v>
      </c>
      <c r="H249">
        <f t="shared" ca="1" si="3"/>
        <v>52.192348639499727</v>
      </c>
      <c r="J249" vm="698">
        <v>45572</v>
      </c>
      <c r="K249" vm="699">
        <v>47.27</v>
      </c>
      <c r="L249" s="1">
        <v>52.192348639499727</v>
      </c>
    </row>
    <row r="250" spans="2:12" x14ac:dyDescent="0.2">
      <c r="B250" s="48" vm="701">
        <f ca="1"/>
        <v>45573</v>
      </c>
      <c r="C250" vm="702">
        <f ca="1"/>
        <v>47.79</v>
      </c>
      <c r="D250">
        <v>52.686361404687467</v>
      </c>
      <c r="F250" vm="701">
        <f ca="1"/>
        <v>45573</v>
      </c>
      <c r="G250" vm="703">
        <f ca="1"/>
        <v>526.85</v>
      </c>
      <c r="H250">
        <f t="shared" ca="1" si="3"/>
        <v>52.686361404687467</v>
      </c>
      <c r="J250" vm="701">
        <v>45573</v>
      </c>
      <c r="K250" vm="702">
        <v>47.79</v>
      </c>
      <c r="L250" s="1">
        <v>52.686361404687467</v>
      </c>
    </row>
    <row r="251" spans="2:12" x14ac:dyDescent="0.2">
      <c r="B251" s="48" vm="704">
        <f ca="1"/>
        <v>45574</v>
      </c>
      <c r="C251" vm="705">
        <f ca="1"/>
        <v>48.83</v>
      </c>
      <c r="D251">
        <v>53.046370707253423</v>
      </c>
      <c r="F251" vm="704">
        <f ca="1"/>
        <v>45574</v>
      </c>
      <c r="G251" vm="706">
        <f ca="1"/>
        <v>530.45000000000005</v>
      </c>
      <c r="H251">
        <f t="shared" ca="1" si="3"/>
        <v>53.046370707253423</v>
      </c>
      <c r="J251" vm="704">
        <v>45574</v>
      </c>
      <c r="K251" vm="705">
        <v>48.83</v>
      </c>
      <c r="L251" s="1">
        <v>53.046370707253423</v>
      </c>
    </row>
    <row r="252" spans="2:12" x14ac:dyDescent="0.2">
      <c r="B252" s="48" vm="707">
        <f ca="1"/>
        <v>45575</v>
      </c>
      <c r="C252" vm="708">
        <f ca="1"/>
        <v>49.84</v>
      </c>
      <c r="D252">
        <v>52.957368407452385</v>
      </c>
      <c r="F252" vm="707">
        <f ca="1"/>
        <v>45575</v>
      </c>
      <c r="G252" vm="709">
        <f ca="1"/>
        <v>529.55999999999995</v>
      </c>
      <c r="H252">
        <f t="shared" ca="1" si="3"/>
        <v>52.957368407452385</v>
      </c>
      <c r="J252" vm="707">
        <v>45575</v>
      </c>
      <c r="K252" vm="708">
        <v>49.84</v>
      </c>
      <c r="L252" s="1">
        <v>52.957368407452385</v>
      </c>
    </row>
    <row r="253" spans="2:12" x14ac:dyDescent="0.2">
      <c r="B253" s="48" vm="710">
        <f ca="1"/>
        <v>45576</v>
      </c>
      <c r="C253" vm="711">
        <f ca="1"/>
        <v>50.02</v>
      </c>
      <c r="D253">
        <v>53.272376547197609</v>
      </c>
      <c r="F253" vm="710">
        <f ca="1"/>
        <v>45576</v>
      </c>
      <c r="G253" vm="712">
        <f ca="1"/>
        <v>532.71</v>
      </c>
      <c r="H253">
        <f t="shared" ca="1" si="3"/>
        <v>53.272376547197609</v>
      </c>
      <c r="J253" vm="710">
        <v>45576</v>
      </c>
      <c r="K253" vm="711">
        <v>50.02</v>
      </c>
      <c r="L253" s="1">
        <v>53.272376547197609</v>
      </c>
    </row>
    <row r="254" spans="2:12" x14ac:dyDescent="0.2">
      <c r="B254" s="48" vm="713">
        <f ca="1"/>
        <v>45579</v>
      </c>
      <c r="C254" vm="714">
        <f ca="1"/>
        <v>51.77</v>
      </c>
      <c r="D254">
        <v>53.708387813638602</v>
      </c>
      <c r="F254" vm="713">
        <f ca="1"/>
        <v>45579</v>
      </c>
      <c r="G254" vm="715">
        <f ca="1"/>
        <v>537.07000000000005</v>
      </c>
      <c r="H254">
        <f t="shared" ca="1" si="3"/>
        <v>53.708387813638602</v>
      </c>
      <c r="J254" vm="713">
        <v>45579</v>
      </c>
      <c r="K254" vm="714">
        <v>51.77</v>
      </c>
      <c r="L254" s="1">
        <v>53.708387813638602</v>
      </c>
    </row>
    <row r="255" spans="2:12" x14ac:dyDescent="0.2">
      <c r="B255" s="48" vm="716">
        <f ca="1"/>
        <v>45580</v>
      </c>
      <c r="C255" vm="717">
        <f ca="1"/>
        <v>50.44</v>
      </c>
      <c r="D255">
        <v>53.299377244890053</v>
      </c>
      <c r="F255" vm="716">
        <f ca="1"/>
        <v>45580</v>
      </c>
      <c r="G255" vm="718">
        <f ca="1"/>
        <v>532.98</v>
      </c>
      <c r="H255">
        <f t="shared" ca="1" si="3"/>
        <v>53.299377244890053</v>
      </c>
      <c r="J255" vm="716">
        <v>45580</v>
      </c>
      <c r="K255" vm="717">
        <v>50.44</v>
      </c>
      <c r="L255" s="1">
        <v>53.299377244890053</v>
      </c>
    </row>
    <row r="256" spans="2:12" x14ac:dyDescent="0.2">
      <c r="B256" s="48" vm="719">
        <f ca="1"/>
        <v>45581</v>
      </c>
      <c r="C256" vm="720">
        <f ca="1"/>
        <v>50.36</v>
      </c>
      <c r="D256">
        <v>53.523383033153316</v>
      </c>
      <c r="F256" vm="719">
        <f ca="1"/>
        <v>45581</v>
      </c>
      <c r="G256" vm="721">
        <f ca="1"/>
        <v>535.22</v>
      </c>
      <c r="H256">
        <f t="shared" ca="1" si="3"/>
        <v>53.523383033153316</v>
      </c>
      <c r="J256" vm="719">
        <v>45581</v>
      </c>
      <c r="K256" vm="720">
        <v>50.36</v>
      </c>
      <c r="L256" s="1">
        <v>53.523383033153316</v>
      </c>
    </row>
    <row r="257" spans="2:12" x14ac:dyDescent="0.2">
      <c r="B257" s="48" vm="722">
        <f ca="1"/>
        <v>45582</v>
      </c>
      <c r="C257" vm="723">
        <f ca="1"/>
        <v>50.48</v>
      </c>
      <c r="D257">
        <v>53.531383239876995</v>
      </c>
      <c r="F257" vm="722">
        <f ca="1"/>
        <v>45582</v>
      </c>
      <c r="G257" vm="724">
        <f ca="1"/>
        <v>535.29999999999995</v>
      </c>
      <c r="H257">
        <f t="shared" ca="1" si="3"/>
        <v>53.531383239876995</v>
      </c>
      <c r="J257" vm="722">
        <v>45582</v>
      </c>
      <c r="K257" vm="723">
        <v>50.48</v>
      </c>
      <c r="L257" s="1">
        <v>53.531383239876995</v>
      </c>
    </row>
    <row r="258" spans="2:12" x14ac:dyDescent="0.2">
      <c r="B258" s="48" vm="725">
        <f ca="1"/>
        <v>45583</v>
      </c>
      <c r="C258" vm="726">
        <f ca="1"/>
        <v>51.78</v>
      </c>
      <c r="D258">
        <v>53.737388563011969</v>
      </c>
      <c r="F258" vm="725">
        <f ca="1"/>
        <v>45583</v>
      </c>
      <c r="G258" vm="727">
        <f ca="1"/>
        <v>537.36</v>
      </c>
      <c r="H258">
        <f t="shared" ca="1" si="3"/>
        <v>53.737388563011969</v>
      </c>
      <c r="J258" vm="725">
        <v>45583</v>
      </c>
      <c r="K258" vm="726">
        <v>51.78</v>
      </c>
      <c r="L258" s="1">
        <v>53.737388563011969</v>
      </c>
    </row>
    <row r="259" spans="2:12" x14ac:dyDescent="0.2">
      <c r="B259" s="48" vm="728">
        <f ca="1"/>
        <v>45586</v>
      </c>
      <c r="C259" vm="729">
        <f ca="1"/>
        <v>51.06</v>
      </c>
      <c r="D259">
        <v>53.654386418253701</v>
      </c>
      <c r="F259" vm="728">
        <f ca="1"/>
        <v>45586</v>
      </c>
      <c r="G259" vm="730">
        <f ca="1"/>
        <v>536.53</v>
      </c>
      <c r="H259">
        <f t="shared" ca="1" si="3"/>
        <v>53.654386418253701</v>
      </c>
      <c r="J259" vm="728">
        <v>45586</v>
      </c>
      <c r="K259" vm="729">
        <v>51.06</v>
      </c>
      <c r="L259" s="1">
        <v>53.654386418253701</v>
      </c>
    </row>
    <row r="260" spans="2:12" x14ac:dyDescent="0.2">
      <c r="B260" s="48" vm="731">
        <f ca="1"/>
        <v>45587</v>
      </c>
      <c r="C260" vm="732">
        <f ca="1"/>
        <v>50.69</v>
      </c>
      <c r="D260">
        <v>53.617385462156641</v>
      </c>
      <c r="F260" vm="731">
        <f ca="1"/>
        <v>45587</v>
      </c>
      <c r="G260" vm="733">
        <f ca="1"/>
        <v>536.16</v>
      </c>
      <c r="H260">
        <f t="shared" ca="1" si="3"/>
        <v>53.617385462156641</v>
      </c>
      <c r="J260" vm="731">
        <v>45587</v>
      </c>
      <c r="K260" vm="732">
        <v>50.69</v>
      </c>
      <c r="L260" s="1">
        <v>53.617385462156641</v>
      </c>
    </row>
    <row r="261" spans="2:12" x14ac:dyDescent="0.2">
      <c r="B261" s="48" vm="734">
        <f ca="1"/>
        <v>45588</v>
      </c>
      <c r="C261" vm="735">
        <f ca="1"/>
        <v>50.32</v>
      </c>
      <c r="D261">
        <v>53.128372826171223</v>
      </c>
      <c r="F261" vm="734">
        <f ca="1"/>
        <v>45588</v>
      </c>
      <c r="G261" vm="736">
        <f ca="1"/>
        <v>531.27</v>
      </c>
      <c r="H261">
        <f t="shared" ca="1" si="3"/>
        <v>53.128372826171223</v>
      </c>
      <c r="J261" vm="734">
        <v>45588</v>
      </c>
      <c r="K261" vm="735">
        <v>50.32</v>
      </c>
      <c r="L261" s="1">
        <v>53.128372826171223</v>
      </c>
    </row>
    <row r="262" spans="2:12" x14ac:dyDescent="0.2">
      <c r="B262" s="48" vm="737">
        <f ca="1"/>
        <v>45589</v>
      </c>
      <c r="C262" vm="738">
        <f ca="1"/>
        <v>49.51</v>
      </c>
      <c r="D262">
        <v>53.248375927026544</v>
      </c>
      <c r="F262" vm="737">
        <f ca="1"/>
        <v>45589</v>
      </c>
      <c r="G262" vm="739">
        <f ca="1"/>
        <v>532.47</v>
      </c>
      <c r="H262">
        <f t="shared" ca="1" si="3"/>
        <v>53.248375927026544</v>
      </c>
      <c r="J262" vm="737">
        <v>45589</v>
      </c>
      <c r="K262" vm="738">
        <v>49.51</v>
      </c>
      <c r="L262" s="1">
        <v>53.248375927026544</v>
      </c>
    </row>
    <row r="263" spans="2:12" x14ac:dyDescent="0.2">
      <c r="B263" s="48" vm="740">
        <f ca="1"/>
        <v>45590</v>
      </c>
      <c r="C263" vm="741">
        <f ca="1"/>
        <v>49.4</v>
      </c>
      <c r="D263">
        <v>53.227375384376863</v>
      </c>
      <c r="F263" vm="740">
        <f ca="1"/>
        <v>45590</v>
      </c>
      <c r="G263" vm="742">
        <f ca="1"/>
        <v>532.26</v>
      </c>
      <c r="H263">
        <f t="shared" ca="1" si="3"/>
        <v>53.227375384376863</v>
      </c>
      <c r="J263" vm="740">
        <v>45590</v>
      </c>
      <c r="K263" vm="741">
        <v>49.4</v>
      </c>
      <c r="L263" s="1">
        <v>53.227375384376863</v>
      </c>
    </row>
    <row r="264" spans="2:12" x14ac:dyDescent="0.2">
      <c r="B264" s="48" vm="743">
        <f ca="1"/>
        <v>45593</v>
      </c>
      <c r="C264" vm="744">
        <f ca="1"/>
        <v>48.52</v>
      </c>
      <c r="D264">
        <v>53.393379673893385</v>
      </c>
      <c r="F264" vm="743">
        <f ca="1"/>
        <v>45593</v>
      </c>
      <c r="G264" vm="745">
        <f ca="1"/>
        <v>533.91999999999996</v>
      </c>
      <c r="H264">
        <f t="shared" ca="1" si="3"/>
        <v>53.393379673893385</v>
      </c>
      <c r="J264" vm="743">
        <v>45593</v>
      </c>
      <c r="K264" vm="744">
        <v>48.52</v>
      </c>
      <c r="L264" s="1">
        <v>53.393379673893385</v>
      </c>
    </row>
    <row r="265" spans="2:12" x14ac:dyDescent="0.2">
      <c r="B265" s="48" vm="746">
        <f ca="1"/>
        <v>45594</v>
      </c>
      <c r="C265" vm="747">
        <f ca="1"/>
        <v>47.69</v>
      </c>
      <c r="D265">
        <v>53.478381870332569</v>
      </c>
      <c r="F265" vm="746">
        <f ca="1"/>
        <v>45594</v>
      </c>
      <c r="G265" vm="748">
        <f ca="1"/>
        <v>534.77</v>
      </c>
      <c r="H265">
        <f t="shared" ref="H265" ca="1" si="4">G265/$G$8 * $C$8</f>
        <v>53.478381870332569</v>
      </c>
      <c r="J265" vm="746">
        <v>45594</v>
      </c>
      <c r="K265" vm="747">
        <v>47.69</v>
      </c>
      <c r="L265" s="1">
        <v>53.478381870332569</v>
      </c>
    </row>
    <row r="266" spans="2:12" x14ac:dyDescent="0.2">
      <c r="B266" s="54" vm="749">
        <f ca="1"/>
        <v>45595</v>
      </c>
      <c r="C266" s="12" vm="750">
        <f ca="1"/>
        <v>46.73</v>
      </c>
      <c r="D266" s="12"/>
      <c r="E266" s="12"/>
      <c r="F266" s="12" vm="749">
        <f ca="1"/>
        <v>45595</v>
      </c>
      <c r="G266" s="12" vm="751">
        <f ca="1"/>
        <v>533.16</v>
      </c>
      <c r="H266" s="12"/>
      <c r="I266" s="12"/>
      <c r="J266" s="12"/>
      <c r="K266" s="12"/>
      <c r="L266" s="20"/>
    </row>
    <row r="267" spans="2:12" x14ac:dyDescent="0.2">
      <c r="B267" s="272" t="s">
        <v>326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C41E-EB7F-A148-94E0-CD1359BA5764}">
  <dimension ref="B4:D30"/>
  <sheetViews>
    <sheetView zoomScale="105" workbookViewId="0">
      <selection activeCell="B29" sqref="B29"/>
    </sheetView>
  </sheetViews>
  <sheetFormatPr baseColWidth="10" defaultColWidth="10.6640625" defaultRowHeight="16" x14ac:dyDescent="0.2"/>
  <sheetData>
    <row r="4" spans="2:4" x14ac:dyDescent="0.2">
      <c r="B4" s="152" t="s">
        <v>284</v>
      </c>
      <c r="C4" s="152"/>
    </row>
    <row r="5" spans="2:4" x14ac:dyDescent="0.2">
      <c r="B5" s="153" t="s">
        <v>285</v>
      </c>
      <c r="C5" s="154">
        <v>0.56000000000000005</v>
      </c>
      <c r="D5" s="3"/>
    </row>
    <row r="6" spans="2:4" x14ac:dyDescent="0.2">
      <c r="B6" s="153" t="s">
        <v>286</v>
      </c>
      <c r="C6" s="154">
        <v>0.1</v>
      </c>
      <c r="D6" s="3"/>
    </row>
    <row r="7" spans="2:4" x14ac:dyDescent="0.2">
      <c r="B7" s="153" t="s">
        <v>287</v>
      </c>
      <c r="C7" s="154">
        <v>0.34</v>
      </c>
      <c r="D7" s="3"/>
    </row>
    <row r="8" spans="2:4" x14ac:dyDescent="0.2">
      <c r="C8" s="3"/>
      <c r="D8" s="3"/>
    </row>
    <row r="9" spans="2:4" x14ac:dyDescent="0.2">
      <c r="C9" s="3"/>
      <c r="D9" s="3"/>
    </row>
    <row r="10" spans="2:4" x14ac:dyDescent="0.2">
      <c r="B10" s="152" t="s">
        <v>288</v>
      </c>
      <c r="C10" s="155"/>
      <c r="D10" s="3"/>
    </row>
    <row r="11" spans="2:4" x14ac:dyDescent="0.2">
      <c r="B11" s="153" t="s">
        <v>289</v>
      </c>
      <c r="C11" s="154">
        <v>0.28000000000000003</v>
      </c>
      <c r="D11" s="3"/>
    </row>
    <row r="12" spans="2:4" x14ac:dyDescent="0.2">
      <c r="B12" s="153" t="s">
        <v>290</v>
      </c>
      <c r="C12" s="154">
        <v>0.72</v>
      </c>
      <c r="D12" s="3"/>
    </row>
    <row r="13" spans="2:4" x14ac:dyDescent="0.2">
      <c r="C13" s="3"/>
      <c r="D13" s="3"/>
    </row>
    <row r="14" spans="2:4" x14ac:dyDescent="0.2">
      <c r="C14" s="3"/>
      <c r="D14" s="3"/>
    </row>
    <row r="15" spans="2:4" x14ac:dyDescent="0.2">
      <c r="B15" s="152" t="s">
        <v>291</v>
      </c>
      <c r="C15" s="155"/>
      <c r="D15" s="3"/>
    </row>
    <row r="16" spans="2:4" x14ac:dyDescent="0.2">
      <c r="B16" s="153" t="s">
        <v>292</v>
      </c>
      <c r="C16" s="154">
        <v>0.37</v>
      </c>
      <c r="D16" s="3"/>
    </row>
    <row r="17" spans="2:4" x14ac:dyDescent="0.2">
      <c r="B17" s="153" t="s">
        <v>293</v>
      </c>
      <c r="C17" s="154">
        <v>0.31</v>
      </c>
      <c r="D17" s="3"/>
    </row>
    <row r="18" spans="2:4" x14ac:dyDescent="0.2">
      <c r="B18" s="153" t="s">
        <v>294</v>
      </c>
      <c r="C18" s="154">
        <v>0.15</v>
      </c>
      <c r="D18" s="3"/>
    </row>
    <row r="19" spans="2:4" x14ac:dyDescent="0.2">
      <c r="B19" s="153" t="s">
        <v>295</v>
      </c>
      <c r="C19" s="154">
        <v>0.17</v>
      </c>
      <c r="D19" s="3"/>
    </row>
    <row r="20" spans="2:4" x14ac:dyDescent="0.2">
      <c r="C20" s="3"/>
      <c r="D20" s="3"/>
    </row>
    <row r="21" spans="2:4" x14ac:dyDescent="0.2">
      <c r="C21" s="3"/>
      <c r="D21" s="3"/>
    </row>
    <row r="22" spans="2:4" x14ac:dyDescent="0.2">
      <c r="B22" s="152" t="s">
        <v>296</v>
      </c>
      <c r="C22" s="155"/>
      <c r="D22" s="3"/>
    </row>
    <row r="23" spans="2:4" x14ac:dyDescent="0.2">
      <c r="B23" s="153" t="s">
        <v>299</v>
      </c>
      <c r="C23" s="154">
        <v>0.2</v>
      </c>
      <c r="D23" s="3"/>
    </row>
    <row r="24" spans="2:4" x14ac:dyDescent="0.2">
      <c r="B24" s="153" t="s">
        <v>297</v>
      </c>
      <c r="C24" s="154">
        <v>0.37</v>
      </c>
      <c r="D24" s="3"/>
    </row>
    <row r="25" spans="2:4" x14ac:dyDescent="0.2">
      <c r="B25" s="153" t="s">
        <v>298</v>
      </c>
      <c r="C25" s="154">
        <v>0.26</v>
      </c>
      <c r="D25" s="3"/>
    </row>
    <row r="26" spans="2:4" x14ac:dyDescent="0.2">
      <c r="B26" s="153" t="s">
        <v>300</v>
      </c>
      <c r="C26" s="154">
        <v>0.12</v>
      </c>
      <c r="D26" s="3"/>
    </row>
    <row r="27" spans="2:4" x14ac:dyDescent="0.2">
      <c r="B27" s="153" t="s">
        <v>301</v>
      </c>
      <c r="C27" s="154">
        <v>0.05</v>
      </c>
      <c r="D27" s="3"/>
    </row>
    <row r="28" spans="2:4" x14ac:dyDescent="0.2">
      <c r="B28" s="272" t="s">
        <v>328</v>
      </c>
      <c r="D28" s="3"/>
    </row>
    <row r="29" spans="2:4" x14ac:dyDescent="0.2">
      <c r="D29" s="3"/>
    </row>
    <row r="30" spans="2:4" x14ac:dyDescent="0.2">
      <c r="D3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DCF</vt:lpstr>
      <vt:lpstr>Income Statement - FCF</vt:lpstr>
      <vt:lpstr>Balance Sheet</vt:lpstr>
      <vt:lpstr>Variance Analysis</vt:lpstr>
      <vt:lpstr>Revenue Build (Toggle &amp; Link)</vt:lpstr>
      <vt:lpstr>Revevnue Build Base</vt:lpstr>
      <vt:lpstr>Public Comparables</vt:lpstr>
      <vt:lpstr>Pre and Post Earnings</vt:lpstr>
      <vt:lpstr>Forex Assumptions</vt:lpstr>
      <vt:lpstr>Stock Price History</vt:lpstr>
      <vt:lpstr>Customer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Chiu</dc:creator>
  <cp:lastModifiedBy>Alkis Toutziaridis</cp:lastModifiedBy>
  <dcterms:created xsi:type="dcterms:W3CDTF">2024-10-05T11:03:38Z</dcterms:created>
  <dcterms:modified xsi:type="dcterms:W3CDTF">2024-11-09T13:18:26Z</dcterms:modified>
</cp:coreProperties>
</file>