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pha\Documents\Postdocs\Projects\NETs\Model\EI-CE\Python\Data\"/>
    </mc:Choice>
  </mc:AlternateContent>
  <xr:revisionPtr revIDLastSave="0" documentId="13_ncr:1_{706495D3-E1F7-4EC7-BDAE-0167E8152A94}" xr6:coauthVersionLast="47" xr6:coauthVersionMax="47" xr10:uidLastSave="{00000000-0000-0000-0000-000000000000}"/>
  <bookViews>
    <workbookView xWindow="-120" yWindow="-120" windowWidth="29040" windowHeight="15720" activeTab="3" xr2:uid="{DD9D5CFE-688A-4AA0-99D0-0B228406E5D7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2" i="4"/>
  <c r="G26" i="1"/>
  <c r="G24" i="1"/>
  <c r="G23" i="1"/>
  <c r="G25" i="1"/>
  <c r="N11" i="1"/>
  <c r="F9" i="3"/>
  <c r="E7" i="3"/>
  <c r="E6" i="3"/>
  <c r="D10" i="3"/>
  <c r="F3" i="3"/>
  <c r="F4" i="3"/>
  <c r="F5" i="3"/>
  <c r="F6" i="3"/>
  <c r="F7" i="3"/>
  <c r="F8" i="3"/>
  <c r="F10" i="3"/>
  <c r="F2" i="3"/>
  <c r="E3" i="3"/>
  <c r="E4" i="3"/>
  <c r="E5" i="3"/>
  <c r="E8" i="3"/>
  <c r="E9" i="3"/>
  <c r="E10" i="3"/>
  <c r="E2" i="3"/>
  <c r="D3" i="3"/>
  <c r="D4" i="3"/>
  <c r="D5" i="3"/>
  <c r="D6" i="3"/>
  <c r="D7" i="3"/>
  <c r="D8" i="3"/>
  <c r="D9" i="3"/>
  <c r="D2" i="3"/>
  <c r="J15" i="1" l="1"/>
  <c r="L12" i="2"/>
  <c r="N26" i="2"/>
  <c r="L26" i="2"/>
  <c r="N21" i="2"/>
  <c r="L21" i="2"/>
  <c r="L7" i="2"/>
  <c r="I4" i="2"/>
  <c r="E20" i="1"/>
  <c r="G11" i="1" l="1"/>
  <c r="G12" i="1" s="1"/>
  <c r="G14" i="1" s="1"/>
  <c r="H18" i="2" l="1"/>
  <c r="E19" i="1"/>
  <c r="F19" i="1" s="1"/>
  <c r="E21" i="1" s="1"/>
  <c r="E22" i="1" s="1"/>
  <c r="N12" i="2"/>
  <c r="I2" i="2"/>
  <c r="I3" i="2" s="1"/>
  <c r="B3" i="2" s="1"/>
  <c r="I8" i="2"/>
  <c r="N1" i="2"/>
  <c r="L1" i="2"/>
  <c r="N7" i="2"/>
  <c r="I13" i="2" l="1"/>
  <c r="I27" i="2" s="1"/>
  <c r="I28" i="2" s="1"/>
  <c r="I9" i="2"/>
  <c r="B7" i="2" s="1"/>
  <c r="I22" i="2"/>
  <c r="I23" i="2" s="1"/>
  <c r="I14" i="2"/>
  <c r="B11" i="2" s="1"/>
</calcChain>
</file>

<file path=xl/sharedStrings.xml><?xml version="1.0" encoding="utf-8"?>
<sst xmlns="http://schemas.openxmlformats.org/spreadsheetml/2006/main" count="190" uniqueCount="103">
  <si>
    <t>PlantType</t>
  </si>
  <si>
    <t>DataSource</t>
  </si>
  <si>
    <t>ATBTechnologyType</t>
  </si>
  <si>
    <t>FuelType</t>
  </si>
  <si>
    <t>ThermalOrRenewableOrStorage</t>
  </si>
  <si>
    <t>Capacity (MW)</t>
  </si>
  <si>
    <t>Heat Rate (Btu/kWh)</t>
  </si>
  <si>
    <t>CAPEX(2012$/MW)</t>
  </si>
  <si>
    <t>FOM(2012$/MW/yr)</t>
  </si>
  <si>
    <t>VOM(2012$/MWh)</t>
  </si>
  <si>
    <t>NSPSCompliant</t>
  </si>
  <si>
    <t>NOxEmRate(lb/MMBtu)</t>
  </si>
  <si>
    <t>SO2EmRate(lb/MMBtu)</t>
  </si>
  <si>
    <t>CO2EmRate(lb/MMBtu)</t>
  </si>
  <si>
    <t>Lifetime(years)</t>
  </si>
  <si>
    <t>FuelPrice($/MMBtu)</t>
  </si>
  <si>
    <t>SO2 Scrubber</t>
  </si>
  <si>
    <t>CoalType</t>
  </si>
  <si>
    <t>Efficiency</t>
  </si>
  <si>
    <t>Nameplate Energy Capacity (MWh)</t>
  </si>
  <si>
    <t>Minimum Energy Capacity (MWh)</t>
  </si>
  <si>
    <t>Maximum Charge Rate (MW)</t>
  </si>
  <si>
    <t>ECAPEX(2012$/MWH)</t>
  </si>
  <si>
    <t>PlantCategory</t>
  </si>
  <si>
    <t>MinDownTime(hrs)</t>
  </si>
  <si>
    <t>RampRate(MW/hr)</t>
  </si>
  <si>
    <t>StartCost($)</t>
  </si>
  <si>
    <t>MinLoad(MWh)</t>
  </si>
  <si>
    <t>RandOpCostAdder($/MWh)</t>
  </si>
  <si>
    <t>OpCost($/MWh)</t>
  </si>
  <si>
    <t>RegOfferElig</t>
  </si>
  <si>
    <t>RegOfferCost($/MW)</t>
  </si>
  <si>
    <t>FlexOfferElig</t>
  </si>
  <si>
    <t>ContOfferElig</t>
  </si>
  <si>
    <t>Coal Steam CCS</t>
  </si>
  <si>
    <t>atb</t>
  </si>
  <si>
    <t>Coal-CCS-AvgCF-Mid</t>
  </si>
  <si>
    <t>Coal</t>
  </si>
  <si>
    <t>thermal</t>
  </si>
  <si>
    <t>Yes</t>
  </si>
  <si>
    <t>wet</t>
  </si>
  <si>
    <t>Bituminous</t>
  </si>
  <si>
    <t>CCS</t>
  </si>
  <si>
    <t>Combined Cycle</t>
  </si>
  <si>
    <t>Gas-CC-AvgCF - Mid</t>
  </si>
  <si>
    <t>Natural Gas</t>
  </si>
  <si>
    <t>CC</t>
  </si>
  <si>
    <t>Combined Cycle CCS</t>
  </si>
  <si>
    <t>Gas-CC-CCS-AvgCF - Mid</t>
  </si>
  <si>
    <t>Nuclear</t>
  </si>
  <si>
    <t>Nuclear - Mid</t>
  </si>
  <si>
    <t>Nuclear Fuel</t>
  </si>
  <si>
    <t>Wind</t>
  </si>
  <si>
    <t>TRG 3 - Mid</t>
  </si>
  <si>
    <t>renewable</t>
  </si>
  <si>
    <t>Renewable</t>
  </si>
  <si>
    <t>Solar PV</t>
  </si>
  <si>
    <t>Utility PV - 20% - Mid</t>
  </si>
  <si>
    <t>Solar</t>
  </si>
  <si>
    <t>Battery Storage</t>
  </si>
  <si>
    <t>Storage</t>
  </si>
  <si>
    <t>Energy Storage</t>
  </si>
  <si>
    <t>storage</t>
  </si>
  <si>
    <t>Battery</t>
  </si>
  <si>
    <t>Hydrogen</t>
  </si>
  <si>
    <t>hydrogen</t>
  </si>
  <si>
    <t>DAC</t>
  </si>
  <si>
    <t>handCalc</t>
  </si>
  <si>
    <t>Our Assumptions</t>
  </si>
  <si>
    <t>Lifetime</t>
  </si>
  <si>
    <t>REGEN</t>
  </si>
  <si>
    <t>H2</t>
  </si>
  <si>
    <t>Capital cost</t>
  </si>
  <si>
    <t>lifetime</t>
  </si>
  <si>
    <t>CRF</t>
  </si>
  <si>
    <t>interest rate</t>
  </si>
  <si>
    <t>CAPEX</t>
  </si>
  <si>
    <t>FIXED</t>
  </si>
  <si>
    <t>power cap</t>
  </si>
  <si>
    <t>energy cap</t>
  </si>
  <si>
    <t>/MW</t>
  </si>
  <si>
    <t>2012 to 2018 dollars</t>
  </si>
  <si>
    <t>tons/MWh</t>
  </si>
  <si>
    <t>tons</t>
  </si>
  <si>
    <t>mwh</t>
  </si>
  <si>
    <t>Levelized Cost</t>
  </si>
  <si>
    <t>Electricity gen</t>
  </si>
  <si>
    <t>Annualized total cost</t>
  </si>
  <si>
    <t>/t CO2 - year</t>
  </si>
  <si>
    <t>DAC expanded</t>
  </si>
  <si>
    <t>nuclear</t>
  </si>
  <si>
    <t>Technology</t>
  </si>
  <si>
    <t>CAPEX (2012$/MW)</t>
  </si>
  <si>
    <t>Fuel Type</t>
  </si>
  <si>
    <t>Low Renewable Cost</t>
  </si>
  <si>
    <t>High H2 Cost</t>
  </si>
  <si>
    <t>High DAC Cost</t>
  </si>
  <si>
    <t>lb per Mwh</t>
  </si>
  <si>
    <t>ton per Mwh</t>
  </si>
  <si>
    <t>ton per thousand GWh</t>
  </si>
  <si>
    <t>coal</t>
  </si>
  <si>
    <t>hr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</si>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</sst>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43" fontId="0" fillId="0" borderId="0" xfId="1" applyFont="1"/>
    <xf numFmtId="43" fontId="0" fillId="0" borderId="0" xfId="0" applyNumberFormat="1"/>
    <xf numFmtId="0" fontId="2" fillId="2" borderId="1" xfId="0" applyFont="1" applyFill="1" applyBorder="1"/>
    <xf numFmtId="0" fontId="0" fillId="0" borderId="1" xfId="0" applyBorder="1"/>
    <xf numFmtId="43" fontId="0" fillId="0" borderId="1" xfId="0" applyNumberFormat="1" applyBorder="1"/>
    <xf numFmtId="43" fontId="0" fillId="0" borderId="1" xfId="1" applyFont="1" applyBorder="1"/>
    <xf numFmtId="0" fontId="0" fillId="2" borderId="0" xfId="0" applyFill="1"/>
    <xf numFmtId="0" fontId="0" fillId="3" borderId="0" xfId="0" applyFill="1"/>
    <xf numFmtId="43" fontId="0" fillId="2" borderId="0" xfId="1" applyFont="1" applyFill="1"/>
    <xf numFmtId="43" fontId="0" fillId="3" borderId="0" xfId="1" applyFont="1" applyFill="1"/>
    <xf numFmtId="0" fontId="0" fillId="0" borderId="0" xfId="0" applyBorder="1"/>
    <xf numFmtId="43" fontId="0" fillId="0" borderId="0" xfId="1" applyFont="1" applyBorder="1"/>
    <xf numFmtId="0" fontId="0" fillId="0" borderId="2" xfId="0" applyBorder="1"/>
    <xf numFmtId="43" fontId="0" fillId="0" borderId="2" xfId="1" applyFont="1" applyBorder="1"/>
    <xf numFmtId="0" fontId="2" fillId="0" borderId="3" xfId="0" applyFont="1" applyBorder="1"/>
    <xf numFmtId="0" fontId="0" fillId="4" borderId="0" xfId="0" applyFill="1"/>
    <xf numFmtId="43" fontId="0" fillId="4" borderId="0" xfId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C3C2-DE47-4749-BDB0-11FA404881BD}">
  <dimension ref="A1:AH26"/>
  <sheetViews>
    <sheetView workbookViewId="0">
      <selection activeCell="G26" sqref="G26"/>
    </sheetView>
  </sheetViews>
  <sheetFormatPr defaultRowHeight="15" x14ac:dyDescent="0.25"/>
  <cols>
    <col min="1" max="1" width="19.28515625" bestFit="1" customWidth="1"/>
    <col min="2" max="2" width="11" bestFit="1" customWidth="1"/>
    <col min="3" max="3" width="22.7109375" bestFit="1" customWidth="1"/>
    <col min="4" max="4" width="19.85546875" bestFit="1" customWidth="1"/>
    <col min="5" max="5" width="26" bestFit="1" customWidth="1"/>
    <col min="6" max="6" width="15.28515625" bestFit="1" customWidth="1"/>
    <col min="7" max="7" width="17.42578125" bestFit="1" customWidth="1"/>
    <col min="8" max="8" width="17.85546875" bestFit="1" customWidth="1"/>
    <col min="9" max="9" width="17.28515625" bestFit="1" customWidth="1"/>
    <col min="10" max="10" width="16.140625" bestFit="1" customWidth="1"/>
    <col min="11" max="11" width="12.85546875" bestFit="1" customWidth="1"/>
    <col min="12" max="12" width="19.85546875" bestFit="1" customWidth="1"/>
    <col min="13" max="13" width="19.5703125" bestFit="1" customWidth="1"/>
    <col min="14" max="14" width="19.7109375" bestFit="1" customWidth="1"/>
    <col min="15" max="15" width="12.42578125" bestFit="1" customWidth="1"/>
    <col min="16" max="16" width="17" bestFit="1" customWidth="1"/>
    <col min="17" max="17" width="11.28515625" bestFit="1" customWidth="1"/>
    <col min="18" max="18" width="9.7109375" bestFit="1" customWidth="1"/>
    <col min="19" max="19" width="8.140625" bestFit="1" customWidth="1"/>
    <col min="20" max="20" width="28.7109375" bestFit="1" customWidth="1"/>
    <col min="21" max="21" width="27.7109375" bestFit="1" customWidth="1"/>
    <col min="22" max="22" width="24" bestFit="1" customWidth="1"/>
    <col min="23" max="23" width="18.42578125" bestFit="1" customWidth="1"/>
    <col min="24" max="24" width="11.85546875" bestFit="1" customWidth="1"/>
    <col min="25" max="26" width="16" bestFit="1" customWidth="1"/>
    <col min="27" max="27" width="12" bestFit="1" customWidth="1"/>
    <col min="28" max="28" width="13.28515625" bestFit="1" customWidth="1"/>
    <col min="29" max="29" width="22.7109375" bestFit="1" customWidth="1"/>
    <col min="30" max="30" width="13.85546875" bestFit="1" customWidth="1"/>
    <col min="31" max="31" width="10.5703125" bestFit="1" customWidth="1"/>
    <col min="32" max="32" width="17.5703125" bestFit="1" customWidth="1"/>
    <col min="33" max="33" width="10.7109375" bestFit="1" customWidth="1"/>
    <col min="34" max="34" width="11.28515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5">
      <c r="A2" t="s">
        <v>34</v>
      </c>
      <c r="B2" t="s">
        <v>35</v>
      </c>
      <c r="C2" t="s">
        <v>36</v>
      </c>
      <c r="D2" t="s">
        <v>37</v>
      </c>
      <c r="E2" t="s">
        <v>38</v>
      </c>
      <c r="F2">
        <v>650</v>
      </c>
      <c r="G2">
        <v>8060.7351079999999</v>
      </c>
      <c r="H2" s="1">
        <v>6616398.8169999998</v>
      </c>
      <c r="I2" s="1">
        <v>71780.31263</v>
      </c>
      <c r="J2">
        <v>8.7300380230000005</v>
      </c>
      <c r="K2" t="s">
        <v>39</v>
      </c>
      <c r="L2">
        <v>6.2E-2</v>
      </c>
      <c r="M2">
        <v>8.5000000000000006E-2</v>
      </c>
      <c r="N2">
        <v>20.5</v>
      </c>
      <c r="O2">
        <v>65</v>
      </c>
      <c r="P2">
        <v>1.7568728288292501</v>
      </c>
      <c r="Q2" t="s">
        <v>40</v>
      </c>
      <c r="R2" t="s">
        <v>41</v>
      </c>
      <c r="X2" t="s">
        <v>42</v>
      </c>
      <c r="Y2">
        <v>12</v>
      </c>
      <c r="Z2">
        <v>116.35</v>
      </c>
      <c r="AA2">
        <v>66358.381502890101</v>
      </c>
      <c r="AB2">
        <v>260</v>
      </c>
      <c r="AC2">
        <v>0</v>
      </c>
      <c r="AD2">
        <v>22.8917245146352</v>
      </c>
      <c r="AE2">
        <v>1</v>
      </c>
      <c r="AF2">
        <v>0</v>
      </c>
      <c r="AG2">
        <v>1</v>
      </c>
      <c r="AH2">
        <v>1</v>
      </c>
    </row>
    <row r="3" spans="1:34" x14ac:dyDescent="0.25">
      <c r="A3" t="s">
        <v>43</v>
      </c>
      <c r="B3" t="s">
        <v>35</v>
      </c>
      <c r="C3" t="s">
        <v>44</v>
      </c>
      <c r="D3" t="s">
        <v>45</v>
      </c>
      <c r="E3" t="s">
        <v>38</v>
      </c>
      <c r="F3">
        <v>400</v>
      </c>
      <c r="G3">
        <v>6372.9277570000004</v>
      </c>
      <c r="H3" s="1">
        <v>953514.15289999999</v>
      </c>
      <c r="I3" s="1">
        <v>13580.059149999999</v>
      </c>
      <c r="J3">
        <v>2.9100126739999999</v>
      </c>
      <c r="K3" t="s">
        <v>39</v>
      </c>
      <c r="L3">
        <v>3.0000000000000001E-3</v>
      </c>
      <c r="M3">
        <v>3.5000000000000003E-2</v>
      </c>
      <c r="N3">
        <v>119</v>
      </c>
      <c r="O3">
        <v>55</v>
      </c>
      <c r="P3">
        <v>3.2610228360655098</v>
      </c>
      <c r="X3" t="s">
        <v>46</v>
      </c>
      <c r="Y3">
        <v>4</v>
      </c>
      <c r="Z3">
        <v>127.2</v>
      </c>
      <c r="AA3">
        <v>40835.927078701599</v>
      </c>
      <c r="AB3">
        <v>160</v>
      </c>
      <c r="AC3">
        <v>0</v>
      </c>
      <c r="AD3">
        <v>23.692275622172701</v>
      </c>
      <c r="AE3">
        <v>1</v>
      </c>
      <c r="AF3">
        <v>0</v>
      </c>
      <c r="AG3">
        <v>1</v>
      </c>
      <c r="AH3">
        <v>1</v>
      </c>
    </row>
    <row r="4" spans="1:34" s="7" customFormat="1" x14ac:dyDescent="0.25">
      <c r="A4" s="7" t="s">
        <v>47</v>
      </c>
      <c r="B4" s="7" t="s">
        <v>35</v>
      </c>
      <c r="C4" s="7" t="s">
        <v>48</v>
      </c>
      <c r="D4" s="7" t="s">
        <v>45</v>
      </c>
      <c r="E4" s="7" t="s">
        <v>38</v>
      </c>
      <c r="F4" s="7">
        <v>340</v>
      </c>
      <c r="G4" s="7">
        <v>7265.3316430000004</v>
      </c>
      <c r="H4" s="9">
        <v>1872108.1540000001</v>
      </c>
      <c r="I4" s="9">
        <v>31040.135190000001</v>
      </c>
      <c r="J4" s="7">
        <v>6.790029573</v>
      </c>
      <c r="K4" s="7" t="s">
        <v>39</v>
      </c>
      <c r="L4" s="7">
        <v>3.0000000000000001E-3</v>
      </c>
      <c r="M4" s="7">
        <v>3.5000000000000003E-2</v>
      </c>
      <c r="N4" s="7">
        <v>11.9</v>
      </c>
      <c r="O4" s="7">
        <v>55</v>
      </c>
      <c r="P4" s="7">
        <v>3.2610228360655098</v>
      </c>
      <c r="X4" s="7" t="s">
        <v>42</v>
      </c>
      <c r="Y4" s="7">
        <v>4</v>
      </c>
      <c r="Z4" s="7">
        <v>108.12</v>
      </c>
      <c r="AA4" s="7">
        <v>34710.538016896397</v>
      </c>
      <c r="AB4" s="7">
        <v>136</v>
      </c>
      <c r="AC4" s="7">
        <v>0</v>
      </c>
      <c r="AD4" s="7">
        <v>30.4824419724123</v>
      </c>
      <c r="AE4" s="7">
        <v>1</v>
      </c>
      <c r="AF4" s="7">
        <v>0</v>
      </c>
      <c r="AG4" s="7">
        <v>1</v>
      </c>
      <c r="AH4" s="7">
        <v>1</v>
      </c>
    </row>
    <row r="5" spans="1:34" s="7" customFormat="1" x14ac:dyDescent="0.25">
      <c r="A5" s="7" t="s">
        <v>49</v>
      </c>
      <c r="B5" s="7" t="s">
        <v>35</v>
      </c>
      <c r="C5" s="7" t="s">
        <v>50</v>
      </c>
      <c r="D5" s="7" t="s">
        <v>51</v>
      </c>
      <c r="E5" s="7" t="s">
        <v>38</v>
      </c>
      <c r="F5" s="7">
        <v>1117</v>
      </c>
      <c r="G5" s="7">
        <v>10165.64428</v>
      </c>
      <c r="H5" s="9">
        <v>5915085.76299999</v>
      </c>
      <c r="I5" s="9">
        <v>92150.40135</v>
      </c>
      <c r="J5" s="7">
        <v>1.9400084500000001</v>
      </c>
      <c r="K5" s="7" t="s">
        <v>39</v>
      </c>
      <c r="L5" s="7">
        <v>0</v>
      </c>
      <c r="M5" s="7">
        <v>0</v>
      </c>
      <c r="N5" s="7">
        <v>0</v>
      </c>
      <c r="O5" s="7">
        <v>60</v>
      </c>
      <c r="P5" s="7">
        <v>0.62228293377454902</v>
      </c>
      <c r="X5" s="7" t="s">
        <v>49</v>
      </c>
      <c r="Y5" s="7">
        <v>20</v>
      </c>
      <c r="Z5" s="7">
        <v>89.36</v>
      </c>
      <c r="AA5" s="7">
        <v>570171.63183637103</v>
      </c>
      <c r="AB5" s="7">
        <v>1005.3</v>
      </c>
      <c r="AC5" s="7">
        <v>0</v>
      </c>
      <c r="AD5" s="7">
        <v>8.2659153962668608</v>
      </c>
      <c r="AE5" s="7">
        <v>0</v>
      </c>
      <c r="AF5" s="7">
        <v>0</v>
      </c>
      <c r="AG5" s="7">
        <v>1</v>
      </c>
      <c r="AH5" s="7">
        <v>1</v>
      </c>
    </row>
    <row r="6" spans="1:34" s="8" customFormat="1" x14ac:dyDescent="0.25">
      <c r="A6" s="8" t="s">
        <v>52</v>
      </c>
      <c r="B6" s="8" t="s">
        <v>35</v>
      </c>
      <c r="C6" s="8" t="s">
        <v>53</v>
      </c>
      <c r="D6" s="8" t="s">
        <v>52</v>
      </c>
      <c r="E6" s="8" t="s">
        <v>54</v>
      </c>
      <c r="F6" s="8">
        <v>500</v>
      </c>
      <c r="G6" s="8">
        <v>0</v>
      </c>
      <c r="H6" s="10">
        <v>1563646.80999999</v>
      </c>
      <c r="I6" s="10">
        <v>47530.207009999998</v>
      </c>
      <c r="J6" s="8">
        <v>0</v>
      </c>
      <c r="K6" s="8" t="s">
        <v>39</v>
      </c>
      <c r="L6" s="8">
        <v>0</v>
      </c>
      <c r="M6" s="8">
        <v>0</v>
      </c>
      <c r="N6" s="8">
        <v>0</v>
      </c>
      <c r="O6" s="8">
        <v>30</v>
      </c>
      <c r="P6" s="8">
        <v>0</v>
      </c>
      <c r="X6" s="8" t="s">
        <v>55</v>
      </c>
      <c r="Y6" s="8">
        <v>0</v>
      </c>
      <c r="Z6" s="8">
        <v>500</v>
      </c>
      <c r="AA6" s="8">
        <v>51.044908848376998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</row>
    <row r="7" spans="1:34" s="8" customFormat="1" x14ac:dyDescent="0.25">
      <c r="A7" s="8" t="s">
        <v>56</v>
      </c>
      <c r="B7" s="8" t="s">
        <v>35</v>
      </c>
      <c r="C7" s="8" t="s">
        <v>57</v>
      </c>
      <c r="D7" s="8" t="s">
        <v>58</v>
      </c>
      <c r="E7" s="8" t="s">
        <v>54</v>
      </c>
      <c r="F7" s="8">
        <v>100</v>
      </c>
      <c r="G7" s="8">
        <v>0</v>
      </c>
      <c r="H7" s="10">
        <v>1009774.398</v>
      </c>
      <c r="I7" s="10">
        <v>7760.0337979999904</v>
      </c>
      <c r="J7" s="8">
        <v>0</v>
      </c>
      <c r="K7" s="8" t="s">
        <v>39</v>
      </c>
      <c r="L7" s="8">
        <v>0</v>
      </c>
      <c r="M7" s="8">
        <v>0</v>
      </c>
      <c r="N7" s="8">
        <v>0</v>
      </c>
      <c r="O7" s="8">
        <v>20</v>
      </c>
      <c r="P7" s="8">
        <v>0</v>
      </c>
      <c r="X7" s="8" t="s">
        <v>55</v>
      </c>
      <c r="Y7" s="8">
        <v>0</v>
      </c>
      <c r="Z7" s="8">
        <v>100</v>
      </c>
      <c r="AA7" s="8">
        <v>10.2089817696754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</row>
    <row r="8" spans="1:34" x14ac:dyDescent="0.25">
      <c r="A8" t="s">
        <v>59</v>
      </c>
      <c r="B8" t="s">
        <v>35</v>
      </c>
      <c r="C8" t="s">
        <v>60</v>
      </c>
      <c r="D8" t="s">
        <v>61</v>
      </c>
      <c r="E8" t="s">
        <v>62</v>
      </c>
      <c r="F8">
        <v>100</v>
      </c>
      <c r="G8">
        <v>0</v>
      </c>
      <c r="H8" s="1">
        <v>810340.43940000003</v>
      </c>
      <c r="I8" s="1">
        <v>20.258510990000001</v>
      </c>
      <c r="J8">
        <v>0</v>
      </c>
      <c r="K8" t="s">
        <v>39</v>
      </c>
      <c r="L8">
        <v>0</v>
      </c>
      <c r="M8">
        <v>0</v>
      </c>
      <c r="N8">
        <v>0</v>
      </c>
      <c r="O8">
        <v>15</v>
      </c>
      <c r="P8">
        <v>0</v>
      </c>
      <c r="S8">
        <v>0.85</v>
      </c>
      <c r="T8">
        <v>400</v>
      </c>
      <c r="U8">
        <v>0</v>
      </c>
      <c r="V8">
        <v>100</v>
      </c>
      <c r="W8">
        <v>0</v>
      </c>
      <c r="X8" t="s">
        <v>63</v>
      </c>
      <c r="Y8">
        <v>0</v>
      </c>
      <c r="Z8">
        <v>6000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</row>
    <row r="9" spans="1:34" x14ac:dyDescent="0.25">
      <c r="A9" t="s">
        <v>64</v>
      </c>
      <c r="B9" t="s">
        <v>65</v>
      </c>
      <c r="D9" t="s">
        <v>61</v>
      </c>
      <c r="E9" t="s">
        <v>62</v>
      </c>
      <c r="F9">
        <v>500</v>
      </c>
      <c r="G9">
        <v>0</v>
      </c>
      <c r="H9" s="1">
        <v>1058000</v>
      </c>
      <c r="I9">
        <v>0</v>
      </c>
      <c r="J9">
        <v>0</v>
      </c>
      <c r="K9" t="s">
        <v>39</v>
      </c>
      <c r="L9">
        <v>0</v>
      </c>
      <c r="M9">
        <v>0</v>
      </c>
      <c r="N9">
        <v>0</v>
      </c>
      <c r="O9">
        <v>15</v>
      </c>
      <c r="P9">
        <v>0</v>
      </c>
      <c r="S9">
        <v>0.49</v>
      </c>
      <c r="T9">
        <v>1440000</v>
      </c>
      <c r="U9">
        <v>0</v>
      </c>
      <c r="V9">
        <v>500</v>
      </c>
      <c r="W9">
        <v>160</v>
      </c>
      <c r="X9" t="s">
        <v>64</v>
      </c>
      <c r="Y9">
        <v>0</v>
      </c>
      <c r="Z9">
        <v>30000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</row>
    <row r="10" spans="1:34" s="16" customFormat="1" x14ac:dyDescent="0.25">
      <c r="A10" s="16" t="s">
        <v>66</v>
      </c>
      <c r="B10" s="16" t="s">
        <v>67</v>
      </c>
      <c r="D10" s="16" t="s">
        <v>66</v>
      </c>
      <c r="F10" s="16">
        <v>-500</v>
      </c>
      <c r="G10" s="16">
        <v>3412</v>
      </c>
      <c r="H10" s="17">
        <v>-19037733.544999301</v>
      </c>
      <c r="I10" s="16">
        <v>0</v>
      </c>
      <c r="J10" s="17">
        <v>-115.33603903062399</v>
      </c>
      <c r="K10" s="16" t="s">
        <v>39</v>
      </c>
      <c r="N10" s="16">
        <v>322</v>
      </c>
      <c r="O10" s="16">
        <v>15</v>
      </c>
      <c r="P10" s="16">
        <v>0</v>
      </c>
      <c r="Z10" s="16">
        <v>500</v>
      </c>
      <c r="AC10" s="16">
        <v>0</v>
      </c>
      <c r="AD10" s="16">
        <v>-115.33603903062399</v>
      </c>
      <c r="AE10" s="16">
        <v>0</v>
      </c>
      <c r="AF10" s="16">
        <v>0</v>
      </c>
      <c r="AG10" s="16">
        <v>1</v>
      </c>
      <c r="AH10" s="16">
        <v>1</v>
      </c>
    </row>
    <row r="11" spans="1:34" x14ac:dyDescent="0.25">
      <c r="G11">
        <f>G10/1000</f>
        <v>3.4119999999999999</v>
      </c>
      <c r="N11">
        <f>N10/200</f>
        <v>1.61</v>
      </c>
    </row>
    <row r="12" spans="1:34" x14ac:dyDescent="0.25">
      <c r="F12" t="s">
        <v>82</v>
      </c>
      <c r="G12">
        <f>G11*N11</f>
        <v>5.4933200000000006</v>
      </c>
    </row>
    <row r="13" spans="1:34" x14ac:dyDescent="0.25">
      <c r="F13" t="s">
        <v>83</v>
      </c>
      <c r="G13" s="1">
        <v>100000000</v>
      </c>
    </row>
    <row r="14" spans="1:34" x14ac:dyDescent="0.25">
      <c r="F14" t="s">
        <v>84</v>
      </c>
      <c r="G14" s="1">
        <f>G13/G12</f>
        <v>18203927.679436114</v>
      </c>
      <c r="H14">
        <v>22431.006155743598</v>
      </c>
    </row>
    <row r="15" spans="1:34" x14ac:dyDescent="0.25">
      <c r="G15" s="1">
        <v>15593421.816868801</v>
      </c>
      <c r="H15" s="1"/>
      <c r="J15">
        <f>J4/J5</f>
        <v>3.4999999989690767</v>
      </c>
    </row>
    <row r="18" spans="4:8" x14ac:dyDescent="0.25">
      <c r="D18" t="s">
        <v>85</v>
      </c>
    </row>
    <row r="19" spans="4:8" x14ac:dyDescent="0.25">
      <c r="D19" t="s">
        <v>86</v>
      </c>
      <c r="E19" s="2">
        <f>G14</f>
        <v>18203927.679436114</v>
      </c>
      <c r="F19" s="2">
        <f>E19/(1+0.07)</f>
        <v>17013016.52283749</v>
      </c>
    </row>
    <row r="20" spans="4:8" x14ac:dyDescent="0.25">
      <c r="D20" t="s">
        <v>87</v>
      </c>
      <c r="E20" s="2">
        <f>-H14*H10</f>
        <v>427035518339.28571</v>
      </c>
    </row>
    <row r="21" spans="4:8" x14ac:dyDescent="0.25">
      <c r="E21">
        <f>E20/F19</f>
        <v>25100.517463558146</v>
      </c>
    </row>
    <row r="22" spans="4:8" x14ac:dyDescent="0.25">
      <c r="E22">
        <f>E21*G12</f>
        <v>137885.17459291324</v>
      </c>
    </row>
    <row r="23" spans="4:8" x14ac:dyDescent="0.25">
      <c r="F23" t="s">
        <v>66</v>
      </c>
      <c r="G23">
        <f>G11*N10</f>
        <v>1098.664</v>
      </c>
      <c r="H23" t="s">
        <v>97</v>
      </c>
    </row>
    <row r="24" spans="4:8" x14ac:dyDescent="0.25">
      <c r="G24">
        <f>G23/2000</f>
        <v>0.54933200000000004</v>
      </c>
      <c r="H24" t="s">
        <v>98</v>
      </c>
    </row>
    <row r="25" spans="4:8" x14ac:dyDescent="0.25">
      <c r="G25">
        <f>G24*1000000</f>
        <v>549332</v>
      </c>
      <c r="H25" t="s">
        <v>99</v>
      </c>
    </row>
    <row r="26" spans="4:8" x14ac:dyDescent="0.25">
      <c r="F26" t="s">
        <v>100</v>
      </c>
      <c r="G26">
        <f>G2/1000</f>
        <v>8.0607351079999994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6A09-7EBB-4B51-9E9A-303A04849663}">
  <dimension ref="A1:P28"/>
  <sheetViews>
    <sheetView workbookViewId="0">
      <selection activeCell="B7" sqref="B7"/>
    </sheetView>
  </sheetViews>
  <sheetFormatPr defaultRowHeight="15" x14ac:dyDescent="0.25"/>
  <cols>
    <col min="1" max="1" width="11.140625" bestFit="1" customWidth="1"/>
    <col min="2" max="2" width="15" bestFit="1" customWidth="1"/>
    <col min="3" max="3" width="11.5703125" bestFit="1" customWidth="1"/>
    <col min="4" max="4" width="12" bestFit="1" customWidth="1"/>
    <col min="8" max="8" width="17" bestFit="1" customWidth="1"/>
    <col min="9" max="9" width="13" bestFit="1" customWidth="1"/>
    <col min="12" max="12" width="14.28515625" bestFit="1" customWidth="1"/>
    <col min="14" max="14" width="10.5703125" bestFit="1" customWidth="1"/>
  </cols>
  <sheetData>
    <row r="1" spans="1:16" x14ac:dyDescent="0.25">
      <c r="A1" s="3" t="s">
        <v>66</v>
      </c>
      <c r="B1" s="3" t="s">
        <v>68</v>
      </c>
      <c r="C1" s="3" t="s">
        <v>70</v>
      </c>
      <c r="D1" s="3"/>
      <c r="H1" t="s">
        <v>75</v>
      </c>
      <c r="I1">
        <v>7.0000000000000007E-2</v>
      </c>
      <c r="K1" t="s">
        <v>76</v>
      </c>
      <c r="L1" s="1">
        <f>Sheet1!H10</f>
        <v>-19037733.544999301</v>
      </c>
      <c r="M1" t="s">
        <v>77</v>
      </c>
      <c r="N1">
        <f>Sheet1!I10</f>
        <v>0</v>
      </c>
      <c r="P1" t="s">
        <v>81</v>
      </c>
    </row>
    <row r="2" spans="1:16" x14ac:dyDescent="0.25">
      <c r="A2" s="4" t="s">
        <v>69</v>
      </c>
      <c r="B2" s="4">
        <v>15</v>
      </c>
      <c r="C2" s="4">
        <v>30</v>
      </c>
      <c r="D2" s="4"/>
      <c r="H2" t="s">
        <v>74</v>
      </c>
      <c r="I2">
        <f>I1 / (1 - (1 + I1)^ (-I7))</f>
        <v>0.10979462470100652</v>
      </c>
      <c r="P2">
        <v>1.0942000000000001</v>
      </c>
    </row>
    <row r="3" spans="1:16" x14ac:dyDescent="0.25">
      <c r="A3" s="4" t="s">
        <v>72</v>
      </c>
      <c r="B3" s="5">
        <f>I3*P2*I4/100000000</f>
        <v>513.02884931141477</v>
      </c>
      <c r="C3" s="4">
        <v>614</v>
      </c>
      <c r="D3" s="4" t="s">
        <v>88</v>
      </c>
      <c r="E3" s="2"/>
      <c r="I3" s="1">
        <f>-I2*L1+N1</f>
        <v>2090240.8097309608</v>
      </c>
    </row>
    <row r="4" spans="1:16" x14ac:dyDescent="0.25">
      <c r="A4" s="4"/>
      <c r="B4" s="5"/>
      <c r="C4" s="4"/>
      <c r="D4" s="4"/>
      <c r="H4" t="s">
        <v>89</v>
      </c>
      <c r="I4" s="1">
        <f>Sheet1!H14</f>
        <v>22431.006155743598</v>
      </c>
    </row>
    <row r="5" spans="1:16" x14ac:dyDescent="0.25">
      <c r="A5" s="4"/>
      <c r="B5" s="4"/>
      <c r="C5" s="4"/>
      <c r="D5" s="4"/>
    </row>
    <row r="6" spans="1:16" x14ac:dyDescent="0.25">
      <c r="A6" s="4" t="s">
        <v>71</v>
      </c>
      <c r="B6" s="4"/>
      <c r="C6" s="4"/>
      <c r="D6" s="4"/>
    </row>
    <row r="7" spans="1:16" x14ac:dyDescent="0.25">
      <c r="A7" s="4" t="s">
        <v>72</v>
      </c>
      <c r="B7" s="5">
        <f>I9*P2</f>
        <v>127105.24049201615</v>
      </c>
      <c r="C7" s="6">
        <v>200000</v>
      </c>
      <c r="D7" s="4" t="s">
        <v>80</v>
      </c>
      <c r="E7" s="2"/>
      <c r="H7" t="s">
        <v>73</v>
      </c>
      <c r="I7">
        <v>15</v>
      </c>
      <c r="K7" t="s">
        <v>76</v>
      </c>
      <c r="L7" s="2">
        <f>Sheet1!H9</f>
        <v>1058000</v>
      </c>
      <c r="M7" t="s">
        <v>77</v>
      </c>
      <c r="N7">
        <f>Sheet1!I9</f>
        <v>0</v>
      </c>
    </row>
    <row r="8" spans="1:16" x14ac:dyDescent="0.25">
      <c r="A8" s="4"/>
      <c r="B8" s="4"/>
      <c r="C8" s="4"/>
      <c r="D8" s="4"/>
      <c r="H8" t="s">
        <v>74</v>
      </c>
      <c r="I8">
        <f>I1 / (1 - (1 + I1)^ (-I7))</f>
        <v>0.10979462470100652</v>
      </c>
    </row>
    <row r="9" spans="1:16" x14ac:dyDescent="0.25">
      <c r="A9" s="4"/>
      <c r="B9" s="4"/>
      <c r="C9" s="4"/>
      <c r="D9" s="4"/>
      <c r="H9" t="s">
        <v>78</v>
      </c>
      <c r="I9" s="1">
        <f xml:space="preserve"> L7* I8 + N7</f>
        <v>116162.71293366491</v>
      </c>
    </row>
    <row r="10" spans="1:16" x14ac:dyDescent="0.25">
      <c r="A10" s="4" t="s">
        <v>63</v>
      </c>
      <c r="B10" s="4"/>
      <c r="C10" s="4"/>
      <c r="D10" s="4"/>
      <c r="H10" t="s">
        <v>79</v>
      </c>
    </row>
    <row r="11" spans="1:16" x14ac:dyDescent="0.25">
      <c r="A11" s="4" t="s">
        <v>72</v>
      </c>
      <c r="B11" s="5">
        <f>I14*P2</f>
        <v>97374.261787435127</v>
      </c>
      <c r="C11" s="6">
        <v>110000</v>
      </c>
      <c r="D11" s="4" t="s">
        <v>80</v>
      </c>
      <c r="E11" s="2"/>
    </row>
    <row r="12" spans="1:16" x14ac:dyDescent="0.25">
      <c r="C12" s="1"/>
      <c r="K12" t="s">
        <v>76</v>
      </c>
      <c r="L12" s="2">
        <f>Sheet1!H8</f>
        <v>810340.43940000003</v>
      </c>
      <c r="M12" t="s">
        <v>77</v>
      </c>
      <c r="N12">
        <f>Sheet1!I8</f>
        <v>20.258510990000001</v>
      </c>
    </row>
    <row r="13" spans="1:16" x14ac:dyDescent="0.25">
      <c r="I13">
        <f>I8</f>
        <v>0.10979462470100652</v>
      </c>
    </row>
    <row r="14" spans="1:16" x14ac:dyDescent="0.25">
      <c r="H14" t="s">
        <v>78</v>
      </c>
      <c r="I14" s="1">
        <f xml:space="preserve"> L12* I13 + N12</f>
        <v>88991.282934961724</v>
      </c>
    </row>
    <row r="18" spans="7:14" x14ac:dyDescent="0.25">
      <c r="H18" s="1">
        <f>C3*100000000/Sheet1!G14</f>
        <v>3372.8984800000003</v>
      </c>
    </row>
    <row r="21" spans="7:14" x14ac:dyDescent="0.25">
      <c r="G21" t="s">
        <v>66</v>
      </c>
      <c r="H21" t="s">
        <v>73</v>
      </c>
      <c r="I21">
        <v>15</v>
      </c>
      <c r="K21" t="s">
        <v>76</v>
      </c>
      <c r="L21" s="2">
        <f>-Sheet1!H10</f>
        <v>19037733.544999301</v>
      </c>
      <c r="M21" t="s">
        <v>77</v>
      </c>
      <c r="N21">
        <f>Sheet1!I10</f>
        <v>0</v>
      </c>
    </row>
    <row r="22" spans="7:14" x14ac:dyDescent="0.25">
      <c r="H22" t="s">
        <v>74</v>
      </c>
      <c r="I22">
        <f>I8</f>
        <v>0.10979462470100652</v>
      </c>
    </row>
    <row r="23" spans="7:14" x14ac:dyDescent="0.25">
      <c r="H23" t="s">
        <v>78</v>
      </c>
      <c r="I23" s="1">
        <f xml:space="preserve"> L21* I22 + N21</f>
        <v>2090240.8097309608</v>
      </c>
    </row>
    <row r="26" spans="7:14" x14ac:dyDescent="0.25">
      <c r="G26" t="s">
        <v>90</v>
      </c>
      <c r="H26" t="s">
        <v>73</v>
      </c>
      <c r="I26">
        <v>15</v>
      </c>
      <c r="K26" t="s">
        <v>76</v>
      </c>
      <c r="L26" s="2">
        <f>Sheet1!H5</f>
        <v>5915085.76299999</v>
      </c>
      <c r="M26" t="s">
        <v>77</v>
      </c>
      <c r="N26" s="2">
        <f>Sheet1!I5</f>
        <v>92150.40135</v>
      </c>
    </row>
    <row r="27" spans="7:14" x14ac:dyDescent="0.25">
      <c r="H27" t="s">
        <v>74</v>
      </c>
      <c r="I27">
        <f>I13</f>
        <v>0.10979462470100652</v>
      </c>
    </row>
    <row r="28" spans="7:14" x14ac:dyDescent="0.25">
      <c r="H28" t="s">
        <v>78</v>
      </c>
      <c r="I28" s="1">
        <f xml:space="preserve"> L26* I27 + N26</f>
        <v>741595.0227728507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273D4-DF0E-4763-ADE1-76A033270EC6}">
  <dimension ref="A1:F18"/>
  <sheetViews>
    <sheetView workbookViewId="0">
      <selection activeCell="A14" sqref="A14:F18"/>
    </sheetView>
  </sheetViews>
  <sheetFormatPr defaultRowHeight="15" x14ac:dyDescent="0.25"/>
  <cols>
    <col min="1" max="1" width="19.28515625" bestFit="1" customWidth="1"/>
    <col min="2" max="2" width="14.28515625" bestFit="1" customWidth="1"/>
    <col min="3" max="3" width="18.5703125" bestFit="1" customWidth="1"/>
    <col min="4" max="4" width="15" bestFit="1" customWidth="1"/>
    <col min="5" max="5" width="19.5703125" bestFit="1" customWidth="1"/>
    <col min="6" max="6" width="15" bestFit="1" customWidth="1"/>
  </cols>
  <sheetData>
    <row r="1" spans="1:6" x14ac:dyDescent="0.25">
      <c r="A1" t="s">
        <v>91</v>
      </c>
      <c r="B1" t="s">
        <v>93</v>
      </c>
      <c r="C1" t="s">
        <v>92</v>
      </c>
      <c r="D1" t="s">
        <v>96</v>
      </c>
      <c r="E1" t="s">
        <v>94</v>
      </c>
      <c r="F1" t="s">
        <v>95</v>
      </c>
    </row>
    <row r="2" spans="1:6" x14ac:dyDescent="0.25">
      <c r="A2" t="s">
        <v>34</v>
      </c>
      <c r="B2" t="s">
        <v>37</v>
      </c>
      <c r="C2" s="1">
        <v>6616398.8169999998</v>
      </c>
      <c r="D2" s="2">
        <f>C2</f>
        <v>6616398.8169999998</v>
      </c>
      <c r="E2" s="2">
        <f>C2</f>
        <v>6616398.8169999998</v>
      </c>
      <c r="F2" s="2">
        <f>C2</f>
        <v>6616398.8169999998</v>
      </c>
    </row>
    <row r="3" spans="1:6" x14ac:dyDescent="0.25">
      <c r="A3" t="s">
        <v>43</v>
      </c>
      <c r="B3" t="s">
        <v>45</v>
      </c>
      <c r="C3" s="1">
        <v>953514.15289999999</v>
      </c>
      <c r="D3" s="2">
        <f t="shared" ref="D3:D9" si="0">C3</f>
        <v>953514.15289999999</v>
      </c>
      <c r="E3" s="2">
        <f t="shared" ref="E3:E10" si="1">C3</f>
        <v>953514.15289999999</v>
      </c>
      <c r="F3" s="2">
        <f t="shared" ref="F3:F10" si="2">C3</f>
        <v>953514.15289999999</v>
      </c>
    </row>
    <row r="4" spans="1:6" x14ac:dyDescent="0.25">
      <c r="A4" t="s">
        <v>47</v>
      </c>
      <c r="B4" t="s">
        <v>45</v>
      </c>
      <c r="C4" s="1">
        <v>1872108.1540000001</v>
      </c>
      <c r="D4" s="2">
        <f t="shared" si="0"/>
        <v>1872108.1540000001</v>
      </c>
      <c r="E4" s="2">
        <f t="shared" si="1"/>
        <v>1872108.1540000001</v>
      </c>
      <c r="F4" s="2">
        <f t="shared" si="2"/>
        <v>1872108.1540000001</v>
      </c>
    </row>
    <row r="5" spans="1:6" x14ac:dyDescent="0.25">
      <c r="A5" t="s">
        <v>49</v>
      </c>
      <c r="B5" t="s">
        <v>51</v>
      </c>
      <c r="C5" s="1">
        <v>5915085.76299999</v>
      </c>
      <c r="D5" s="2">
        <f t="shared" si="0"/>
        <v>5915085.76299999</v>
      </c>
      <c r="E5" s="2">
        <f t="shared" si="1"/>
        <v>5915085.76299999</v>
      </c>
      <c r="F5" s="2">
        <f t="shared" si="2"/>
        <v>5915085.76299999</v>
      </c>
    </row>
    <row r="6" spans="1:6" x14ac:dyDescent="0.25">
      <c r="A6" t="s">
        <v>52</v>
      </c>
      <c r="B6" t="s">
        <v>52</v>
      </c>
      <c r="C6" s="1">
        <v>1563646.80999999</v>
      </c>
      <c r="D6" s="2">
        <f t="shared" si="0"/>
        <v>1563646.80999999</v>
      </c>
      <c r="E6" s="2">
        <f>C6/1.5</f>
        <v>1042431.20666666</v>
      </c>
      <c r="F6" s="2">
        <f t="shared" si="2"/>
        <v>1563646.80999999</v>
      </c>
    </row>
    <row r="7" spans="1:6" x14ac:dyDescent="0.25">
      <c r="A7" t="s">
        <v>56</v>
      </c>
      <c r="B7" t="s">
        <v>58</v>
      </c>
      <c r="C7" s="1">
        <v>1009774.398</v>
      </c>
      <c r="D7" s="2">
        <f t="shared" si="0"/>
        <v>1009774.398</v>
      </c>
      <c r="E7" s="2">
        <f>C7/1.5</f>
        <v>673182.93200000003</v>
      </c>
      <c r="F7" s="2">
        <f t="shared" si="2"/>
        <v>1009774.398</v>
      </c>
    </row>
    <row r="8" spans="1:6" x14ac:dyDescent="0.25">
      <c r="A8" t="s">
        <v>59</v>
      </c>
      <c r="B8" t="s">
        <v>61</v>
      </c>
      <c r="C8" s="1">
        <v>810340.43940000003</v>
      </c>
      <c r="D8" s="2">
        <f t="shared" si="0"/>
        <v>810340.43940000003</v>
      </c>
      <c r="E8" s="2">
        <f t="shared" si="1"/>
        <v>810340.43940000003</v>
      </c>
      <c r="F8" s="2">
        <f t="shared" si="2"/>
        <v>810340.43940000003</v>
      </c>
    </row>
    <row r="9" spans="1:6" x14ac:dyDescent="0.25">
      <c r="A9" t="s">
        <v>64</v>
      </c>
      <c r="B9" t="s">
        <v>61</v>
      </c>
      <c r="C9" s="1">
        <v>1058000</v>
      </c>
      <c r="D9" s="2">
        <f t="shared" si="0"/>
        <v>1058000</v>
      </c>
      <c r="E9" s="2">
        <f t="shared" si="1"/>
        <v>1058000</v>
      </c>
      <c r="F9" s="2">
        <f>C9*1.5</f>
        <v>1587000</v>
      </c>
    </row>
    <row r="10" spans="1:6" x14ac:dyDescent="0.25">
      <c r="A10" t="s">
        <v>66</v>
      </c>
      <c r="B10" t="s">
        <v>66</v>
      </c>
      <c r="C10" s="1">
        <v>-19037733.544999301</v>
      </c>
      <c r="D10" s="2">
        <f>C10*1.5</f>
        <v>-28556600.317498952</v>
      </c>
      <c r="E10" s="2">
        <f t="shared" si="1"/>
        <v>-19037733.544999301</v>
      </c>
      <c r="F10" s="2">
        <f t="shared" si="2"/>
        <v>-19037733.544999301</v>
      </c>
    </row>
    <row r="14" spans="1:6" ht="15.75" thickBot="1" x14ac:dyDescent="0.3">
      <c r="A14" s="15" t="s">
        <v>91</v>
      </c>
      <c r="B14" s="15" t="s">
        <v>93</v>
      </c>
      <c r="C14" s="15" t="s">
        <v>92</v>
      </c>
      <c r="D14" s="15" t="s">
        <v>96</v>
      </c>
      <c r="E14" s="15" t="s">
        <v>94</v>
      </c>
      <c r="F14" s="15" t="s">
        <v>95</v>
      </c>
    </row>
    <row r="15" spans="1:6" ht="15.75" thickTop="1" x14ac:dyDescent="0.25">
      <c r="A15" s="11" t="s">
        <v>52</v>
      </c>
      <c r="B15" s="11" t="s">
        <v>52</v>
      </c>
      <c r="C15" s="12">
        <v>1563646.80999999</v>
      </c>
      <c r="D15" s="12">
        <v>1563646.80999999</v>
      </c>
      <c r="E15" s="12">
        <v>1042431.20666666</v>
      </c>
      <c r="F15" s="12">
        <v>1563646.80999999</v>
      </c>
    </row>
    <row r="16" spans="1:6" x14ac:dyDescent="0.25">
      <c r="A16" s="11" t="s">
        <v>56</v>
      </c>
      <c r="B16" s="11" t="s">
        <v>58</v>
      </c>
      <c r="C16" s="12">
        <v>1009774.398</v>
      </c>
      <c r="D16" s="12">
        <v>1009774.398</v>
      </c>
      <c r="E16" s="12">
        <v>673182.93200000003</v>
      </c>
      <c r="F16" s="12">
        <v>1009774.398</v>
      </c>
    </row>
    <row r="17" spans="1:6" x14ac:dyDescent="0.25">
      <c r="A17" s="11" t="s">
        <v>64</v>
      </c>
      <c r="B17" s="11" t="s">
        <v>61</v>
      </c>
      <c r="C17" s="12">
        <v>1058000</v>
      </c>
      <c r="D17" s="12">
        <v>1058000</v>
      </c>
      <c r="E17" s="12">
        <v>1058000</v>
      </c>
      <c r="F17" s="12">
        <v>1587000</v>
      </c>
    </row>
    <row r="18" spans="1:6" ht="15.75" thickBot="1" x14ac:dyDescent="0.3">
      <c r="A18" s="13" t="s">
        <v>66</v>
      </c>
      <c r="B18" s="13" t="s">
        <v>66</v>
      </c>
      <c r="C18" s="14">
        <v>-19037733.544999301</v>
      </c>
      <c r="D18" s="14">
        <v>-28556600.317498952</v>
      </c>
      <c r="E18" s="14">
        <v>-19037733.544999301</v>
      </c>
      <c r="F18" s="14">
        <v>-19037733.544999301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7D857-07E0-436A-9C07-13304CCC8F38}">
  <dimension ref="A1:D6"/>
  <sheetViews>
    <sheetView tabSelected="1" workbookViewId="0">
      <selection activeCell="E9" sqref="E9"/>
    </sheetView>
  </sheetViews>
  <sheetFormatPr defaultRowHeight="15" x14ac:dyDescent="0.25"/>
  <cols>
    <col min="1" max="1" width="24.140625" bestFit="1" customWidth="1"/>
    <col min="5" max="5" width="24.140625" bestFit="1" customWidth="1"/>
  </cols>
  <sheetData>
    <row r="1" spans="1:4" x14ac:dyDescent="0.25">
      <c r="B1" t="s">
        <v>101</v>
      </c>
      <c r="C1" t="s">
        <v>102</v>
      </c>
    </row>
    <row r="2" spans="1:4" x14ac:dyDescent="0.25">
      <c r="A2" t="s">
        <v>34</v>
      </c>
      <c r="B2">
        <v>9467</v>
      </c>
      <c r="C2">
        <v>1.025E-2</v>
      </c>
      <c r="D2">
        <f>B2*C2</f>
        <v>97.036749999999998</v>
      </c>
    </row>
    <row r="3" spans="1:4" x14ac:dyDescent="0.25">
      <c r="A3" t="s">
        <v>43</v>
      </c>
      <c r="B3">
        <v>6363</v>
      </c>
      <c r="C3">
        <v>5.9499999999999997E-2</v>
      </c>
      <c r="D3">
        <f>B3*C3</f>
        <v>378.5985</v>
      </c>
    </row>
    <row r="4" spans="1:4" x14ac:dyDescent="0.25">
      <c r="A4" t="s">
        <v>47</v>
      </c>
      <c r="B4">
        <v>6170</v>
      </c>
      <c r="C4">
        <v>5.9500000000000004E-3</v>
      </c>
      <c r="D4">
        <f t="shared" ref="D3:D6" si="0">B4*C4</f>
        <v>36.711500000000001</v>
      </c>
    </row>
    <row r="5" spans="1:4" x14ac:dyDescent="0.25">
      <c r="A5" t="s">
        <v>49</v>
      </c>
      <c r="B5">
        <v>10455</v>
      </c>
      <c r="C5">
        <v>0</v>
      </c>
      <c r="D5">
        <f t="shared" si="0"/>
        <v>0</v>
      </c>
    </row>
    <row r="6" spans="1:4" x14ac:dyDescent="0.25">
      <c r="A6" t="s">
        <v>66</v>
      </c>
      <c r="B6">
        <v>3412</v>
      </c>
      <c r="C6">
        <v>0.161</v>
      </c>
      <c r="D6">
        <f t="shared" si="0"/>
        <v>549.33199999999999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 Pham</dc:creator>
  <cp:lastModifiedBy>An Pham</cp:lastModifiedBy>
  <dcterms:created xsi:type="dcterms:W3CDTF">2021-06-29T12:52:01Z</dcterms:created>
  <dcterms:modified xsi:type="dcterms:W3CDTF">2022-03-10T01:22:27Z</dcterms:modified>
</cp:coreProperties>
</file>